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周彤\报告\2024年\2024-1-0732-广安门越都汇\"/>
    </mc:Choice>
  </mc:AlternateContent>
  <xr:revisionPtr revIDLastSave="0" documentId="13_ncr:1_{3797CAFE-38F9-48E7-8104-D2456F489E59}" xr6:coauthVersionLast="47" xr6:coauthVersionMax="47" xr10:uidLastSave="{00000000-0000-0000-0000-000000000000}"/>
  <bookViews>
    <workbookView xWindow="108" yWindow="324" windowWidth="13632" windowHeight="11532" tabRatio="899" firstSheet="14"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取值" sheetId="80"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1" r:id="rId21"/>
    <sheet name="成本法" sheetId="68" r:id="rId22"/>
    <sheet name="成本法 (元)" sheetId="69" state="hidden" r:id="rId23"/>
    <sheet name="假设开发法" sheetId="12" state="hidden"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基准地价修正" sheetId="43" r:id="rId44"/>
    <sheet name="地价-分区" sheetId="79" r:id="rId45"/>
    <sheet name="地价" sheetId="71" r:id="rId46"/>
    <sheet name="存贷款利率" sheetId="73"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43">基准地价修正!$A$1:$J$44,基准地价修正!$A$47:$H$101,基准地价修正!$R$1:$V$16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G17" i="80" l="1"/>
  <c r="D70" i="39" l="1"/>
  <c r="E70" i="39" s="1"/>
  <c r="F70" i="39" s="1"/>
  <c r="G70" i="39" s="1"/>
  <c r="H70" i="39" s="1"/>
  <c r="I70" i="39" s="1"/>
  <c r="J70" i="39" s="1"/>
  <c r="K70" i="39" s="1"/>
  <c r="L70" i="39" s="1"/>
  <c r="M70" i="39" s="1"/>
  <c r="N70" i="39" s="1"/>
  <c r="O70" i="39" s="1"/>
  <c r="I46" i="39" l="1"/>
  <c r="G46" i="39"/>
  <c r="E46" i="39"/>
  <c r="I38" i="39"/>
  <c r="G38" i="39"/>
  <c r="E38" i="39"/>
  <c r="G11" i="39"/>
  <c r="I7" i="39"/>
  <c r="G7" i="39"/>
  <c r="E7" i="39"/>
  <c r="I5" i="39"/>
  <c r="G5" i="39"/>
  <c r="E5" i="39"/>
  <c r="G25" i="80" l="1"/>
  <c r="G26" i="80"/>
  <c r="G27" i="80"/>
  <c r="G24" i="80"/>
  <c r="H49" i="80" l="1"/>
  <c r="H51" i="80" s="1"/>
  <c r="D42" i="80"/>
  <c r="E42" i="80" s="1"/>
  <c r="D3" i="4" l="1"/>
  <c r="Y6" i="1" l="1"/>
  <c r="B21" i="1"/>
  <c r="K17" i="3"/>
  <c r="I13" i="3"/>
  <c r="A3" i="3"/>
  <c r="C14" i="3"/>
  <c r="C15" i="3"/>
  <c r="C16" i="3"/>
  <c r="C17" i="3"/>
  <c r="C13" i="3"/>
  <c r="E31" i="80"/>
  <c r="G31" i="80" s="1"/>
  <c r="D29" i="80"/>
  <c r="F28" i="80"/>
  <c r="F29" i="80" s="1"/>
  <c r="E28" i="80"/>
  <c r="C28" i="80"/>
  <c r="H38" i="6" s="1"/>
  <c r="H36" i="6" s="1"/>
  <c r="C27" i="80"/>
  <c r="C26" i="80"/>
  <c r="I15" i="3" s="1"/>
  <c r="C25" i="80"/>
  <c r="I14" i="3" s="1"/>
  <c r="C24" i="80"/>
  <c r="E18" i="80"/>
  <c r="H18" i="80" s="1"/>
  <c r="E12" i="80"/>
  <c r="G19" i="80" s="1"/>
  <c r="G38" i="6" l="1"/>
  <c r="G36" i="6" s="1"/>
  <c r="D40" i="43"/>
  <c r="C39" i="80"/>
  <c r="E39" i="80" s="1"/>
  <c r="C38" i="80"/>
  <c r="E38" i="80" s="1"/>
  <c r="E37" i="80" s="1"/>
  <c r="K16" i="3"/>
  <c r="C29" i="80"/>
  <c r="G29" i="80" s="1"/>
  <c r="G14" i="73"/>
  <c r="F14" i="73"/>
  <c r="E14" i="73"/>
  <c r="G15" i="73"/>
  <c r="F15" i="73"/>
  <c r="E15" i="73"/>
  <c r="C37" i="80" l="1"/>
  <c r="C40" i="80"/>
  <c r="E40" i="80" s="1"/>
  <c r="C43" i="80"/>
  <c r="C41" i="80"/>
  <c r="E41" i="80" s="1"/>
  <c r="D37" i="80"/>
  <c r="AB28" i="79"/>
  <c r="AA28" i="79"/>
  <c r="Z28" i="79"/>
  <c r="N28" i="79"/>
  <c r="M28" i="79"/>
  <c r="P28" i="79" s="1"/>
  <c r="L28" i="79"/>
  <c r="I28" i="79"/>
  <c r="AD28" i="79" s="1"/>
  <c r="AC5" i="79"/>
  <c r="AB5" i="79"/>
  <c r="AA5" i="79"/>
  <c r="AD5" i="79" s="1"/>
  <c r="Z5" i="79"/>
  <c r="Y5" i="79"/>
  <c r="O5" i="79"/>
  <c r="N5" i="79"/>
  <c r="M5" i="79"/>
  <c r="P5" i="79" s="1"/>
  <c r="L5" i="79"/>
  <c r="K5" i="79"/>
  <c r="I5" i="79"/>
  <c r="E43" i="80" l="1"/>
  <c r="D43" i="80" s="1"/>
  <c r="I8" i="79"/>
  <c r="G43" i="80" l="1"/>
  <c r="I31" i="79"/>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T17" i="79" s="1"/>
  <c r="W17" i="79" s="1"/>
  <c r="L17" i="79"/>
  <c r="S17" i="79" s="1"/>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R13" i="79"/>
  <c r="V13" i="79"/>
  <c r="S14" i="79"/>
  <c r="T15" i="79"/>
  <c r="W15" i="79" s="1"/>
  <c r="U17" i="79"/>
  <c r="S28" i="79"/>
  <c r="AA26" i="79"/>
  <c r="AD26" i="79" s="1"/>
  <c r="T30" i="79"/>
  <c r="W30" i="79" s="1"/>
  <c r="U36" i="79"/>
  <c r="AD37" i="79"/>
  <c r="S38" i="79"/>
  <c r="U40" i="79"/>
  <c r="AD41" i="79"/>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c r="B82" i="71" s="1"/>
  <c r="D81" i="71"/>
  <c r="Q80" i="71"/>
  <c r="P80" i="71"/>
  <c r="O80" i="71"/>
  <c r="N80" i="71"/>
  <c r="F80" i="71"/>
  <c r="V80" i="71" s="1"/>
  <c r="E80" i="7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E76" i="7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B72" i="71"/>
  <c r="S72" i="71" s="1"/>
  <c r="Q71" i="71"/>
  <c r="P71" i="71"/>
  <c r="O71" i="71"/>
  <c r="N71" i="71"/>
  <c r="F71" i="71"/>
  <c r="F70" i="71" s="1"/>
  <c r="B71" i="71"/>
  <c r="B70" i="71" s="1"/>
  <c r="Q70" i="71"/>
  <c r="P70" i="71"/>
  <c r="O70" i="71"/>
  <c r="N70" i="71"/>
  <c r="Q69" i="71"/>
  <c r="P69" i="71"/>
  <c r="O69" i="71"/>
  <c r="N69" i="71"/>
  <c r="D69" i="71"/>
  <c r="F68" i="71"/>
  <c r="F67" i="71" s="1"/>
  <c r="F66" i="71" s="1"/>
  <c r="V68" i="71"/>
  <c r="E68" i="71"/>
  <c r="P68" i="71" s="1"/>
  <c r="C68" i="71"/>
  <c r="B68" i="7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C59" i="71" s="1"/>
  <c r="N58" i="71"/>
  <c r="B59" i="71" s="1"/>
  <c r="B60" i="71" s="1"/>
  <c r="S60" i="71" s="1"/>
  <c r="Q57" i="71"/>
  <c r="F58" i="71" s="1"/>
  <c r="F59" i="71" s="1"/>
  <c r="F60" i="71" s="1"/>
  <c r="V60" i="71" s="1"/>
  <c r="P57" i="71"/>
  <c r="E58" i="71"/>
  <c r="E59" i="71" s="1"/>
  <c r="E60" i="71" s="1"/>
  <c r="U60" i="71" s="1"/>
  <c r="O57" i="71"/>
  <c r="C58" i="71" s="1"/>
  <c r="D58" i="71" s="1"/>
  <c r="N57" i="71"/>
  <c r="B58" i="7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C52"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P39" i="71"/>
  <c r="AA39" i="71" s="1"/>
  <c r="O39" i="71"/>
  <c r="N39" i="71"/>
  <c r="X39" i="71"/>
  <c r="Q38" i="71"/>
  <c r="P38" i="71"/>
  <c r="O38" i="71"/>
  <c r="Y38" i="71" s="1"/>
  <c r="Z38" i="71" s="1"/>
  <c r="N38" i="71"/>
  <c r="F38" i="71"/>
  <c r="F39" i="71" s="1"/>
  <c r="Q37" i="71"/>
  <c r="P37" i="71"/>
  <c r="O37" i="71"/>
  <c r="N37" i="71"/>
  <c r="B38" i="71" s="1"/>
  <c r="D37" i="71"/>
  <c r="Q36" i="71"/>
  <c r="P36" i="71"/>
  <c r="O36" i="71"/>
  <c r="N36" i="71"/>
  <c r="Q35" i="71"/>
  <c r="AB35" i="71"/>
  <c r="P35" i="71"/>
  <c r="O35" i="71"/>
  <c r="N35" i="71"/>
  <c r="Q34" i="71"/>
  <c r="P34" i="71"/>
  <c r="O34" i="71"/>
  <c r="N34" i="71"/>
  <c r="Q33" i="71"/>
  <c r="P33" i="71"/>
  <c r="O33" i="71"/>
  <c r="N33" i="71"/>
  <c r="B34" i="71" s="1"/>
  <c r="B35" i="71" s="1"/>
  <c r="D33" i="71"/>
  <c r="Q32" i="71"/>
  <c r="P32" i="71"/>
  <c r="O32" i="71"/>
  <c r="N32" i="71"/>
  <c r="Q31" i="71"/>
  <c r="P31" i="71"/>
  <c r="O31" i="71"/>
  <c r="N31" i="71"/>
  <c r="Q30" i="71"/>
  <c r="P30" i="71"/>
  <c r="O30" i="71"/>
  <c r="N30" i="71"/>
  <c r="Q29" i="71"/>
  <c r="AB28" i="71" s="1"/>
  <c r="P29" i="71"/>
  <c r="O29" i="71"/>
  <c r="N29" i="71"/>
  <c r="D29" i="71"/>
  <c r="O28" i="71"/>
  <c r="N28" i="71"/>
  <c r="B30" i="71"/>
  <c r="B31" i="71"/>
  <c r="B32" i="71" s="1"/>
  <c r="S32" i="71" s="1"/>
  <c r="E30" i="71"/>
  <c r="E31" i="71" s="1"/>
  <c r="E32" i="71" s="1"/>
  <c r="U32" i="71" s="1"/>
  <c r="B36" i="71"/>
  <c r="S36" i="71" s="1"/>
  <c r="B39" i="71"/>
  <c r="B40" i="71" s="1"/>
  <c r="S40" i="71" s="1"/>
  <c r="E34" i="71"/>
  <c r="C30" i="71"/>
  <c r="C34" i="71"/>
  <c r="D34" i="71" s="1"/>
  <c r="C38" i="71"/>
  <c r="AA38" i="71"/>
  <c r="Y27" i="71"/>
  <c r="Z27" i="71" s="1"/>
  <c r="B28" i="71"/>
  <c r="C31" i="71"/>
  <c r="C32" i="71" s="1"/>
  <c r="T32" i="71" s="1"/>
  <c r="D30" i="71"/>
  <c r="D50" i="71"/>
  <c r="P28" i="71"/>
  <c r="U68" i="71"/>
  <c r="E67" i="71"/>
  <c r="E66" i="71" s="1"/>
  <c r="Q28" i="71"/>
  <c r="C55" i="71"/>
  <c r="C56" i="71" s="1"/>
  <c r="D54" i="71"/>
  <c r="C63" i="71"/>
  <c r="C64" i="71" s="1"/>
  <c r="D62" i="71"/>
  <c r="Q67" i="71"/>
  <c r="T68" i="71"/>
  <c r="O68" i="71"/>
  <c r="D68" i="71"/>
  <c r="C67" i="71"/>
  <c r="Q68" i="71"/>
  <c r="E71" i="71"/>
  <c r="E70" i="71"/>
  <c r="D72" i="71"/>
  <c r="C75" i="71"/>
  <c r="D76" i="71"/>
  <c r="D80" i="71"/>
  <c r="F28" i="71"/>
  <c r="F27" i="71"/>
  <c r="F26" i="71" s="1"/>
  <c r="D75" i="71"/>
  <c r="C74" i="71"/>
  <c r="D74" i="71" s="1"/>
  <c r="D55" i="71"/>
  <c r="P67" i="71"/>
  <c r="D32"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B68" i="43"/>
  <c r="C29" i="39"/>
  <c r="S21" i="34"/>
  <c r="H25" i="40"/>
  <c r="AB25" i="40" s="1"/>
  <c r="J25" i="40"/>
  <c r="H29" i="39"/>
  <c r="AB29" i="39" s="1"/>
  <c r="J29" i="39"/>
  <c r="AC29" i="39" s="1"/>
  <c r="J18" i="36"/>
  <c r="AC18" i="36" s="1"/>
  <c r="H18" i="35"/>
  <c r="AB18" i="35" s="1"/>
  <c r="J18" i="35"/>
  <c r="W18" i="35" s="1"/>
  <c r="H21" i="37"/>
  <c r="F21" i="37"/>
  <c r="AA21" i="37" s="1"/>
  <c r="H21" i="34"/>
  <c r="AB21" i="34" s="1"/>
  <c r="H21" i="33"/>
  <c r="U21" i="33" s="1"/>
  <c r="F21" i="33"/>
  <c r="E83" i="21"/>
  <c r="F83" i="21" s="1"/>
  <c r="H1" i="69"/>
  <c r="AC25" i="40"/>
  <c r="W25" i="40"/>
  <c r="U25" i="40"/>
  <c r="W18" i="36"/>
  <c r="AB21" i="37"/>
  <c r="U21" i="37"/>
  <c r="S21" i="37"/>
  <c r="U21" i="34"/>
  <c r="AB21" i="33"/>
  <c r="AA21" i="33"/>
  <c r="S21" i="33"/>
  <c r="AC18" i="35"/>
  <c r="J21" i="37"/>
  <c r="J21" i="34"/>
  <c r="W21" i="34" s="1"/>
  <c r="J21" i="33"/>
  <c r="W21" i="33" s="1"/>
  <c r="H21" i="21"/>
  <c r="U21" i="21" s="1"/>
  <c r="F38" i="69"/>
  <c r="E37" i="69"/>
  <c r="F36" i="69"/>
  <c r="F35" i="69"/>
  <c r="F21" i="69"/>
  <c r="F40" i="69" s="1"/>
  <c r="F20" i="69"/>
  <c r="F39" i="69" s="1"/>
  <c r="E10" i="69"/>
  <c r="E9" i="69"/>
  <c r="C7" i="69"/>
  <c r="AC21" i="33"/>
  <c r="G83" i="21"/>
  <c r="J21" i="2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A50" i="3" s="1"/>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A301" i="3" s="1"/>
  <c r="AZ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A255" i="3" s="1"/>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A245" i="3" s="1"/>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G384" i="3" s="1"/>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A476" i="3" s="1"/>
  <c r="AZ476" i="3" s="1"/>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G463" i="3" s="1"/>
  <c r="H463" i="3"/>
  <c r="BT462" i="3"/>
  <c r="BS462" i="3"/>
  <c r="BR462" i="3"/>
  <c r="BQ462" i="3"/>
  <c r="BP462" i="3"/>
  <c r="BO462" i="3"/>
  <c r="BN462" i="3"/>
  <c r="BM462" i="3"/>
  <c r="BL462" i="3" s="1"/>
  <c r="BK462" i="3"/>
  <c r="BJ462" i="3"/>
  <c r="BI462" i="3"/>
  <c r="BH462" i="3"/>
  <c r="BG462" i="3"/>
  <c r="BF462" i="3"/>
  <c r="BE462" i="3"/>
  <c r="BD462" i="3"/>
  <c r="BC462" i="3"/>
  <c r="BA462" i="3" s="1"/>
  <c r="AZ462" i="3" s="1"/>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L458" i="3" s="1"/>
  <c r="BK458" i="3"/>
  <c r="BJ458" i="3"/>
  <c r="BI458" i="3"/>
  <c r="BH458" i="3"/>
  <c r="BG458" i="3"/>
  <c r="BF458" i="3"/>
  <c r="BE458" i="3"/>
  <c r="BD458" i="3"/>
  <c r="BC458" i="3"/>
  <c r="BA458" i="3" s="1"/>
  <c r="AZ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D33"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G493" i="3" s="1"/>
  <c r="AC493" i="3"/>
  <c r="BB493" i="3"/>
  <c r="BC493" i="3"/>
  <c r="BD493" i="3"/>
  <c r="BE493" i="3"/>
  <c r="BF493" i="3"/>
  <c r="BG493" i="3"/>
  <c r="BH493" i="3"/>
  <c r="BH5" i="3" s="1"/>
  <c r="BI493" i="3"/>
  <c r="BJ493" i="3"/>
  <c r="BK493" i="3"/>
  <c r="BM493" i="3"/>
  <c r="BN493" i="3"/>
  <c r="BO493" i="3"/>
  <c r="BP493" i="3"/>
  <c r="BR493" i="3"/>
  <c r="BR5" i="3" s="1"/>
  <c r="BS493" i="3"/>
  <c r="BT493" i="3"/>
  <c r="H494" i="3"/>
  <c r="AC494" i="3"/>
  <c r="G494" i="3" s="1"/>
  <c r="BB494" i="3"/>
  <c r="BC494" i="3"/>
  <c r="BD494" i="3"/>
  <c r="BE494" i="3"/>
  <c r="BF494" i="3"/>
  <c r="BG494" i="3"/>
  <c r="BH494" i="3"/>
  <c r="BI494" i="3"/>
  <c r="BI5" i="3" s="1"/>
  <c r="BJ494" i="3"/>
  <c r="BK494" i="3"/>
  <c r="BM494" i="3"/>
  <c r="BN494" i="3"/>
  <c r="BO494" i="3"/>
  <c r="BP494" i="3"/>
  <c r="BQ494" i="3"/>
  <c r="BR494" i="3"/>
  <c r="BS494" i="3"/>
  <c r="BT494" i="3"/>
  <c r="H495" i="3"/>
  <c r="AC495" i="3"/>
  <c r="G495" i="3" s="1"/>
  <c r="BB495" i="3"/>
  <c r="BC495" i="3"/>
  <c r="BD495" i="3"/>
  <c r="BE495" i="3"/>
  <c r="BA495" i="3" s="1"/>
  <c r="BF495" i="3"/>
  <c r="BG495" i="3"/>
  <c r="BH495" i="3"/>
  <c r="BI495" i="3"/>
  <c r="BJ495" i="3"/>
  <c r="BK495" i="3"/>
  <c r="BM495" i="3"/>
  <c r="BN495" i="3"/>
  <c r="BO495" i="3"/>
  <c r="BP495" i="3"/>
  <c r="BR495" i="3"/>
  <c r="BS495" i="3"/>
  <c r="BS5" i="3" s="1"/>
  <c r="BT495" i="3"/>
  <c r="H496" i="3"/>
  <c r="AC496" i="3"/>
  <c r="BB496" i="3"/>
  <c r="BB5" i="3" s="1"/>
  <c r="BC496" i="3"/>
  <c r="BD496" i="3"/>
  <c r="BE496" i="3"/>
  <c r="BF496" i="3"/>
  <c r="BF5" i="3" s="1"/>
  <c r="BG496" i="3"/>
  <c r="BH496" i="3"/>
  <c r="BI496" i="3"/>
  <c r="BJ496" i="3"/>
  <c r="BJ5" i="3" s="1"/>
  <c r="BK496" i="3"/>
  <c r="BM496" i="3"/>
  <c r="BN496" i="3"/>
  <c r="BO496" i="3"/>
  <c r="BO5" i="3" s="1"/>
  <c r="BP496" i="3"/>
  <c r="BQ496" i="3"/>
  <c r="BR496" i="3"/>
  <c r="BS496" i="3"/>
  <c r="BT496" i="3"/>
  <c r="H497" i="3"/>
  <c r="AC497" i="3"/>
  <c r="BB497" i="3"/>
  <c r="BA497" i="3" s="1"/>
  <c r="AZ497" i="3" s="1"/>
  <c r="BC497" i="3"/>
  <c r="BD497" i="3"/>
  <c r="BE497" i="3"/>
  <c r="BF497" i="3"/>
  <c r="BG497" i="3"/>
  <c r="BH497" i="3"/>
  <c r="BI497" i="3"/>
  <c r="BJ497" i="3"/>
  <c r="BK497" i="3"/>
  <c r="BM497" i="3"/>
  <c r="BN497" i="3"/>
  <c r="BO497" i="3"/>
  <c r="BL497" i="3" s="1"/>
  <c r="BP497" i="3"/>
  <c r="BR497" i="3"/>
  <c r="BS497" i="3"/>
  <c r="BT497" i="3"/>
  <c r="H498" i="3"/>
  <c r="AC498" i="3"/>
  <c r="BB498" i="3"/>
  <c r="BC498" i="3"/>
  <c r="BC5" i="3" s="1"/>
  <c r="BD498" i="3"/>
  <c r="BE498" i="3"/>
  <c r="BF498" i="3"/>
  <c r="BG498" i="3"/>
  <c r="BG5" i="3" s="1"/>
  <c r="BH498" i="3"/>
  <c r="BI498" i="3"/>
  <c r="BJ498" i="3"/>
  <c r="BK498" i="3"/>
  <c r="BK5" i="3" s="1"/>
  <c r="BM498" i="3"/>
  <c r="BN498" i="3"/>
  <c r="BO498" i="3"/>
  <c r="BP498" i="3"/>
  <c r="BP5" i="3" s="1"/>
  <c r="BQ498" i="3"/>
  <c r="BR498" i="3"/>
  <c r="BS498" i="3"/>
  <c r="BT498" i="3"/>
  <c r="H499" i="3"/>
  <c r="AC499" i="3"/>
  <c r="BB499" i="3"/>
  <c r="BC499" i="3"/>
  <c r="BA499" i="3" s="1"/>
  <c r="BD499" i="3"/>
  <c r="BE499" i="3"/>
  <c r="BF499" i="3"/>
  <c r="BG499" i="3"/>
  <c r="BH499" i="3"/>
  <c r="BI499" i="3"/>
  <c r="BJ499" i="3"/>
  <c r="BK499" i="3"/>
  <c r="BM499" i="3"/>
  <c r="BN499" i="3"/>
  <c r="BO499" i="3"/>
  <c r="BP499" i="3"/>
  <c r="BL499" i="3" s="1"/>
  <c r="BR499" i="3"/>
  <c r="BS499" i="3"/>
  <c r="BT499" i="3"/>
  <c r="H500" i="3"/>
  <c r="AC500" i="3"/>
  <c r="BB500" i="3"/>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A501" i="3" s="1"/>
  <c r="BE501" i="3"/>
  <c r="BF501" i="3"/>
  <c r="BG501" i="3"/>
  <c r="BH501" i="3"/>
  <c r="BI501" i="3"/>
  <c r="BJ501" i="3"/>
  <c r="BK501" i="3"/>
  <c r="BM501" i="3"/>
  <c r="BN501" i="3"/>
  <c r="BO501" i="3"/>
  <c r="BP501" i="3"/>
  <c r="BR501" i="3"/>
  <c r="BS501" i="3"/>
  <c r="BT501" i="3"/>
  <c r="H502" i="3"/>
  <c r="AC502" i="3"/>
  <c r="G502" i="3" s="1"/>
  <c r="BB502" i="3"/>
  <c r="BC502" i="3"/>
  <c r="BD502" i="3"/>
  <c r="BE502" i="3"/>
  <c r="BA502" i="3" s="1"/>
  <c r="BF502" i="3"/>
  <c r="BG502" i="3"/>
  <c r="BH502" i="3"/>
  <c r="BI502" i="3"/>
  <c r="BJ502" i="3"/>
  <c r="BK502" i="3"/>
  <c r="BM502" i="3"/>
  <c r="BN502" i="3"/>
  <c r="BL502" i="3" s="1"/>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A504" i="3" s="1"/>
  <c r="AZ504" i="3" s="1"/>
  <c r="BC504" i="3"/>
  <c r="BD504" i="3"/>
  <c r="BE504" i="3"/>
  <c r="BF504" i="3"/>
  <c r="BG504" i="3"/>
  <c r="BH504" i="3"/>
  <c r="BI504" i="3"/>
  <c r="BJ504" i="3"/>
  <c r="BK504" i="3"/>
  <c r="BM504" i="3"/>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L506" i="3" s="1"/>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L508" i="3" s="1"/>
  <c r="BN508" i="3"/>
  <c r="BO508" i="3"/>
  <c r="BP508" i="3"/>
  <c r="BQ508" i="3"/>
  <c r="BR508" i="3"/>
  <c r="BS508" i="3"/>
  <c r="BT508" i="3"/>
  <c r="H509" i="3"/>
  <c r="G509" i="3" s="1"/>
  <c r="BB509" i="3"/>
  <c r="BC509" i="3"/>
  <c r="BD509" i="3"/>
  <c r="BE509" i="3"/>
  <c r="BA509" i="3" s="1"/>
  <c r="BF509" i="3"/>
  <c r="BG509" i="3"/>
  <c r="BH509" i="3"/>
  <c r="BI509" i="3"/>
  <c r="BJ509" i="3"/>
  <c r="BK509" i="3"/>
  <c r="BM509" i="3"/>
  <c r="BN509" i="3"/>
  <c r="BO509" i="3"/>
  <c r="BP509" i="3"/>
  <c r="BR509" i="3"/>
  <c r="BS509" i="3"/>
  <c r="BT509" i="3"/>
  <c r="H510" i="3"/>
  <c r="AC510" i="3"/>
  <c r="BB510" i="3"/>
  <c r="BA510" i="3" s="1"/>
  <c r="BC510" i="3"/>
  <c r="BD510" i="3"/>
  <c r="BE510" i="3"/>
  <c r="BF510" i="3"/>
  <c r="BG510" i="3"/>
  <c r="BH510" i="3"/>
  <c r="BI510" i="3"/>
  <c r="BJ510" i="3"/>
  <c r="BK510" i="3"/>
  <c r="BM510" i="3"/>
  <c r="BN510" i="3"/>
  <c r="BO510" i="3"/>
  <c r="BL510" i="3" s="1"/>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A512" i="3" s="1"/>
  <c r="AZ512" i="3" s="1"/>
  <c r="BD512" i="3"/>
  <c r="BE512" i="3"/>
  <c r="BF512" i="3"/>
  <c r="BG512" i="3"/>
  <c r="BH512" i="3"/>
  <c r="BI512" i="3"/>
  <c r="BJ512" i="3"/>
  <c r="BK512" i="3"/>
  <c r="BM512" i="3"/>
  <c r="BN512" i="3"/>
  <c r="BO512" i="3"/>
  <c r="BP512" i="3"/>
  <c r="BL512" i="3" s="1"/>
  <c r="BQ512" i="3"/>
  <c r="BR512" i="3"/>
  <c r="BS512" i="3"/>
  <c r="BT512" i="3"/>
  <c r="H513" i="3"/>
  <c r="AC513" i="3"/>
  <c r="BB513" i="3"/>
  <c r="BC513" i="3"/>
  <c r="BA513" i="3" s="1"/>
  <c r="BD513" i="3"/>
  <c r="BE513" i="3"/>
  <c r="BF513" i="3"/>
  <c r="BG513" i="3"/>
  <c r="BH513" i="3"/>
  <c r="BI513" i="3"/>
  <c r="BJ513" i="3"/>
  <c r="BK513" i="3"/>
  <c r="BM513" i="3"/>
  <c r="BN513" i="3"/>
  <c r="BO513" i="3"/>
  <c r="BP513" i="3"/>
  <c r="BL513" i="3" s="1"/>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A516" i="3" s="1"/>
  <c r="BF516" i="3"/>
  <c r="BG516" i="3"/>
  <c r="BH516" i="3"/>
  <c r="BI516" i="3"/>
  <c r="BJ516" i="3"/>
  <c r="BK516" i="3"/>
  <c r="BM516" i="3"/>
  <c r="BN516" i="3"/>
  <c r="BO516" i="3"/>
  <c r="BP516" i="3"/>
  <c r="BQ516" i="3"/>
  <c r="BR516" i="3"/>
  <c r="BS516" i="3"/>
  <c r="BT516" i="3"/>
  <c r="H517" i="3"/>
  <c r="AC517" i="3"/>
  <c r="G517" i="3" s="1"/>
  <c r="BB517" i="3"/>
  <c r="BC517" i="3"/>
  <c r="BD517" i="3"/>
  <c r="BE517" i="3"/>
  <c r="BA517" i="3" s="1"/>
  <c r="BF517" i="3"/>
  <c r="BG517" i="3"/>
  <c r="BH517" i="3"/>
  <c r="BI517" i="3"/>
  <c r="BJ517" i="3"/>
  <c r="BK517" i="3"/>
  <c r="BM517" i="3"/>
  <c r="BN517" i="3"/>
  <c r="BO517" i="3"/>
  <c r="BP517" i="3"/>
  <c r="BR517" i="3"/>
  <c r="BS517" i="3"/>
  <c r="BT517" i="3"/>
  <c r="H518" i="3"/>
  <c r="AC518" i="3"/>
  <c r="BB518" i="3"/>
  <c r="BA518" i="3" s="1"/>
  <c r="BC518" i="3"/>
  <c r="BD518" i="3"/>
  <c r="BE518" i="3"/>
  <c r="BF518" i="3"/>
  <c r="BG518" i="3"/>
  <c r="BH518" i="3"/>
  <c r="BI518" i="3"/>
  <c r="BJ518" i="3"/>
  <c r="BK518" i="3"/>
  <c r="BM518" i="3"/>
  <c r="BN518" i="3"/>
  <c r="BO518" i="3"/>
  <c r="BL518" i="3" s="1"/>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A520" i="3" s="1"/>
  <c r="AZ520" i="3" s="1"/>
  <c r="BD520" i="3"/>
  <c r="BE520" i="3"/>
  <c r="BF520" i="3"/>
  <c r="BG520" i="3"/>
  <c r="BH520" i="3"/>
  <c r="BI520" i="3"/>
  <c r="BJ520" i="3"/>
  <c r="BK520" i="3"/>
  <c r="BM520" i="3"/>
  <c r="BN520" i="3"/>
  <c r="BO520" i="3"/>
  <c r="BP520" i="3"/>
  <c r="BL520" i="3" s="1"/>
  <c r="BQ520" i="3"/>
  <c r="BR520" i="3"/>
  <c r="BS520" i="3"/>
  <c r="BT520" i="3"/>
  <c r="H521" i="3"/>
  <c r="BB521" i="3"/>
  <c r="BC521" i="3"/>
  <c r="BD521" i="3"/>
  <c r="BA521" i="3" s="1"/>
  <c r="BE521" i="3"/>
  <c r="BF521" i="3"/>
  <c r="BG521" i="3"/>
  <c r="BH521" i="3"/>
  <c r="BI521" i="3"/>
  <c r="BJ521" i="3"/>
  <c r="BK521" i="3"/>
  <c r="BM521" i="3"/>
  <c r="BL521" i="3" s="1"/>
  <c r="AZ521" i="3" s="1"/>
  <c r="BN521" i="3"/>
  <c r="BO521" i="3"/>
  <c r="BP521" i="3"/>
  <c r="BR521" i="3"/>
  <c r="BS521" i="3"/>
  <c r="BT521" i="3"/>
  <c r="H522" i="3"/>
  <c r="AC522" i="3"/>
  <c r="G522" i="3" s="1"/>
  <c r="BB522" i="3"/>
  <c r="BC522" i="3"/>
  <c r="BD522" i="3"/>
  <c r="BE522" i="3"/>
  <c r="BA522" i="3" s="1"/>
  <c r="AZ522" i="3" s="1"/>
  <c r="BF522" i="3"/>
  <c r="BG522" i="3"/>
  <c r="BH522" i="3"/>
  <c r="BI522" i="3"/>
  <c r="BJ522" i="3"/>
  <c r="BK522" i="3"/>
  <c r="BM522" i="3"/>
  <c r="BN522" i="3"/>
  <c r="BO522" i="3"/>
  <c r="BP522" i="3"/>
  <c r="BQ522" i="3"/>
  <c r="BR522" i="3"/>
  <c r="BS522" i="3"/>
  <c r="BT522" i="3"/>
  <c r="H523" i="3"/>
  <c r="AC523" i="3"/>
  <c r="G523" i="3" s="1"/>
  <c r="BB523" i="3"/>
  <c r="BC523" i="3"/>
  <c r="BD523" i="3"/>
  <c r="BE523" i="3"/>
  <c r="BA523" i="3" s="1"/>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L524" i="3" s="1"/>
  <c r="BP524" i="3"/>
  <c r="BQ524" i="3"/>
  <c r="BR524" i="3"/>
  <c r="BS524" i="3"/>
  <c r="BT524" i="3"/>
  <c r="H525" i="3"/>
  <c r="AC525" i="3"/>
  <c r="BB525" i="3"/>
  <c r="BA525" i="3" s="1"/>
  <c r="BC525" i="3"/>
  <c r="BD525" i="3"/>
  <c r="BE525" i="3"/>
  <c r="BF525" i="3"/>
  <c r="BG525" i="3"/>
  <c r="BH525" i="3"/>
  <c r="BI525" i="3"/>
  <c r="BJ525" i="3"/>
  <c r="BK525" i="3"/>
  <c r="BM525" i="3"/>
  <c r="BN525" i="3"/>
  <c r="BO525" i="3"/>
  <c r="BL525" i="3" s="1"/>
  <c r="BP525" i="3"/>
  <c r="BR525" i="3"/>
  <c r="BS525" i="3"/>
  <c r="BT525" i="3"/>
  <c r="H526" i="3"/>
  <c r="AC526" i="3"/>
  <c r="BB526" i="3"/>
  <c r="BC526" i="3"/>
  <c r="BD526" i="3"/>
  <c r="BE526" i="3"/>
  <c r="BF526" i="3"/>
  <c r="BG526" i="3"/>
  <c r="BH526" i="3"/>
  <c r="BI526" i="3"/>
  <c r="BJ526" i="3"/>
  <c r="BK526" i="3"/>
  <c r="BM526" i="3"/>
  <c r="BN526" i="3"/>
  <c r="BO526" i="3"/>
  <c r="BP526" i="3"/>
  <c r="BL526" i="3" s="1"/>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A528" i="3" s="1"/>
  <c r="BE528" i="3"/>
  <c r="BF528" i="3"/>
  <c r="BG528" i="3"/>
  <c r="BH528" i="3"/>
  <c r="BI528" i="3"/>
  <c r="BJ528" i="3"/>
  <c r="BK528" i="3"/>
  <c r="BM528" i="3"/>
  <c r="BN528" i="3"/>
  <c r="BO528" i="3"/>
  <c r="BP528" i="3"/>
  <c r="BQ528" i="3"/>
  <c r="BR528" i="3"/>
  <c r="BS528" i="3"/>
  <c r="BT528" i="3"/>
  <c r="H529" i="3"/>
  <c r="G529" i="3" s="1"/>
  <c r="AC529" i="3"/>
  <c r="BB529" i="3"/>
  <c r="BC529" i="3"/>
  <c r="BD529" i="3"/>
  <c r="BA529" i="3" s="1"/>
  <c r="BE529" i="3"/>
  <c r="BF529" i="3"/>
  <c r="BG529" i="3"/>
  <c r="BH529" i="3"/>
  <c r="BI529" i="3"/>
  <c r="BJ529" i="3"/>
  <c r="BK529" i="3"/>
  <c r="BM529" i="3"/>
  <c r="BN529" i="3"/>
  <c r="BO529" i="3"/>
  <c r="BP529" i="3"/>
  <c r="BR529" i="3"/>
  <c r="BS529" i="3"/>
  <c r="BT529" i="3"/>
  <c r="H530" i="3"/>
  <c r="AC530" i="3"/>
  <c r="G530" i="3" s="1"/>
  <c r="BB530" i="3"/>
  <c r="BC530" i="3"/>
  <c r="BD530" i="3"/>
  <c r="BE530" i="3"/>
  <c r="BA530" i="3" s="1"/>
  <c r="BF530" i="3"/>
  <c r="BG530" i="3"/>
  <c r="BH530" i="3"/>
  <c r="BI530" i="3"/>
  <c r="BJ530" i="3"/>
  <c r="BK530" i="3"/>
  <c r="BM530" i="3"/>
  <c r="BN530" i="3"/>
  <c r="BL530" i="3" s="1"/>
  <c r="BO530" i="3"/>
  <c r="BP530" i="3"/>
  <c r="BQ530" i="3"/>
  <c r="BR530" i="3"/>
  <c r="BS530" i="3"/>
  <c r="BT530" i="3"/>
  <c r="H531" i="3"/>
  <c r="AC531" i="3"/>
  <c r="G531" i="3" s="1"/>
  <c r="BB531" i="3"/>
  <c r="BC531" i="3"/>
  <c r="BD531" i="3"/>
  <c r="BE531" i="3"/>
  <c r="BA531" i="3" s="1"/>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L532" i="3" s="1"/>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A534" i="3" s="1"/>
  <c r="AZ534" i="3" s="1"/>
  <c r="BD534" i="3"/>
  <c r="BE534" i="3"/>
  <c r="BF534" i="3"/>
  <c r="BG534" i="3"/>
  <c r="BH534" i="3"/>
  <c r="BI534" i="3"/>
  <c r="BJ534" i="3"/>
  <c r="BK534" i="3"/>
  <c r="BM534" i="3"/>
  <c r="BN534" i="3"/>
  <c r="BO534" i="3"/>
  <c r="BP534" i="3"/>
  <c r="BL534" i="3" s="1"/>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G536" i="3" s="1"/>
  <c r="AC536" i="3"/>
  <c r="BB536" i="3"/>
  <c r="BC536" i="3"/>
  <c r="BD536" i="3"/>
  <c r="BA536" i="3" s="1"/>
  <c r="AZ536" i="3" s="1"/>
  <c r="BE536" i="3"/>
  <c r="BF536" i="3"/>
  <c r="BG536" i="3"/>
  <c r="BH536" i="3"/>
  <c r="BI536" i="3"/>
  <c r="BJ536" i="3"/>
  <c r="BK536" i="3"/>
  <c r="BM536" i="3"/>
  <c r="BL536" i="3" s="1"/>
  <c r="BN536" i="3"/>
  <c r="BO536" i="3"/>
  <c r="BP536" i="3"/>
  <c r="BQ536" i="3"/>
  <c r="BR536" i="3"/>
  <c r="BS536" i="3"/>
  <c r="BT536" i="3"/>
  <c r="H537" i="3"/>
  <c r="AC537" i="3"/>
  <c r="BB537" i="3"/>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L538" i="3" s="1"/>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L541" i="3" s="1"/>
  <c r="AZ541" i="3" s="1"/>
  <c r="BP541" i="3"/>
  <c r="BR541" i="3"/>
  <c r="BS541" i="3"/>
  <c r="BT541" i="3"/>
  <c r="H542" i="3"/>
  <c r="G542" i="3" s="1"/>
  <c r="AC542" i="3"/>
  <c r="BB542" i="3"/>
  <c r="BC542" i="3"/>
  <c r="BA542" i="3" s="1"/>
  <c r="AZ542" i="3" s="1"/>
  <c r="BD542" i="3"/>
  <c r="BE542" i="3"/>
  <c r="BF542" i="3"/>
  <c r="BG542" i="3"/>
  <c r="BH542" i="3"/>
  <c r="BI542" i="3"/>
  <c r="BJ542" i="3"/>
  <c r="BK542" i="3"/>
  <c r="BM542" i="3"/>
  <c r="BN542" i="3"/>
  <c r="BO542" i="3"/>
  <c r="BP542" i="3"/>
  <c r="BQ542" i="3"/>
  <c r="BR542" i="3"/>
  <c r="BS542" i="3"/>
  <c r="BT542" i="3"/>
  <c r="H543" i="3"/>
  <c r="AC543" i="3"/>
  <c r="BB543" i="3"/>
  <c r="BC543" i="3"/>
  <c r="BA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G545" i="3" s="1"/>
  <c r="AC545" i="3"/>
  <c r="BB545" i="3"/>
  <c r="BC545" i="3"/>
  <c r="BD545" i="3"/>
  <c r="BE545" i="3"/>
  <c r="BF545" i="3"/>
  <c r="BG545" i="3"/>
  <c r="BH545" i="3"/>
  <c r="BI545" i="3"/>
  <c r="BJ545" i="3"/>
  <c r="BK545" i="3"/>
  <c r="BM545" i="3"/>
  <c r="BL545" i="3" s="1"/>
  <c r="BN545" i="3"/>
  <c r="BO545" i="3"/>
  <c r="BP545" i="3"/>
  <c r="BR545" i="3"/>
  <c r="BS545" i="3"/>
  <c r="BT545" i="3"/>
  <c r="H546" i="3"/>
  <c r="AC546" i="3"/>
  <c r="G546" i="3" s="1"/>
  <c r="BB546" i="3"/>
  <c r="BC546" i="3"/>
  <c r="BD546" i="3"/>
  <c r="BE546" i="3"/>
  <c r="BF546" i="3"/>
  <c r="BG546" i="3"/>
  <c r="BH546" i="3"/>
  <c r="BI546" i="3"/>
  <c r="BJ546" i="3"/>
  <c r="BK546" i="3"/>
  <c r="BM546" i="3"/>
  <c r="BN546" i="3"/>
  <c r="BL546" i="3" s="1"/>
  <c r="BO546" i="3"/>
  <c r="BP546" i="3"/>
  <c r="BQ546" i="3"/>
  <c r="BR546" i="3"/>
  <c r="BS546" i="3"/>
  <c r="BT546" i="3"/>
  <c r="H547" i="3"/>
  <c r="AC547" i="3"/>
  <c r="G547" i="3" s="1"/>
  <c r="BB547" i="3"/>
  <c r="BC547" i="3"/>
  <c r="BD547" i="3"/>
  <c r="BE547" i="3"/>
  <c r="BA547" i="3" s="1"/>
  <c r="BF547" i="3"/>
  <c r="BG547" i="3"/>
  <c r="BH547" i="3"/>
  <c r="BI547" i="3"/>
  <c r="BJ547" i="3"/>
  <c r="BK547" i="3"/>
  <c r="BM547" i="3"/>
  <c r="BN547" i="3"/>
  <c r="BO547" i="3"/>
  <c r="BP547" i="3"/>
  <c r="BR547" i="3"/>
  <c r="BS547" i="3"/>
  <c r="BT547" i="3"/>
  <c r="H548" i="3"/>
  <c r="AC548" i="3"/>
  <c r="BB548" i="3"/>
  <c r="BA548" i="3" s="1"/>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L551" i="3" s="1"/>
  <c r="BR551" i="3"/>
  <c r="BS551" i="3"/>
  <c r="BT551" i="3"/>
  <c r="H552" i="3"/>
  <c r="G552" i="3" s="1"/>
  <c r="AC552" i="3"/>
  <c r="BB552" i="3"/>
  <c r="BC552" i="3"/>
  <c r="BD552" i="3"/>
  <c r="BA552" i="3" s="1"/>
  <c r="AZ552" i="3" s="1"/>
  <c r="BE552" i="3"/>
  <c r="BF552" i="3"/>
  <c r="BG552" i="3"/>
  <c r="BH552" i="3"/>
  <c r="BI552" i="3"/>
  <c r="BJ552" i="3"/>
  <c r="BK552" i="3"/>
  <c r="BM552" i="3"/>
  <c r="BL552" i="3" s="1"/>
  <c r="BN552" i="3"/>
  <c r="BO552" i="3"/>
  <c r="BP552" i="3"/>
  <c r="BQ552" i="3"/>
  <c r="BR552" i="3"/>
  <c r="BS552" i="3"/>
  <c r="BT552" i="3"/>
  <c r="H553" i="3"/>
  <c r="G553" i="3" s="1"/>
  <c r="AC553" i="3"/>
  <c r="BB553" i="3"/>
  <c r="BC553" i="3"/>
  <c r="BD553" i="3"/>
  <c r="BA553" i="3" s="1"/>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L555" i="3" s="1"/>
  <c r="BO555" i="3"/>
  <c r="BP555" i="3"/>
  <c r="BR555" i="3"/>
  <c r="BS555" i="3"/>
  <c r="BT555" i="3"/>
  <c r="H556" i="3"/>
  <c r="AC556" i="3"/>
  <c r="G556" i="3"/>
  <c r="BB556" i="3"/>
  <c r="BC556" i="3"/>
  <c r="BD556" i="3"/>
  <c r="BE556" i="3"/>
  <c r="BA556" i="3" s="1"/>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O558" i="3"/>
  <c r="BP558" i="3"/>
  <c r="BL558" i="3" s="1"/>
  <c r="BQ558" i="3"/>
  <c r="BR558" i="3"/>
  <c r="BS558" i="3"/>
  <c r="BT558" i="3"/>
  <c r="H559" i="3"/>
  <c r="AC559" i="3"/>
  <c r="G559" i="3" s="1"/>
  <c r="BB559" i="3"/>
  <c r="BC559" i="3"/>
  <c r="BA559" i="3" s="1"/>
  <c r="AZ559" i="3" s="1"/>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L560" i="3" s="1"/>
  <c r="AZ560" i="3" s="1"/>
  <c r="BN560" i="3"/>
  <c r="BO560" i="3"/>
  <c r="BP560" i="3"/>
  <c r="BQ560" i="3"/>
  <c r="BR560" i="3"/>
  <c r="BS560" i="3"/>
  <c r="BT560" i="3"/>
  <c r="H561" i="3"/>
  <c r="G561" i="3" s="1"/>
  <c r="AC561" i="3"/>
  <c r="BB561" i="3"/>
  <c r="BC561" i="3"/>
  <c r="BD561" i="3"/>
  <c r="BA561" i="3" s="1"/>
  <c r="BE561" i="3"/>
  <c r="BF561" i="3"/>
  <c r="BG561" i="3"/>
  <c r="BH561" i="3"/>
  <c r="BI561" i="3"/>
  <c r="BJ561" i="3"/>
  <c r="BK561" i="3"/>
  <c r="BM561" i="3"/>
  <c r="BL561" i="3" s="1"/>
  <c r="AZ561" i="3" s="1"/>
  <c r="BN561" i="3"/>
  <c r="BO561" i="3"/>
  <c r="BP561" i="3"/>
  <c r="BR561" i="3"/>
  <c r="BS561" i="3"/>
  <c r="BT561" i="3"/>
  <c r="H562" i="3"/>
  <c r="AC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U34" i="37" s="1"/>
  <c r="D101" i="37"/>
  <c r="F34" i="37"/>
  <c r="D99" i="37"/>
  <c r="E99" i="37" s="1"/>
  <c r="F99" i="37"/>
  <c r="G99" i="37" s="1"/>
  <c r="H99" i="37" s="1"/>
  <c r="I99" i="37" s="1"/>
  <c r="J99" i="37" s="1"/>
  <c r="K99" i="37" s="1"/>
  <c r="L99" i="37" s="1"/>
  <c r="M99" i="37" s="1"/>
  <c r="H42" i="34"/>
  <c r="J42" i="34"/>
  <c r="W42" i="34" s="1"/>
  <c r="F42" i="34"/>
  <c r="J38" i="34"/>
  <c r="D114" i="34"/>
  <c r="F38" i="34"/>
  <c r="S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c r="F111" i="33"/>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B116" i="40"/>
  <c r="H38" i="40" s="1"/>
  <c r="AB38" i="40" s="1"/>
  <c r="F38" i="40"/>
  <c r="AA38" i="40" s="1"/>
  <c r="D115" i="40"/>
  <c r="E115" i="40" s="1"/>
  <c r="F115" i="40"/>
  <c r="G115" i="40" s="1"/>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F9" i="40"/>
  <c r="S9" i="40"/>
  <c r="J8" i="40"/>
  <c r="AC8" i="40" s="1"/>
  <c r="H8" i="40"/>
  <c r="AB8" i="40" s="1"/>
  <c r="F8" i="40"/>
  <c r="AA8" i="40" s="1"/>
  <c r="D123" i="39"/>
  <c r="E123" i="39" s="1"/>
  <c r="F123" i="39" s="1"/>
  <c r="G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H35" i="39"/>
  <c r="AB35" i="39" s="1"/>
  <c r="B103" i="39"/>
  <c r="D96" i="39"/>
  <c r="J23" i="39"/>
  <c r="AC23" i="39" s="1"/>
  <c r="D94" i="39"/>
  <c r="E94" i="39" s="1"/>
  <c r="F94" i="39" s="1"/>
  <c r="G94" i="39" s="1"/>
  <c r="D92" i="39"/>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B108" i="37"/>
  <c r="C23" i="37"/>
  <c r="C19" i="37"/>
  <c r="C17" i="37"/>
  <c r="C15" i="37"/>
  <c r="B112" i="37"/>
  <c r="H40" i="37" s="1"/>
  <c r="U40" i="37" s="1"/>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F12" i="37" s="1"/>
  <c r="S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c r="B91" i="36"/>
  <c r="F32" i="36" s="1"/>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s="1"/>
  <c r="J16" i="36"/>
  <c r="W16" i="36" s="1"/>
  <c r="D62" i="36"/>
  <c r="E62" i="36" s="1"/>
  <c r="F62" i="36"/>
  <c r="G62" i="36" s="1"/>
  <c r="B59" i="36"/>
  <c r="B57" i="36"/>
  <c r="B55" i="36"/>
  <c r="H11" i="36" s="1"/>
  <c r="U11" i="36" s="1"/>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s="1"/>
  <c r="H26" i="36"/>
  <c r="AB26" i="36" s="1"/>
  <c r="Q25" i="36"/>
  <c r="Z25" i="36" s="1"/>
  <c r="Q24" i="36"/>
  <c r="Z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J22" i="35"/>
  <c r="AC22" i="35" s="1"/>
  <c r="B101" i="35"/>
  <c r="B99" i="35"/>
  <c r="J35" i="35" s="1"/>
  <c r="AC35" i="35" s="1"/>
  <c r="B97" i="35"/>
  <c r="B77" i="35"/>
  <c r="H25" i="35" s="1"/>
  <c r="B75" i="35"/>
  <c r="J24" i="35" s="1"/>
  <c r="AC24" i="35"/>
  <c r="B73" i="35"/>
  <c r="J23" i="35" s="1"/>
  <c r="AC23" i="35" s="1"/>
  <c r="H23" i="35"/>
  <c r="U23" i="35" s="1"/>
  <c r="B57" i="35"/>
  <c r="B61" i="35"/>
  <c r="B59" i="35"/>
  <c r="F12" i="35" s="1"/>
  <c r="B131" i="34"/>
  <c r="B129" i="34"/>
  <c r="B127" i="34"/>
  <c r="H45" i="34" s="1"/>
  <c r="U45" i="34" s="1"/>
  <c r="B99" i="34"/>
  <c r="B97" i="34"/>
  <c r="F31" i="34" s="1"/>
  <c r="B95" i="34"/>
  <c r="B93" i="34"/>
  <c r="B75" i="34"/>
  <c r="B73" i="34"/>
  <c r="B71" i="34"/>
  <c r="J12" i="34" s="1"/>
  <c r="W12" i="34" s="1"/>
  <c r="B130" i="33"/>
  <c r="B128" i="33"/>
  <c r="B126" i="33"/>
  <c r="H44" i="33" s="1"/>
  <c r="B98" i="33"/>
  <c r="B96" i="33"/>
  <c r="B94" i="33"/>
  <c r="B74" i="33"/>
  <c r="H14" i="33" s="1"/>
  <c r="U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c r="F86" i="34" s="1"/>
  <c r="G86" i="34" s="1"/>
  <c r="D82" i="34"/>
  <c r="E82" i="34" s="1"/>
  <c r="F82" i="34" s="1"/>
  <c r="G82" i="34"/>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F12" i="34"/>
  <c r="S12" i="34" s="1"/>
  <c r="Q11" i="34"/>
  <c r="Z11" i="34" s="1"/>
  <c r="Q10" i="34"/>
  <c r="Z10" i="34" s="1"/>
  <c r="F10" i="34"/>
  <c r="AA10" i="34" s="1"/>
  <c r="Q9" i="34"/>
  <c r="Z9" i="34"/>
  <c r="H9" i="34"/>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s="1"/>
  <c r="F115" i="33"/>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s="1"/>
  <c r="J40" i="33"/>
  <c r="AC40" i="33" s="1"/>
  <c r="H40" i="33"/>
  <c r="AB40" i="33"/>
  <c r="AA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65" i="43" s="1"/>
  <c r="C21" i="20"/>
  <c r="B99" i="43" s="1"/>
  <c r="C20" i="20"/>
  <c r="B101" i="43" s="1"/>
  <c r="B79" i="43"/>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B98" i="21"/>
  <c r="H31" i="21"/>
  <c r="B96" i="21"/>
  <c r="B94" i="21"/>
  <c r="B92" i="21"/>
  <c r="B90" i="21"/>
  <c r="J27" i="21" s="1"/>
  <c r="W27" i="21" s="1"/>
  <c r="B74" i="21"/>
  <c r="B72"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c r="F36" i="39"/>
  <c r="S36" i="39" s="1"/>
  <c r="H36" i="39"/>
  <c r="J35" i="39"/>
  <c r="AC35" i="39" s="1"/>
  <c r="F35" i="39"/>
  <c r="AA35" i="39"/>
  <c r="J36" i="39"/>
  <c r="AC36" i="39" s="1"/>
  <c r="W25" i="37"/>
  <c r="U30" i="37"/>
  <c r="W31" i="37"/>
  <c r="E103" i="37"/>
  <c r="F103" i="37" s="1"/>
  <c r="G103" i="37" s="1"/>
  <c r="H103" i="37" s="1"/>
  <c r="I103" i="37" s="1"/>
  <c r="J103" i="37" s="1"/>
  <c r="K103" i="37" s="1"/>
  <c r="L103" i="37" s="1"/>
  <c r="M103" i="37" s="1"/>
  <c r="F39" i="37"/>
  <c r="S39" i="37" s="1"/>
  <c r="F29" i="36"/>
  <c r="AA29" i="36" s="1"/>
  <c r="F16" i="36"/>
  <c r="AA16" i="36" s="1"/>
  <c r="U31" i="36"/>
  <c r="J33" i="36"/>
  <c r="AC33" i="36" s="1"/>
  <c r="H22" i="35"/>
  <c r="AB22" i="35" s="1"/>
  <c r="AC27" i="35"/>
  <c r="W28" i="35"/>
  <c r="U31" i="35"/>
  <c r="W22" i="35"/>
  <c r="S31" i="35"/>
  <c r="U34" i="35"/>
  <c r="F36" i="34"/>
  <c r="J35" i="34"/>
  <c r="U34" i="34"/>
  <c r="H39" i="33"/>
  <c r="AB39" i="33" s="1"/>
  <c r="F26" i="33"/>
  <c r="AA26" i="33" s="1"/>
  <c r="U33" i="33"/>
  <c r="S40" i="33"/>
  <c r="F11" i="40"/>
  <c r="AA11" i="40" s="1"/>
  <c r="H11" i="40"/>
  <c r="AB11" i="40" s="1"/>
  <c r="W8" i="40"/>
  <c r="AA9" i="40"/>
  <c r="S34" i="40"/>
  <c r="U38" i="40"/>
  <c r="W31" i="40"/>
  <c r="U34" i="40"/>
  <c r="S38" i="40"/>
  <c r="F42" i="39"/>
  <c r="AA42" i="39" s="1"/>
  <c r="H40" i="39"/>
  <c r="AB40" i="39" s="1"/>
  <c r="H39" i="39"/>
  <c r="U39" i="39" s="1"/>
  <c r="H34" i="39"/>
  <c r="U34" i="39" s="1"/>
  <c r="E108" i="39"/>
  <c r="F31" i="39"/>
  <c r="AA31"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7" i="39"/>
  <c r="F27" i="39"/>
  <c r="S27" i="39" s="1"/>
  <c r="F11" i="21"/>
  <c r="S11" i="21" s="1"/>
  <c r="U34" i="21"/>
  <c r="C25" i="39"/>
  <c r="H32" i="33"/>
  <c r="AB32" i="33" s="1"/>
  <c r="H11" i="21"/>
  <c r="U11" i="21" s="1"/>
  <c r="J11" i="21"/>
  <c r="W11" i="21" s="1"/>
  <c r="H37" i="40"/>
  <c r="U37" i="40" s="1"/>
  <c r="H36" i="40"/>
  <c r="AB36" i="40" s="1"/>
  <c r="F35" i="40"/>
  <c r="AA35" i="40"/>
  <c r="H23" i="40"/>
  <c r="AB23" i="40" s="1"/>
  <c r="H17" i="40"/>
  <c r="U17" i="40" s="1"/>
  <c r="J15" i="40"/>
  <c r="W15" i="40" s="1"/>
  <c r="J11" i="40"/>
  <c r="W11" i="40"/>
  <c r="AC12" i="34"/>
  <c r="AB12" i="35"/>
  <c r="W32" i="40"/>
  <c r="U30" i="36"/>
  <c r="J30" i="35"/>
  <c r="W30" i="35" s="1"/>
  <c r="H30" i="35"/>
  <c r="AB30" i="35" s="1"/>
  <c r="F22" i="35"/>
  <c r="AA22" i="35"/>
  <c r="H10" i="35"/>
  <c r="U10" i="35" s="1"/>
  <c r="F33" i="36"/>
  <c r="AA33" i="36" s="1"/>
  <c r="W30" i="36"/>
  <c r="H16" i="36"/>
  <c r="AB16" i="36"/>
  <c r="F85" i="36"/>
  <c r="G85" i="36" s="1"/>
  <c r="H85" i="36" s="1"/>
  <c r="I85" i="36" s="1"/>
  <c r="J85" i="36" s="1"/>
  <c r="K85" i="36" s="1"/>
  <c r="L85" i="36" s="1"/>
  <c r="M85" i="36" s="1"/>
  <c r="J29" i="36"/>
  <c r="AC29" i="36" s="1"/>
  <c r="F24" i="36"/>
  <c r="AA24" i="36" s="1"/>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s="1"/>
  <c r="G101" i="37"/>
  <c r="H101" i="37" s="1"/>
  <c r="I101" i="37" s="1"/>
  <c r="J101" i="37" s="1"/>
  <c r="K101" i="37" s="1"/>
  <c r="L101" i="37" s="1"/>
  <c r="M101" i="37" s="1"/>
  <c r="J34" i="37"/>
  <c r="W34" i="37" s="1"/>
  <c r="AB34" i="37"/>
  <c r="J33" i="37"/>
  <c r="AC33" i="37" s="1"/>
  <c r="U42" i="34"/>
  <c r="H40" i="34"/>
  <c r="U40" i="34"/>
  <c r="E114" i="34"/>
  <c r="H36" i="34"/>
  <c r="U36" i="34" s="1"/>
  <c r="F37" i="34"/>
  <c r="AA37" i="34" s="1"/>
  <c r="S35" i="34"/>
  <c r="F25" i="34"/>
  <c r="S25" i="34" s="1"/>
  <c r="H23" i="34"/>
  <c r="U23" i="34"/>
  <c r="J23" i="34"/>
  <c r="F19" i="34"/>
  <c r="H17" i="34"/>
  <c r="U17" i="34"/>
  <c r="F15" i="34"/>
  <c r="AA15" i="34" s="1"/>
  <c r="J15" i="34"/>
  <c r="H15" i="34"/>
  <c r="AB15" i="34" s="1"/>
  <c r="W8" i="34"/>
  <c r="F41" i="33"/>
  <c r="AA41" i="33"/>
  <c r="F32" i="33"/>
  <c r="AA32" i="33"/>
  <c r="J19" i="33"/>
  <c r="AC19" i="33"/>
  <c r="J15" i="33"/>
  <c r="AC15" i="33"/>
  <c r="F11" i="33"/>
  <c r="AA11" i="33" s="1"/>
  <c r="S26" i="33"/>
  <c r="U40" i="33"/>
  <c r="W40" i="33"/>
  <c r="F37" i="40"/>
  <c r="AA37" i="40"/>
  <c r="F36" i="40"/>
  <c r="AA36" i="40"/>
  <c r="H28" i="40"/>
  <c r="U28" i="40"/>
  <c r="F23" i="40"/>
  <c r="AA23" i="40"/>
  <c r="F17" i="40"/>
  <c r="AA17" i="40" s="1"/>
  <c r="J17" i="40"/>
  <c r="W17" i="40" s="1"/>
  <c r="F15" i="40"/>
  <c r="S15" i="40" s="1"/>
  <c r="H15" i="40"/>
  <c r="AB15" i="40"/>
  <c r="AC11" i="40"/>
  <c r="AB30" i="36"/>
  <c r="F29" i="35"/>
  <c r="S29" i="35" s="1"/>
  <c r="H29" i="35"/>
  <c r="AB29" i="35" s="1"/>
  <c r="H33" i="37"/>
  <c r="F33" i="37"/>
  <c r="AA33" i="37" s="1"/>
  <c r="S34" i="37"/>
  <c r="AA34" i="37"/>
  <c r="J43" i="34"/>
  <c r="AB42" i="34"/>
  <c r="J40" i="34"/>
  <c r="AC40" i="34" s="1"/>
  <c r="F114" i="34"/>
  <c r="G114" i="34" s="1"/>
  <c r="H114" i="34" s="1"/>
  <c r="I114" i="34" s="1"/>
  <c r="J114" i="34" s="1"/>
  <c r="K114" i="34" s="1"/>
  <c r="L114" i="34" s="1"/>
  <c r="M114" i="34" s="1"/>
  <c r="H38" i="34"/>
  <c r="AB38" i="34" s="1"/>
  <c r="J36" i="34"/>
  <c r="W36" i="34"/>
  <c r="H37" i="34"/>
  <c r="U37" i="34" s="1"/>
  <c r="H25" i="34"/>
  <c r="AB25" i="34" s="1"/>
  <c r="J25" i="34"/>
  <c r="AC25" i="34"/>
  <c r="AB23" i="34"/>
  <c r="F23" i="34"/>
  <c r="AA23" i="34" s="1"/>
  <c r="J19" i="34"/>
  <c r="AC19" i="34" s="1"/>
  <c r="F17" i="34"/>
  <c r="AA17" i="34"/>
  <c r="J17" i="34"/>
  <c r="W17" i="34" s="1"/>
  <c r="AB17" i="34"/>
  <c r="S41" i="33"/>
  <c r="H37" i="33"/>
  <c r="AB37" i="33" s="1"/>
  <c r="H15" i="33"/>
  <c r="AB15" i="33" s="1"/>
  <c r="H11" i="33"/>
  <c r="AB11" i="33" s="1"/>
  <c r="F28" i="40"/>
  <c r="AA28" i="40" s="1"/>
  <c r="AA29" i="35"/>
  <c r="AA42" i="34"/>
  <c r="S42" i="34"/>
  <c r="AA38" i="34"/>
  <c r="J37" i="34"/>
  <c r="AC37" i="34" s="1"/>
  <c r="J11" i="33"/>
  <c r="W11" i="33" s="1"/>
  <c r="J42" i="21"/>
  <c r="AC42" i="21" s="1"/>
  <c r="H42" i="21"/>
  <c r="U42" i="21" s="1"/>
  <c r="J44" i="34"/>
  <c r="AC44" i="34" s="1"/>
  <c r="F44" i="34"/>
  <c r="AA44" i="34"/>
  <c r="J10" i="35"/>
  <c r="AC10" i="35" s="1"/>
  <c r="J14" i="21"/>
  <c r="W14" i="21" s="1"/>
  <c r="F14" i="21"/>
  <c r="S14" i="21" s="1"/>
  <c r="H14" i="21"/>
  <c r="U14" i="21"/>
  <c r="H28" i="21"/>
  <c r="AB28" i="21" s="1"/>
  <c r="F28" i="21"/>
  <c r="AA28" i="21" s="1"/>
  <c r="J28" i="21"/>
  <c r="H30" i="21"/>
  <c r="U30" i="21"/>
  <c r="F30" i="21"/>
  <c r="S30" i="21" s="1"/>
  <c r="J30" i="21"/>
  <c r="AC30" i="21" s="1"/>
  <c r="J44" i="21"/>
  <c r="AC44" i="21" s="1"/>
  <c r="H46" i="21"/>
  <c r="U46" i="21" s="1"/>
  <c r="J46" i="21"/>
  <c r="F46" i="21"/>
  <c r="AA46" i="2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s="1"/>
  <c r="J14" i="36"/>
  <c r="AC14" i="36"/>
  <c r="H14" i="36"/>
  <c r="U14" i="36" s="1"/>
  <c r="F28" i="36"/>
  <c r="AA28" i="36" s="1"/>
  <c r="H27" i="21"/>
  <c r="AB27" i="21" s="1"/>
  <c r="J31" i="21"/>
  <c r="AC31" i="21" s="1"/>
  <c r="F31" i="21"/>
  <c r="S31" i="21" s="1"/>
  <c r="F27" i="33"/>
  <c r="AA27" i="33"/>
  <c r="J13" i="33"/>
  <c r="H13" i="33"/>
  <c r="U13" i="33" s="1"/>
  <c r="F13" i="33"/>
  <c r="S13" i="33"/>
  <c r="J29" i="33"/>
  <c r="H29" i="33"/>
  <c r="U29" i="33" s="1"/>
  <c r="F29" i="33"/>
  <c r="S29" i="33" s="1"/>
  <c r="J31" i="33"/>
  <c r="W31" i="33"/>
  <c r="H31" i="33"/>
  <c r="F31" i="33"/>
  <c r="H45" i="33"/>
  <c r="U45" i="33"/>
  <c r="J45" i="33"/>
  <c r="W45" i="33" s="1"/>
  <c r="F45" i="33"/>
  <c r="J14" i="34"/>
  <c r="W14" i="34" s="1"/>
  <c r="F14" i="34"/>
  <c r="S14" i="34"/>
  <c r="H14" i="34"/>
  <c r="H30" i="34"/>
  <c r="F30" i="34"/>
  <c r="S30" i="34"/>
  <c r="J30" i="34"/>
  <c r="H32" i="34"/>
  <c r="F32" i="34"/>
  <c r="J32" i="34"/>
  <c r="W32" i="34" s="1"/>
  <c r="H46" i="34"/>
  <c r="U46" i="34"/>
  <c r="F46" i="34"/>
  <c r="J46" i="34"/>
  <c r="H11" i="35"/>
  <c r="AB11" i="35" s="1"/>
  <c r="J11" i="35"/>
  <c r="F11" i="35"/>
  <c r="S11" i="35" s="1"/>
  <c r="J26" i="36"/>
  <c r="W26" i="36"/>
  <c r="H28" i="36"/>
  <c r="U28" i="36" s="1"/>
  <c r="H32" i="36"/>
  <c r="AB32" i="36" s="1"/>
  <c r="J32" i="36"/>
  <c r="W32" i="36" s="1"/>
  <c r="J11" i="36"/>
  <c r="AC11" i="36" s="1"/>
  <c r="F11" i="36"/>
  <c r="AA11" i="36" s="1"/>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c r="J37" i="37"/>
  <c r="AC37" i="37" s="1"/>
  <c r="H37" i="37"/>
  <c r="U37" i="37"/>
  <c r="J40" i="37"/>
  <c r="F40" i="37"/>
  <c r="AA40" i="37" s="1"/>
  <c r="F14" i="33"/>
  <c r="S14" i="33" s="1"/>
  <c r="J14" i="33"/>
  <c r="J30" i="33"/>
  <c r="W30" i="33" s="1"/>
  <c r="J44" i="33"/>
  <c r="AC44" i="33" s="1"/>
  <c r="F44" i="33"/>
  <c r="S44" i="33" s="1"/>
  <c r="H46" i="33"/>
  <c r="H13" i="34"/>
  <c r="U13" i="34" s="1"/>
  <c r="J29" i="34"/>
  <c r="J31" i="34"/>
  <c r="H31" i="34"/>
  <c r="S31" i="34"/>
  <c r="J45" i="34"/>
  <c r="W45" i="34" s="1"/>
  <c r="F45" i="34"/>
  <c r="S45" i="34" s="1"/>
  <c r="J47" i="34"/>
  <c r="AC47" i="34" s="1"/>
  <c r="F13" i="35"/>
  <c r="J25" i="35"/>
  <c r="W25" i="35" s="1"/>
  <c r="F25" i="35"/>
  <c r="S25" i="35" s="1"/>
  <c r="AB25" i="35"/>
  <c r="F35" i="35"/>
  <c r="AA35" i="35" s="1"/>
  <c r="H35" i="35"/>
  <c r="J25" i="36"/>
  <c r="W25" i="36"/>
  <c r="F25" i="36"/>
  <c r="S25" i="36" s="1"/>
  <c r="H25" i="36"/>
  <c r="AB25" i="36" s="1"/>
  <c r="H13" i="37"/>
  <c r="AB13" i="37" s="1"/>
  <c r="F13" i="37"/>
  <c r="S13" i="37"/>
  <c r="J13" i="37"/>
  <c r="W13" i="37" s="1"/>
  <c r="F28" i="37"/>
  <c r="AA28" i="37" s="1"/>
  <c r="H38" i="37"/>
  <c r="AB38" i="37" s="1"/>
  <c r="J38" i="37"/>
  <c r="AC38" i="37" s="1"/>
  <c r="F38" i="37"/>
  <c r="S38" i="37"/>
  <c r="H43" i="39"/>
  <c r="J14" i="39"/>
  <c r="AC14" i="39" s="1"/>
  <c r="F14" i="39"/>
  <c r="H14" i="39"/>
  <c r="AB14" i="39"/>
  <c r="H30" i="40"/>
  <c r="AB30" i="40"/>
  <c r="J35" i="40"/>
  <c r="AC35" i="40"/>
  <c r="J37" i="40"/>
  <c r="AC37" i="40"/>
  <c r="H13" i="40"/>
  <c r="U13" i="40"/>
  <c r="J13" i="40"/>
  <c r="W13" i="40"/>
  <c r="F13" i="40"/>
  <c r="AA13" i="40"/>
  <c r="F14" i="37"/>
  <c r="S14" i="37"/>
  <c r="F27" i="37"/>
  <c r="AA27" i="37"/>
  <c r="J13" i="39"/>
  <c r="W13" i="39" s="1"/>
  <c r="H14" i="40"/>
  <c r="AB14" i="40" s="1"/>
  <c r="J14" i="40"/>
  <c r="W14" i="40" s="1"/>
  <c r="F14" i="40"/>
  <c r="AA14" i="40"/>
  <c r="J14" i="37"/>
  <c r="J27" i="37"/>
  <c r="AC27" i="37" s="1"/>
  <c r="AA14" i="33"/>
  <c r="J36" i="37"/>
  <c r="AC36" i="37"/>
  <c r="J10" i="36"/>
  <c r="AC10" i="36" s="1"/>
  <c r="AB26" i="33"/>
  <c r="AB30" i="21"/>
  <c r="AA14" i="37"/>
  <c r="AB46" i="34"/>
  <c r="AA14" i="34"/>
  <c r="AB45" i="33"/>
  <c r="S44" i="34"/>
  <c r="BA585" i="3"/>
  <c r="F17" i="21"/>
  <c r="AA17" i="21" s="1"/>
  <c r="H17" i="21"/>
  <c r="AB17" i="21" s="1"/>
  <c r="F15" i="21"/>
  <c r="S15" i="21" s="1"/>
  <c r="W44" i="39"/>
  <c r="S35" i="39"/>
  <c r="G540" i="3"/>
  <c r="G535" i="3"/>
  <c r="G532" i="3"/>
  <c r="G527" i="3"/>
  <c r="G518" i="3"/>
  <c r="G510" i="3"/>
  <c r="G504" i="3"/>
  <c r="G500" i="3"/>
  <c r="G496" i="3"/>
  <c r="G580" i="3"/>
  <c r="G576" i="3"/>
  <c r="G572" i="3"/>
  <c r="G564" i="3"/>
  <c r="G550" i="3"/>
  <c r="BL584" i="3"/>
  <c r="BL580" i="3"/>
  <c r="BL576" i="3"/>
  <c r="BL568" i="3"/>
  <c r="BL542" i="3"/>
  <c r="BL522" i="3"/>
  <c r="BL494" i="3"/>
  <c r="BL582" i="3"/>
  <c r="BL578" i="3"/>
  <c r="BL570" i="3"/>
  <c r="BL566" i="3"/>
  <c r="BL540" i="3"/>
  <c r="G533" i="3"/>
  <c r="G525" i="3"/>
  <c r="BL504" i="3"/>
  <c r="BA584" i="3"/>
  <c r="AZ584" i="3" s="1"/>
  <c r="BA582" i="3"/>
  <c r="AZ582" i="3" s="1"/>
  <c r="BA578" i="3"/>
  <c r="BA576" i="3"/>
  <c r="AZ576" i="3" s="1"/>
  <c r="BA574" i="3"/>
  <c r="BA570" i="3"/>
  <c r="AZ570" i="3" s="1"/>
  <c r="BA568" i="3"/>
  <c r="BA566" i="3"/>
  <c r="BA560" i="3"/>
  <c r="BA554" i="3"/>
  <c r="BA544" i="3"/>
  <c r="BA538" i="3"/>
  <c r="BA524" i="3"/>
  <c r="BA514" i="3"/>
  <c r="BA508" i="3"/>
  <c r="BA498" i="3"/>
  <c r="BA587" i="3"/>
  <c r="BA583" i="3"/>
  <c r="BA579" i="3"/>
  <c r="BA577" i="3"/>
  <c r="BA575" i="3"/>
  <c r="BA571" i="3"/>
  <c r="BA569" i="3"/>
  <c r="BA567" i="3"/>
  <c r="BA563" i="3"/>
  <c r="BA549" i="3"/>
  <c r="BA539" i="3"/>
  <c r="BA527" i="3"/>
  <c r="BA515" i="3"/>
  <c r="BA503" i="3"/>
  <c r="G583" i="3"/>
  <c r="G581" i="3"/>
  <c r="G577" i="3"/>
  <c r="G575" i="3"/>
  <c r="G573" i="3"/>
  <c r="G569" i="3"/>
  <c r="G567" i="3"/>
  <c r="G565" i="3"/>
  <c r="AC557" i="3"/>
  <c r="G557" i="3" s="1"/>
  <c r="BQ557" i="3"/>
  <c r="BQ583" i="3"/>
  <c r="BL583" i="3" s="1"/>
  <c r="AZ583" i="3" s="1"/>
  <c r="BQ581" i="3"/>
  <c r="BQ579" i="3"/>
  <c r="BL579" i="3" s="1"/>
  <c r="BQ577" i="3"/>
  <c r="BL577" i="3" s="1"/>
  <c r="AZ577" i="3" s="1"/>
  <c r="BQ575" i="3"/>
  <c r="BL575" i="3"/>
  <c r="BQ573" i="3"/>
  <c r="BL573" i="3" s="1"/>
  <c r="BQ571" i="3"/>
  <c r="BQ569" i="3"/>
  <c r="BL569" i="3" s="1"/>
  <c r="BQ567" i="3"/>
  <c r="BL567" i="3" s="1"/>
  <c r="BQ565" i="3"/>
  <c r="BQ563" i="3"/>
  <c r="BQ561" i="3"/>
  <c r="BQ559" i="3"/>
  <c r="BL559" i="3" s="1"/>
  <c r="G549" i="3"/>
  <c r="G543" i="3"/>
  <c r="G541" i="3"/>
  <c r="G537" i="3"/>
  <c r="BQ555" i="3"/>
  <c r="BQ553" i="3"/>
  <c r="BQ551" i="3"/>
  <c r="BQ549" i="3"/>
  <c r="BQ547" i="3"/>
  <c r="BL547" i="3" s="1"/>
  <c r="BQ545" i="3"/>
  <c r="BQ543" i="3"/>
  <c r="BQ541" i="3"/>
  <c r="BQ539" i="3"/>
  <c r="BQ537" i="3"/>
  <c r="BQ535" i="3"/>
  <c r="BQ533" i="3"/>
  <c r="BL533" i="3"/>
  <c r="BQ531" i="3"/>
  <c r="BQ529" i="3"/>
  <c r="BQ527" i="3"/>
  <c r="BQ525" i="3"/>
  <c r="BQ523" i="3"/>
  <c r="AC521" i="3"/>
  <c r="G521" i="3" s="1"/>
  <c r="BQ521" i="3"/>
  <c r="G519" i="3"/>
  <c r="G513" i="3"/>
  <c r="G511" i="3"/>
  <c r="BQ519" i="3"/>
  <c r="BQ517" i="3"/>
  <c r="BQ515" i="3"/>
  <c r="BQ513" i="3"/>
  <c r="BQ511" i="3"/>
  <c r="AC509" i="3"/>
  <c r="BQ509" i="3"/>
  <c r="G507" i="3"/>
  <c r="G505" i="3"/>
  <c r="G499" i="3"/>
  <c r="G497" i="3"/>
  <c r="BQ507" i="3"/>
  <c r="BQ505" i="3"/>
  <c r="BQ503" i="3"/>
  <c r="BQ501" i="3"/>
  <c r="BQ499" i="3"/>
  <c r="BQ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s="1"/>
  <c r="F36" i="37"/>
  <c r="AA36" i="37" s="1"/>
  <c r="F37" i="37"/>
  <c r="AA37" i="37"/>
  <c r="F31" i="40"/>
  <c r="AA31" i="40" s="1"/>
  <c r="H31" i="40"/>
  <c r="U31" i="40" s="1"/>
  <c r="F32" i="40"/>
  <c r="S32" i="40" s="1"/>
  <c r="H32" i="40"/>
  <c r="AB32" i="40"/>
  <c r="J36" i="40"/>
  <c r="W36" i="40" s="1"/>
  <c r="H19" i="37"/>
  <c r="AB19" i="37" s="1"/>
  <c r="H42" i="33"/>
  <c r="AB42" i="33" s="1"/>
  <c r="J43" i="33"/>
  <c r="AC43" i="33"/>
  <c r="S28" i="31"/>
  <c r="S27" i="31"/>
  <c r="S26" i="31"/>
  <c r="U14" i="40"/>
  <c r="W23" i="35"/>
  <c r="U26" i="37"/>
  <c r="W47" i="34"/>
  <c r="AC36" i="34"/>
  <c r="AA13" i="33"/>
  <c r="AC31" i="33"/>
  <c r="AC45" i="33"/>
  <c r="W44" i="33"/>
  <c r="U11" i="33"/>
  <c r="U19" i="21"/>
  <c r="W44"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AC15" i="37" s="1"/>
  <c r="AT6" i="3"/>
  <c r="H19" i="40"/>
  <c r="U19" i="40" s="1"/>
  <c r="F19" i="40"/>
  <c r="S19" i="40" s="1"/>
  <c r="S14" i="40"/>
  <c r="AC13" i="40"/>
  <c r="W23" i="39"/>
  <c r="U45" i="39"/>
  <c r="AB45" i="39"/>
  <c r="AB44" i="39"/>
  <c r="U44" i="39"/>
  <c r="H37" i="39"/>
  <c r="AB37" i="39"/>
  <c r="AC37" i="39"/>
  <c r="W37" i="39"/>
  <c r="H25" i="39"/>
  <c r="AB25" i="39" s="1"/>
  <c r="J25" i="39"/>
  <c r="W25" i="39" s="1"/>
  <c r="F25" i="39"/>
  <c r="AA25" i="39" s="1"/>
  <c r="F15" i="39"/>
  <c r="AA15" i="39" s="1"/>
  <c r="H15" i="39"/>
  <c r="U15" i="39" s="1"/>
  <c r="J15" i="39"/>
  <c r="W15" i="39" s="1"/>
  <c r="AB34" i="39"/>
  <c r="W8" i="39"/>
  <c r="J19" i="40"/>
  <c r="AC19" i="40" s="1"/>
  <c r="J50" i="40"/>
  <c r="H103" i="9"/>
  <c r="D8" i="53" s="1"/>
  <c r="B16" i="53"/>
  <c r="B33" i="72" s="1"/>
  <c r="C7" i="37"/>
  <c r="C7" i="36"/>
  <c r="C46" i="36" s="1"/>
  <c r="D46" i="36" s="1"/>
  <c r="E46" i="36" s="1"/>
  <c r="F46" i="36" s="1"/>
  <c r="G46" i="36" s="1"/>
  <c r="H46" i="36" s="1"/>
  <c r="I46" i="36" s="1"/>
  <c r="W35" i="40"/>
  <c r="A118" i="9"/>
  <c r="A4" i="52"/>
  <c r="B41" i="72" s="1"/>
  <c r="G4" i="4"/>
  <c r="I4" i="4"/>
  <c r="A2" i="9"/>
  <c r="F61" i="43"/>
  <c r="H64" i="43" s="1"/>
  <c r="BL549" i="3"/>
  <c r="AZ549" i="3" s="1"/>
  <c r="G524" i="3"/>
  <c r="G303" i="3"/>
  <c r="BL304" i="3"/>
  <c r="G305" i="3"/>
  <c r="BL306" i="3"/>
  <c r="BA308" i="3"/>
  <c r="AZ308" i="3" s="1"/>
  <c r="BA309" i="3"/>
  <c r="AZ309" i="3" s="1"/>
  <c r="BL309" i="3"/>
  <c r="G310" i="3"/>
  <c r="BA311" i="3"/>
  <c r="G319" i="3"/>
  <c r="BL320" i="3"/>
  <c r="G321" i="3"/>
  <c r="BL322" i="3"/>
  <c r="BA324" i="3"/>
  <c r="BA325" i="3"/>
  <c r="BL325" i="3"/>
  <c r="AZ325" i="3" s="1"/>
  <c r="G326" i="3"/>
  <c r="BA327" i="3"/>
  <c r="AZ327" i="3" s="1"/>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s="1"/>
  <c r="G157" i="3"/>
  <c r="BA159" i="3"/>
  <c r="BL160" i="3"/>
  <c r="AZ160" i="3" s="1"/>
  <c r="G161" i="3"/>
  <c r="BA163" i="3"/>
  <c r="AZ163" i="3"/>
  <c r="BL164" i="3"/>
  <c r="G165" i="3"/>
  <c r="BA167" i="3"/>
  <c r="BL168" i="3"/>
  <c r="G169" i="3"/>
  <c r="BA171" i="3"/>
  <c r="BL172" i="3"/>
  <c r="G173" i="3"/>
  <c r="BA175" i="3"/>
  <c r="BL176" i="3"/>
  <c r="G177" i="3"/>
  <c r="BA179" i="3"/>
  <c r="AZ179" i="3"/>
  <c r="BL180" i="3"/>
  <c r="G181" i="3"/>
  <c r="BA183" i="3"/>
  <c r="BL184" i="3"/>
  <c r="G185" i="3"/>
  <c r="BA187" i="3"/>
  <c r="BL188" i="3"/>
  <c r="AZ188" i="3" s="1"/>
  <c r="G189" i="3"/>
  <c r="BA191" i="3"/>
  <c r="BL192" i="3"/>
  <c r="G193" i="3"/>
  <c r="BA195" i="3"/>
  <c r="AZ195" i="3" s="1"/>
  <c r="BL196" i="3"/>
  <c r="G197" i="3"/>
  <c r="BA199" i="3"/>
  <c r="BL200" i="3"/>
  <c r="G201" i="3"/>
  <c r="BA203" i="3"/>
  <c r="BL204" i="3"/>
  <c r="AZ120" i="3"/>
  <c r="AZ128" i="3"/>
  <c r="G534" i="3"/>
  <c r="G512" i="3"/>
  <c r="G506" i="3"/>
  <c r="G498" i="3"/>
  <c r="G15" i="3"/>
  <c r="BA304" i="3"/>
  <c r="BA305" i="3"/>
  <c r="AZ305" i="3" s="1"/>
  <c r="BL305" i="3"/>
  <c r="G306" i="3"/>
  <c r="G309" i="3"/>
  <c r="BL310" i="3"/>
  <c r="BA312" i="3"/>
  <c r="BA313" i="3"/>
  <c r="AZ313" i="3" s="1"/>
  <c r="BL313" i="3"/>
  <c r="G314" i="3"/>
  <c r="G317" i="3"/>
  <c r="BL318" i="3"/>
  <c r="BA320" i="3"/>
  <c r="AZ320" i="3"/>
  <c r="BA321" i="3"/>
  <c r="BL321" i="3"/>
  <c r="G322" i="3"/>
  <c r="G325" i="3"/>
  <c r="BL326" i="3"/>
  <c r="BA328" i="3"/>
  <c r="BA329" i="3"/>
  <c r="BL329" i="3"/>
  <c r="G330" i="3"/>
  <c r="G333" i="3"/>
  <c r="BL334" i="3"/>
  <c r="BA336" i="3"/>
  <c r="AZ336" i="3" s="1"/>
  <c r="BA337" i="3"/>
  <c r="BL337" i="3"/>
  <c r="G338" i="3"/>
  <c r="G341" i="3"/>
  <c r="BA342" i="3"/>
  <c r="AZ342" i="3" s="1"/>
  <c r="BL342" i="3"/>
  <c r="BA344" i="3"/>
  <c r="BL344" i="3"/>
  <c r="AZ344" i="3"/>
  <c r="BA346" i="3"/>
  <c r="AZ346" i="3" s="1"/>
  <c r="BA347" i="3"/>
  <c r="BL347" i="3"/>
  <c r="G350" i="3"/>
  <c r="BA351" i="3"/>
  <c r="BL351" i="3"/>
  <c r="AZ351" i="3" s="1"/>
  <c r="G352" i="3"/>
  <c r="G354" i="3"/>
  <c r="BA355" i="3"/>
  <c r="AZ355" i="3"/>
  <c r="BA356" i="3"/>
  <c r="BL356" i="3"/>
  <c r="AZ356" i="3" s="1"/>
  <c r="G357" i="3"/>
  <c r="G360" i="3"/>
  <c r="BL361" i="3"/>
  <c r="BA363" i="3"/>
  <c r="BA364" i="3"/>
  <c r="BL364" i="3"/>
  <c r="G365" i="3"/>
  <c r="G368" i="3"/>
  <c r="BL369" i="3"/>
  <c r="BA371" i="3"/>
  <c r="BA372" i="3"/>
  <c r="BL372" i="3"/>
  <c r="G373" i="3"/>
  <c r="G376" i="3"/>
  <c r="BL377" i="3"/>
  <c r="BL379" i="3"/>
  <c r="BA381" i="3"/>
  <c r="AZ381" i="3"/>
  <c r="BA382" i="3"/>
  <c r="BL382" i="3"/>
  <c r="G383" i="3"/>
  <c r="G386" i="3"/>
  <c r="BL387" i="3"/>
  <c r="BA389" i="3"/>
  <c r="AZ389" i="3" s="1"/>
  <c r="BA390" i="3"/>
  <c r="BL390" i="3"/>
  <c r="AZ390" i="3" s="1"/>
  <c r="G391" i="3"/>
  <c r="G394" i="3"/>
  <c r="AZ154" i="3"/>
  <c r="AZ162" i="3"/>
  <c r="AZ198" i="3"/>
  <c r="BA16" i="3"/>
  <c r="BL303" i="3"/>
  <c r="G304" i="3"/>
  <c r="BA306" i="3"/>
  <c r="BL307" i="3"/>
  <c r="G308" i="3"/>
  <c r="BA310" i="3"/>
  <c r="AZ310" i="3"/>
  <c r="BL311" i="3"/>
  <c r="G312" i="3"/>
  <c r="BA314" i="3"/>
  <c r="BL315" i="3"/>
  <c r="AZ315" i="3"/>
  <c r="G316" i="3"/>
  <c r="BA318" i="3"/>
  <c r="AZ318" i="3" s="1"/>
  <c r="BL319" i="3"/>
  <c r="AZ319" i="3" s="1"/>
  <c r="G320" i="3"/>
  <c r="BA322" i="3"/>
  <c r="AZ322" i="3" s="1"/>
  <c r="BL323" i="3"/>
  <c r="G324" i="3"/>
  <c r="BA326" i="3"/>
  <c r="AZ326" i="3" s="1"/>
  <c r="BL327" i="3"/>
  <c r="G328" i="3"/>
  <c r="BA330" i="3"/>
  <c r="BL331" i="3"/>
  <c r="AZ331" i="3" s="1"/>
  <c r="G332" i="3"/>
  <c r="BA334" i="3"/>
  <c r="AZ334" i="3" s="1"/>
  <c r="BL335" i="3"/>
  <c r="G336" i="3"/>
  <c r="BA338" i="3"/>
  <c r="BL339" i="3"/>
  <c r="G340" i="3"/>
  <c r="BL343" i="3"/>
  <c r="G344" i="3"/>
  <c r="G348" i="3"/>
  <c r="G355" i="3"/>
  <c r="AZ222" i="3"/>
  <c r="G342" i="3"/>
  <c r="BL345" i="3"/>
  <c r="AZ345" i="3" s="1"/>
  <c r="G346" i="3"/>
  <c r="BL349" i="3"/>
  <c r="BL352" i="3"/>
  <c r="G353" i="3"/>
  <c r="BA357" i="3"/>
  <c r="BL358" i="3"/>
  <c r="G359" i="3"/>
  <c r="BA361" i="3"/>
  <c r="AZ361" i="3"/>
  <c r="BL362" i="3"/>
  <c r="G363" i="3"/>
  <c r="BA365" i="3"/>
  <c r="BL366" i="3"/>
  <c r="G367" i="3"/>
  <c r="BA369" i="3"/>
  <c r="AZ369" i="3"/>
  <c r="BL370" i="3"/>
  <c r="G371" i="3"/>
  <c r="BA373" i="3"/>
  <c r="AZ373" i="3"/>
  <c r="BL374" i="3"/>
  <c r="G375" i="3"/>
  <c r="BA377" i="3"/>
  <c r="AZ377" i="3"/>
  <c r="AZ237" i="3"/>
  <c r="AZ245" i="3"/>
  <c r="AZ257" i="3"/>
  <c r="AZ265" i="3"/>
  <c r="BA379" i="3"/>
  <c r="BL380" i="3"/>
  <c r="AZ380" i="3" s="1"/>
  <c r="G381" i="3"/>
  <c r="BA383" i="3"/>
  <c r="AZ383" i="3" s="1"/>
  <c r="BL384" i="3"/>
  <c r="AZ384" i="3" s="1"/>
  <c r="G385" i="3"/>
  <c r="BA387" i="3"/>
  <c r="BL388" i="3"/>
  <c r="G389" i="3"/>
  <c r="BA391" i="3"/>
  <c r="AZ391" i="3" s="1"/>
  <c r="BL392" i="3"/>
  <c r="G393" i="3"/>
  <c r="AZ283" i="3"/>
  <c r="BM5" i="3"/>
  <c r="BD5" i="3"/>
  <c r="AZ341" i="3"/>
  <c r="G548" i="3"/>
  <c r="G520" i="3"/>
  <c r="BN5" i="3"/>
  <c r="BE5" i="3"/>
  <c r="G17" i="3"/>
  <c r="BA17" i="3"/>
  <c r="BT5" i="3"/>
  <c r="BA15" i="3"/>
  <c r="AZ392" i="3"/>
  <c r="BL493" i="3"/>
  <c r="F83" i="43"/>
  <c r="H85" i="43" s="1"/>
  <c r="F50" i="43"/>
  <c r="H54" i="43" s="1"/>
  <c r="F72" i="43"/>
  <c r="H75" i="43" s="1"/>
  <c r="U17" i="39"/>
  <c r="S14" i="35"/>
  <c r="U35" i="21"/>
  <c r="AC35" i="21"/>
  <c r="G10" i="1"/>
  <c r="W37" i="37"/>
  <c r="W44" i="34"/>
  <c r="S15" i="37"/>
  <c r="U13" i="37"/>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AB27" i="40" s="1"/>
  <c r="U27" i="40"/>
  <c r="J27" i="40"/>
  <c r="AC27" i="40"/>
  <c r="F27" i="40"/>
  <c r="AA27" i="40" s="1"/>
  <c r="S27" i="40"/>
  <c r="J30" i="40"/>
  <c r="AC30" i="40"/>
  <c r="F30" i="40"/>
  <c r="AA30" i="40"/>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AZ240" i="3"/>
  <c r="AZ280" i="3"/>
  <c r="AZ50" i="3"/>
  <c r="AZ82" i="3"/>
  <c r="F23" i="39"/>
  <c r="S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AC26" i="33"/>
  <c r="W26" i="33"/>
  <c r="W27" i="34"/>
  <c r="AC27" i="34"/>
  <c r="AB33" i="36"/>
  <c r="U33" i="36"/>
  <c r="AC12" i="39"/>
  <c r="W12" i="39"/>
  <c r="AZ412" i="3"/>
  <c r="AZ433" i="3"/>
  <c r="AA32" i="36"/>
  <c r="S32" i="36"/>
  <c r="AZ437" i="3"/>
  <c r="BL14" i="3"/>
  <c r="F12" i="33"/>
  <c r="S12" i="33" s="1"/>
  <c r="H12" i="39"/>
  <c r="AB12" i="39"/>
  <c r="F39" i="40"/>
  <c r="BA14" i="3"/>
  <c r="AZ224" i="3"/>
  <c r="AZ173" i="3"/>
  <c r="AZ181" i="3"/>
  <c r="B12" i="1"/>
  <c r="E12" i="1" s="1"/>
  <c r="B10" i="1"/>
  <c r="E10" i="1" s="1"/>
  <c r="K12" i="1"/>
  <c r="M12" i="1" s="1"/>
  <c r="S13" i="1"/>
  <c r="AR13" i="1" s="1"/>
  <c r="R13" i="1"/>
  <c r="J51" i="67"/>
  <c r="C42" i="1"/>
  <c r="C24" i="12" s="1"/>
  <c r="AC34" i="33"/>
  <c r="AA34" i="33"/>
  <c r="B41" i="1"/>
  <c r="F48" i="9" s="1"/>
  <c r="O52" i="9" s="1"/>
  <c r="AB37" i="40"/>
  <c r="S35" i="40"/>
  <c r="U35" i="40"/>
  <c r="AC36" i="40"/>
  <c r="AA32" i="40"/>
  <c r="S17" i="40"/>
  <c r="S23" i="40"/>
  <c r="AC17" i="40"/>
  <c r="AC15" i="40"/>
  <c r="S30" i="40"/>
  <c r="S28" i="40"/>
  <c r="U21" i="40"/>
  <c r="AB19" i="40"/>
  <c r="U37" i="39"/>
  <c r="U35" i="39"/>
  <c r="F32" i="39"/>
  <c r="AA32" i="39" s="1"/>
  <c r="F106" i="39"/>
  <c r="G106" i="39" s="1"/>
  <c r="H106" i="39" s="1"/>
  <c r="I106" i="39" s="1"/>
  <c r="J106" i="39" s="1"/>
  <c r="K106" i="39" s="1"/>
  <c r="L106" i="39" s="1"/>
  <c r="M106" i="39" s="1"/>
  <c r="J21" i="39"/>
  <c r="W21" i="39" s="1"/>
  <c r="F21" i="39"/>
  <c r="AA21" i="39" s="1"/>
  <c r="H21" i="39"/>
  <c r="U21" i="39" s="1"/>
  <c r="S17" i="39"/>
  <c r="S15" i="39"/>
  <c r="AA12" i="39"/>
  <c r="U14" i="39"/>
  <c r="U12" i="39"/>
  <c r="U13" i="36"/>
  <c r="U26" i="36"/>
  <c r="S33" i="36"/>
  <c r="AA26" i="36"/>
  <c r="AA34" i="36"/>
  <c r="AC26" i="36"/>
  <c r="W14" i="36"/>
  <c r="AB14" i="36"/>
  <c r="U22" i="36"/>
  <c r="AA25" i="36"/>
  <c r="S24" i="36"/>
  <c r="U23" i="36"/>
  <c r="U16" i="36"/>
  <c r="S14" i="36"/>
  <c r="AA25" i="35"/>
  <c r="S23" i="35"/>
  <c r="W24" i="35"/>
  <c r="U29" i="35"/>
  <c r="U28" i="35"/>
  <c r="AB27" i="35"/>
  <c r="U32" i="35"/>
  <c r="AA33" i="35"/>
  <c r="AC30" i="35"/>
  <c r="S32" i="35"/>
  <c r="AA36" i="35"/>
  <c r="S28" i="35"/>
  <c r="AB16" i="35"/>
  <c r="U22" i="35"/>
  <c r="AC20" i="35"/>
  <c r="S22" i="35"/>
  <c r="U14" i="35"/>
  <c r="AC9" i="35"/>
  <c r="W9" i="35"/>
  <c r="F9" i="35"/>
  <c r="S9" i="35" s="1"/>
  <c r="H9" i="35"/>
  <c r="U9" i="35" s="1"/>
  <c r="AB40" i="37"/>
  <c r="S25" i="37"/>
  <c r="AC29" i="37"/>
  <c r="U29" i="37"/>
  <c r="S32" i="37"/>
  <c r="W30" i="37"/>
  <c r="AA38" i="37"/>
  <c r="U32" i="37"/>
  <c r="W38" i="37"/>
  <c r="AC35" i="37"/>
  <c r="S30" i="37"/>
  <c r="S37" i="37"/>
  <c r="J17" i="37"/>
  <c r="W17" i="37" s="1"/>
  <c r="G73" i="37"/>
  <c r="F17" i="37"/>
  <c r="AA17" i="37" s="1"/>
  <c r="AB17" i="37"/>
  <c r="F75" i="37"/>
  <c r="G75" i="37" s="1"/>
  <c r="F19" i="37"/>
  <c r="S19" i="37" s="1"/>
  <c r="F79" i="37"/>
  <c r="F23" i="37"/>
  <c r="S23" i="37" s="1"/>
  <c r="U23" i="37"/>
  <c r="U15" i="37"/>
  <c r="AC13" i="37"/>
  <c r="AA13" i="37"/>
  <c r="H10" i="37"/>
  <c r="AB10" i="37" s="1"/>
  <c r="F63" i="37"/>
  <c r="G63" i="37" s="1"/>
  <c r="H63" i="37" s="1"/>
  <c r="I63" i="37" s="1"/>
  <c r="J63" i="37" s="1"/>
  <c r="K63" i="37" s="1"/>
  <c r="L63" i="37" s="1"/>
  <c r="M63" i="37" s="1"/>
  <c r="F11" i="37"/>
  <c r="S11" i="37" s="1"/>
  <c r="W25" i="34"/>
  <c r="AB8" i="34"/>
  <c r="AA33" i="34"/>
  <c r="AC39" i="34"/>
  <c r="W41" i="34"/>
  <c r="AC42" i="34"/>
  <c r="AB35" i="34"/>
  <c r="U39" i="34"/>
  <c r="S43" i="34"/>
  <c r="AB41" i="34"/>
  <c r="AA45" i="34"/>
  <c r="AA25" i="34"/>
  <c r="U28" i="34"/>
  <c r="S17" i="34"/>
  <c r="U27" i="34"/>
  <c r="S23" i="34"/>
  <c r="U15"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s="1"/>
  <c r="H121" i="33" s="1"/>
  <c r="I121" i="33" s="1"/>
  <c r="J121" i="33" s="1"/>
  <c r="K121" i="33" s="1"/>
  <c r="L121" i="33" s="1"/>
  <c r="M121" i="33" s="1"/>
  <c r="U42" i="33"/>
  <c r="S42" i="33"/>
  <c r="F36" i="33"/>
  <c r="AA36"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W43" i="33"/>
  <c r="S43" i="33"/>
  <c r="H27" i="33"/>
  <c r="F87" i="33"/>
  <c r="G87" i="33" s="1"/>
  <c r="H87" i="33" s="1"/>
  <c r="I87" i="33" s="1"/>
  <c r="J87" i="33" s="1"/>
  <c r="K87" i="33" s="1"/>
  <c r="L87" i="33" s="1"/>
  <c r="M87" i="33" s="1"/>
  <c r="H25" i="33"/>
  <c r="U25" i="33" s="1"/>
  <c r="F25" i="33"/>
  <c r="J23" i="33"/>
  <c r="AC23" i="33" s="1"/>
  <c r="F85" i="33"/>
  <c r="H23" i="33"/>
  <c r="AB23" i="33" s="1"/>
  <c r="F81" i="33"/>
  <c r="F19" i="33"/>
  <c r="S19" i="33" s="1"/>
  <c r="W19" i="33"/>
  <c r="J17" i="33"/>
  <c r="W17" i="33" s="1"/>
  <c r="F79" i="33"/>
  <c r="G79" i="33" s="1"/>
  <c r="S15" i="33"/>
  <c r="W15" i="33"/>
  <c r="U9" i="33"/>
  <c r="J10" i="33"/>
  <c r="W10" i="33" s="1"/>
  <c r="H10" i="33"/>
  <c r="U10" i="33" s="1"/>
  <c r="AB14" i="33"/>
  <c r="W43" i="21"/>
  <c r="W36" i="21"/>
  <c r="AB39" i="21"/>
  <c r="AA43" i="21"/>
  <c r="AA38" i="21"/>
  <c r="AA36" i="21"/>
  <c r="AC40" i="21"/>
  <c r="J15" i="21"/>
  <c r="W15" i="21" s="1"/>
  <c r="F77" i="21"/>
  <c r="G77" i="21" s="1"/>
  <c r="F23" i="21"/>
  <c r="AA23" i="21" s="1"/>
  <c r="E85" i="21"/>
  <c r="AA14" i="21"/>
  <c r="D120" i="9"/>
  <c r="D121" i="9" s="1"/>
  <c r="D7" i="52" s="1"/>
  <c r="F34" i="67"/>
  <c r="F62" i="67" s="1"/>
  <c r="M20" i="67"/>
  <c r="F34" i="15"/>
  <c r="F62" i="15" s="1"/>
  <c r="G13" i="3"/>
  <c r="BL17" i="3"/>
  <c r="AZ17" i="3" s="1"/>
  <c r="BL13" i="3"/>
  <c r="J56" i="9"/>
  <c r="J57" i="9" s="1"/>
  <c r="J59" i="9" s="1"/>
  <c r="J61" i="9" s="1"/>
  <c r="A24" i="51"/>
  <c r="B18" i="72" s="1"/>
  <c r="E5" i="6"/>
  <c r="E32" i="6"/>
  <c r="G1" i="68"/>
  <c r="K1" i="12"/>
  <c r="E19" i="11"/>
  <c r="G26" i="12"/>
  <c r="C6" i="43"/>
  <c r="B19" i="53"/>
  <c r="B37" i="72" s="1"/>
  <c r="C7" i="35"/>
  <c r="C48" i="35" s="1"/>
  <c r="D48" i="35" s="1"/>
  <c r="C7" i="21"/>
  <c r="M47" i="9"/>
  <c r="C52" i="37"/>
  <c r="D52" i="37"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S13" i="40"/>
  <c r="AA15" i="40"/>
  <c r="U11" i="40"/>
  <c r="S31" i="40"/>
  <c r="AB13" i="40"/>
  <c r="U15" i="40"/>
  <c r="U8" i="40"/>
  <c r="S8" i="40"/>
  <c r="AA39" i="39"/>
  <c r="S14" i="39"/>
  <c r="AA14" i="39"/>
  <c r="U43" i="39"/>
  <c r="AB43" i="39"/>
  <c r="W17" i="39"/>
  <c r="AC17" i="39"/>
  <c r="AA45" i="39"/>
  <c r="AB39" i="39"/>
  <c r="W34" i="39"/>
  <c r="S20" i="36"/>
  <c r="AC25" i="36"/>
  <c r="W29" i="36"/>
  <c r="AC20" i="36"/>
  <c r="U25" i="36"/>
  <c r="AB28" i="36"/>
  <c r="AA13" i="36"/>
  <c r="W9" i="36"/>
  <c r="W22" i="36"/>
  <c r="W23" i="36"/>
  <c r="AB20" i="35"/>
  <c r="AC25" i="35"/>
  <c r="U25" i="35"/>
  <c r="U24" i="35"/>
  <c r="S35" i="35"/>
  <c r="W35" i="35"/>
  <c r="AA16" i="35"/>
  <c r="AA35" i="37"/>
  <c r="W36" i="37"/>
  <c r="S27" i="37"/>
  <c r="S28" i="37"/>
  <c r="U36" i="37"/>
  <c r="S40" i="37"/>
  <c r="U38" i="37"/>
  <c r="AB37" i="37"/>
  <c r="AC34" i="37"/>
  <c r="AA31" i="37"/>
  <c r="AA29" i="37"/>
  <c r="U8" i="37"/>
  <c r="AA40" i="34"/>
  <c r="AB40" i="34"/>
  <c r="U19" i="34"/>
  <c r="W19" i="34"/>
  <c r="AA31" i="34"/>
  <c r="AA30" i="34"/>
  <c r="AB45" i="34"/>
  <c r="U25"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AC43" i="34"/>
  <c r="W43" i="34"/>
  <c r="W23" i="34"/>
  <c r="AC23" i="34"/>
  <c r="AC35" i="34"/>
  <c r="W35" i="34"/>
  <c r="AB28" i="33"/>
  <c r="AC37" i="33"/>
  <c r="U39" i="33"/>
  <c r="U38" i="33"/>
  <c r="S33" i="33"/>
  <c r="U44" i="33"/>
  <c r="AB44" i="33"/>
  <c r="AC14" i="33"/>
  <c r="W14" i="33"/>
  <c r="AC30" i="33"/>
  <c r="S31" i="33"/>
  <c r="AA31" i="33"/>
  <c r="W13" i="33"/>
  <c r="AC13" i="33"/>
  <c r="S11" i="33"/>
  <c r="U37" i="33"/>
  <c r="AC28" i="33"/>
  <c r="W9" i="33"/>
  <c r="W8" i="33"/>
  <c r="AB42" i="21"/>
  <c r="U28" i="21"/>
  <c r="I101" i="21"/>
  <c r="J101" i="21" s="1"/>
  <c r="K101" i="21" s="1"/>
  <c r="L101" i="21" s="1"/>
  <c r="M101" i="21" s="1"/>
  <c r="F33" i="21"/>
  <c r="AA33" i="21" s="1"/>
  <c r="J33" i="21"/>
  <c r="AC33" i="21" s="1"/>
  <c r="H33" i="21"/>
  <c r="AB33" i="21" s="1"/>
  <c r="F37" i="21"/>
  <c r="AA37" i="21" s="1"/>
  <c r="AA26" i="21"/>
  <c r="AB14" i="21"/>
  <c r="AB46" i="21"/>
  <c r="U40" i="21"/>
  <c r="AB31" i="21"/>
  <c r="U31" i="21"/>
  <c r="AC15" i="21"/>
  <c r="S35" i="21"/>
  <c r="J37" i="21"/>
  <c r="W37" i="21" s="1"/>
  <c r="H15" i="21"/>
  <c r="U15" i="21"/>
  <c r="J17" i="21"/>
  <c r="W17" i="21" s="1"/>
  <c r="AC17" i="21"/>
  <c r="AC19" i="21"/>
  <c r="W30" i="21"/>
  <c r="S46" i="21"/>
  <c r="H45" i="21"/>
  <c r="U45" i="21" s="1"/>
  <c r="F29" i="21"/>
  <c r="AA29" i="21" s="1"/>
  <c r="F13" i="21"/>
  <c r="AA13" i="21" s="1"/>
  <c r="AC38" i="21"/>
  <c r="H32" i="21"/>
  <c r="U32" i="21" s="1"/>
  <c r="H9" i="21"/>
  <c r="J9" i="21"/>
  <c r="W9" i="21" s="1"/>
  <c r="J32" i="21"/>
  <c r="W32" i="21" s="1"/>
  <c r="F32" i="21"/>
  <c r="S32" i="21" s="1"/>
  <c r="U17" i="21"/>
  <c r="S19" i="21"/>
  <c r="S9" i="21"/>
  <c r="AA9" i="21"/>
  <c r="K141" i="21"/>
  <c r="K144" i="21"/>
  <c r="K143" i="21"/>
  <c r="U27" i="21"/>
  <c r="AB25" i="21"/>
  <c r="AA30" i="21"/>
  <c r="W42" i="21"/>
  <c r="AC45" i="21"/>
  <c r="F10" i="21"/>
  <c r="AA10" i="21" s="1"/>
  <c r="K145" i="21"/>
  <c r="W25" i="21"/>
  <c r="W31" i="21"/>
  <c r="S17" i="21"/>
  <c r="AA15" i="21"/>
  <c r="AC27" i="21"/>
  <c r="AC26" i="21"/>
  <c r="S28" i="21"/>
  <c r="AB36" i="21"/>
  <c r="W30" i="40"/>
  <c r="C19" i="39"/>
  <c r="C15" i="40"/>
  <c r="C17" i="40"/>
  <c r="C21" i="40"/>
  <c r="U30" i="40"/>
  <c r="B56" i="43"/>
  <c r="B67" i="43"/>
  <c r="B51" i="43"/>
  <c r="B58" i="43"/>
  <c r="B62" i="43"/>
  <c r="B69" i="43"/>
  <c r="D23" i="15"/>
  <c r="D22" i="15"/>
  <c r="E4" i="4"/>
  <c r="B5" i="62" s="1"/>
  <c r="B73" i="72" s="1"/>
  <c r="C4" i="4"/>
  <c r="F30" i="68"/>
  <c r="F48" i="68" s="1"/>
  <c r="F28" i="67"/>
  <c r="F31" i="12"/>
  <c r="F52" i="9"/>
  <c r="F32" i="67"/>
  <c r="F60" i="67" s="1"/>
  <c r="F30" i="69"/>
  <c r="F48" i="69" s="1"/>
  <c r="F32" i="15"/>
  <c r="F60" i="15" s="1"/>
  <c r="F28" i="15"/>
  <c r="AA39" i="40"/>
  <c r="S39" i="40"/>
  <c r="AA12" i="33"/>
  <c r="D68" i="9"/>
  <c r="F54" i="9"/>
  <c r="J32" i="39"/>
  <c r="W32" i="39" s="1"/>
  <c r="AC17" i="37"/>
  <c r="S17" i="37"/>
  <c r="J19" i="37"/>
  <c r="W19" i="37" s="1"/>
  <c r="AA23" i="37"/>
  <c r="J23" i="37"/>
  <c r="W23" i="37" s="1"/>
  <c r="G79" i="37"/>
  <c r="J10" i="37"/>
  <c r="W10" i="37" s="1"/>
  <c r="H11" i="37"/>
  <c r="AB11" i="37" s="1"/>
  <c r="H11" i="34"/>
  <c r="U11" i="34" s="1"/>
  <c r="J10" i="34"/>
  <c r="AC10" i="34" s="1"/>
  <c r="AB41" i="33"/>
  <c r="W35" i="33"/>
  <c r="AC35" i="33"/>
  <c r="J36" i="33"/>
  <c r="W36" i="33" s="1"/>
  <c r="H36" i="33"/>
  <c r="U36" i="33" s="1"/>
  <c r="AC32" i="33"/>
  <c r="W32" i="33"/>
  <c r="U27" i="33"/>
  <c r="AB27" i="33"/>
  <c r="J27" i="33"/>
  <c r="W27" i="33" s="1"/>
  <c r="S25" i="33"/>
  <c r="AA25" i="33"/>
  <c r="J25" i="33"/>
  <c r="AC25" i="33" s="1"/>
  <c r="F23" i="33"/>
  <c r="G85" i="33"/>
  <c r="H19" i="33"/>
  <c r="AB19" i="33" s="1"/>
  <c r="G81" i="33"/>
  <c r="H17" i="33"/>
  <c r="U17" i="33" s="1"/>
  <c r="F17" i="33"/>
  <c r="S17" i="33" s="1"/>
  <c r="S37" i="21"/>
  <c r="AB15" i="21"/>
  <c r="J23" i="21"/>
  <c r="F85" i="21"/>
  <c r="G85" i="21" s="1"/>
  <c r="H23" i="21"/>
  <c r="D6" i="52"/>
  <c r="AP7" i="1"/>
  <c r="AB9" i="21"/>
  <c r="U9" i="21"/>
  <c r="AA32" i="21"/>
  <c r="AB32" i="21"/>
  <c r="J11" i="37"/>
  <c r="AC11" i="37" s="1"/>
  <c r="J11" i="34"/>
  <c r="W11" i="34" s="1"/>
  <c r="W25" i="33"/>
  <c r="AA17" i="33"/>
  <c r="U23" i="21"/>
  <c r="AB23" i="21"/>
  <c r="AC23" i="21"/>
  <c r="W23" i="21"/>
  <c r="H109" i="9"/>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E8" i="76"/>
  <c r="F38" i="67"/>
  <c r="E12" i="76"/>
  <c r="F8" i="67"/>
  <c r="B12" i="76"/>
  <c r="J15" i="67"/>
  <c r="E9" i="76"/>
  <c r="E11" i="76"/>
  <c r="C76" i="67"/>
  <c r="B9" i="76"/>
  <c r="E10" i="76"/>
  <c r="M24" i="67"/>
  <c r="F40" i="67"/>
  <c r="F4" i="73"/>
  <c r="F6" i="73"/>
  <c r="F37" i="67"/>
  <c r="F8" i="15"/>
  <c r="M6" i="67"/>
  <c r="M22" i="15"/>
  <c r="L47" i="15"/>
  <c r="M23" i="67"/>
  <c r="B10" i="76"/>
  <c r="M8" i="15"/>
  <c r="F9" i="67"/>
  <c r="F16" i="67"/>
  <c r="E2" i="69"/>
  <c r="F42" i="67"/>
  <c r="F40" i="15"/>
  <c r="AO13" i="1"/>
  <c r="F37" i="15"/>
  <c r="M28" i="67"/>
  <c r="F20" i="31"/>
  <c r="B7" i="76"/>
  <c r="L48" i="15"/>
  <c r="B13" i="76"/>
  <c r="F43" i="67"/>
  <c r="F38" i="15"/>
  <c r="F6" i="67"/>
  <c r="E7" i="76"/>
  <c r="F16" i="15"/>
  <c r="F26" i="15"/>
  <c r="E2" i="68"/>
  <c r="F5" i="73"/>
  <c r="F7" i="67"/>
  <c r="F13" i="15"/>
  <c r="J15" i="15"/>
  <c r="C76" i="15"/>
  <c r="M23" i="15"/>
  <c r="M29" i="67"/>
  <c r="B11" i="76"/>
  <c r="M9" i="67"/>
  <c r="F26" i="67"/>
  <c r="M24" i="15"/>
  <c r="F3" i="73"/>
  <c r="M6" i="15"/>
  <c r="B8" i="76"/>
  <c r="F7" i="73"/>
  <c r="M26" i="67"/>
  <c r="F9" i="15"/>
  <c r="M9" i="15"/>
  <c r="F36" i="67"/>
  <c r="L47" i="67"/>
  <c r="L48" i="67"/>
  <c r="F36" i="15"/>
  <c r="M8" i="67"/>
  <c r="M22" i="67"/>
  <c r="F13" i="67"/>
  <c r="E13" i="76"/>
  <c r="F6" i="15"/>
  <c r="M28" i="15"/>
  <c r="AZ502" i="3" l="1"/>
  <c r="AZ499" i="3"/>
  <c r="AZ563" i="3"/>
  <c r="AZ558" i="3"/>
  <c r="AZ510" i="3"/>
  <c r="AZ538" i="3"/>
  <c r="AZ530" i="3"/>
  <c r="AZ513" i="3"/>
  <c r="AZ508" i="3"/>
  <c r="AZ544" i="3"/>
  <c r="G29" i="6"/>
  <c r="AB36" i="39"/>
  <c r="U36" i="39"/>
  <c r="AB35" i="33"/>
  <c r="U35" i="33"/>
  <c r="AA27" i="35"/>
  <c r="S27" i="35"/>
  <c r="J12" i="36"/>
  <c r="F12" i="36"/>
  <c r="AA34" i="39"/>
  <c r="S34" i="39"/>
  <c r="BA526" i="3"/>
  <c r="AZ526" i="3" s="1"/>
  <c r="AZ518" i="3"/>
  <c r="BL514" i="3"/>
  <c r="AZ514" i="3" s="1"/>
  <c r="J24" i="36"/>
  <c r="H24" i="36"/>
  <c r="BA546" i="3"/>
  <c r="AZ546" i="3" s="1"/>
  <c r="BA537" i="3"/>
  <c r="AZ537" i="3" s="1"/>
  <c r="BL529" i="3"/>
  <c r="BL516" i="3"/>
  <c r="AZ516" i="3" s="1"/>
  <c r="BL505" i="3"/>
  <c r="AZ505" i="3" s="1"/>
  <c r="BA500" i="3"/>
  <c r="AZ500" i="3" s="1"/>
  <c r="U19" i="33"/>
  <c r="AC27" i="33"/>
  <c r="AC23" i="37"/>
  <c r="AC9" i="21"/>
  <c r="AC17" i="33"/>
  <c r="S36" i="33"/>
  <c r="B54" i="43"/>
  <c r="AC34" i="21"/>
  <c r="AA31" i="21"/>
  <c r="AC14" i="21"/>
  <c r="AC45" i="34"/>
  <c r="U19" i="37"/>
  <c r="W32" i="37"/>
  <c r="S8" i="39"/>
  <c r="S23" i="21"/>
  <c r="W41" i="21"/>
  <c r="AC11" i="33"/>
  <c r="AB31" i="37"/>
  <c r="W27" i="37"/>
  <c r="AB20" i="36"/>
  <c r="AA19" i="40"/>
  <c r="U36" i="40"/>
  <c r="AC5" i="3"/>
  <c r="AZ379" i="3"/>
  <c r="AZ357" i="3"/>
  <c r="AZ372" i="3"/>
  <c r="AZ347" i="3"/>
  <c r="AZ337" i="3"/>
  <c r="AZ360" i="3"/>
  <c r="W15" i="37"/>
  <c r="BL515" i="3"/>
  <c r="AZ515" i="3" s="1"/>
  <c r="BL527" i="3"/>
  <c r="AZ527" i="3" s="1"/>
  <c r="AZ569" i="3"/>
  <c r="W11" i="35"/>
  <c r="AC11" i="35"/>
  <c r="F37" i="39"/>
  <c r="BA586" i="3"/>
  <c r="AZ586" i="3" s="1"/>
  <c r="BL585" i="3"/>
  <c r="J29" i="21"/>
  <c r="H29" i="21"/>
  <c r="H44" i="21"/>
  <c r="F44" i="21"/>
  <c r="AC33" i="33"/>
  <c r="W33" i="33"/>
  <c r="F28" i="34"/>
  <c r="J28" i="34"/>
  <c r="H12" i="33"/>
  <c r="U12" i="33" s="1"/>
  <c r="J12" i="33"/>
  <c r="F30" i="33"/>
  <c r="H30" i="33"/>
  <c r="F46" i="33"/>
  <c r="J46" i="33"/>
  <c r="F29" i="34"/>
  <c r="H29" i="34"/>
  <c r="H13" i="35"/>
  <c r="J13" i="35"/>
  <c r="H12" i="36"/>
  <c r="F23" i="36"/>
  <c r="H34" i="36"/>
  <c r="J34" i="36"/>
  <c r="W34" i="36" s="1"/>
  <c r="J28" i="37"/>
  <c r="H28" i="37"/>
  <c r="AA44" i="39"/>
  <c r="S44" i="39"/>
  <c r="H13" i="39"/>
  <c r="F13" i="39"/>
  <c r="E121" i="39"/>
  <c r="F121" i="39" s="1"/>
  <c r="G121" i="39" s="1"/>
  <c r="H121" i="39" s="1"/>
  <c r="I121" i="39" s="1"/>
  <c r="J121" i="39" s="1"/>
  <c r="K121" i="39" s="1"/>
  <c r="L121" i="39" s="1"/>
  <c r="M121" i="39" s="1"/>
  <c r="J40" i="39"/>
  <c r="AC40" i="39" s="1"/>
  <c r="F100" i="39"/>
  <c r="G100" i="39" s="1"/>
  <c r="J27" i="39"/>
  <c r="AC27" i="39" s="1"/>
  <c r="BL581" i="3"/>
  <c r="BL574" i="3"/>
  <c r="AZ574" i="3" s="1"/>
  <c r="BL572" i="3"/>
  <c r="AA38" i="33"/>
  <c r="S38" i="33"/>
  <c r="BL554" i="3"/>
  <c r="AZ554" i="3" s="1"/>
  <c r="BA545" i="3"/>
  <c r="AZ529" i="3"/>
  <c r="BA519" i="3"/>
  <c r="BL517" i="3"/>
  <c r="BA511" i="3"/>
  <c r="BL509" i="3"/>
  <c r="AZ509" i="3" s="1"/>
  <c r="BA506" i="3"/>
  <c r="AZ506" i="3" s="1"/>
  <c r="BL498" i="3"/>
  <c r="AZ498" i="3" s="1"/>
  <c r="BL496" i="3"/>
  <c r="S13" i="21"/>
  <c r="W39" i="21"/>
  <c r="S28" i="33"/>
  <c r="U15" i="33"/>
  <c r="AB33" i="34"/>
  <c r="S24" i="35"/>
  <c r="U32" i="36"/>
  <c r="S39" i="21"/>
  <c r="AB25" i="37"/>
  <c r="AZ371" i="3"/>
  <c r="AZ306" i="3"/>
  <c r="BL523" i="3"/>
  <c r="AZ523" i="3" s="1"/>
  <c r="BL535" i="3"/>
  <c r="AZ535" i="3" s="1"/>
  <c r="AZ579" i="3"/>
  <c r="BA496" i="3"/>
  <c r="AZ496" i="3" s="1"/>
  <c r="AZ566" i="3"/>
  <c r="AZ585" i="3"/>
  <c r="AC40" i="37"/>
  <c r="W40" i="37"/>
  <c r="AA45" i="33"/>
  <c r="S45" i="33"/>
  <c r="W28" i="21"/>
  <c r="AC28" i="21"/>
  <c r="W39" i="33"/>
  <c r="H36" i="35"/>
  <c r="J36" i="35"/>
  <c r="AC36" i="35" s="1"/>
  <c r="J12" i="40"/>
  <c r="H12" i="40"/>
  <c r="F12" i="40"/>
  <c r="J39" i="40"/>
  <c r="H39" i="40"/>
  <c r="BA555" i="3"/>
  <c r="AZ533" i="3"/>
  <c r="AZ547" i="3"/>
  <c r="AZ575" i="3"/>
  <c r="AZ524" i="3"/>
  <c r="AZ540" i="3"/>
  <c r="AB46" i="33"/>
  <c r="U46" i="33"/>
  <c r="B97" i="43"/>
  <c r="B75" i="43"/>
  <c r="J33" i="40"/>
  <c r="F33" i="40"/>
  <c r="H33" i="40"/>
  <c r="BA564" i="3"/>
  <c r="AZ564" i="3" s="1"/>
  <c r="BL556" i="3"/>
  <c r="AZ556" i="3" s="1"/>
  <c r="BA532" i="3"/>
  <c r="AZ532" i="3" s="1"/>
  <c r="BL528" i="3"/>
  <c r="AZ528" i="3" s="1"/>
  <c r="AZ525" i="3"/>
  <c r="BL501" i="3"/>
  <c r="AZ501" i="3" s="1"/>
  <c r="BA494" i="3"/>
  <c r="AZ494" i="3" s="1"/>
  <c r="BA493" i="3"/>
  <c r="AZ493" i="3" s="1"/>
  <c r="U23" i="33"/>
  <c r="AB25" i="33"/>
  <c r="AA19" i="37"/>
  <c r="AA11" i="35"/>
  <c r="S20" i="35"/>
  <c r="S16" i="36"/>
  <c r="AA22" i="36"/>
  <c r="S11" i="40"/>
  <c r="AB36" i="33"/>
  <c r="AB45" i="21"/>
  <c r="AA19" i="33"/>
  <c r="M18" i="15"/>
  <c r="M18" i="67"/>
  <c r="F30" i="11"/>
  <c r="C48" i="11" s="1"/>
  <c r="C23" i="40"/>
  <c r="AB34" i="33"/>
  <c r="AB36" i="34"/>
  <c r="AB35" i="37"/>
  <c r="AB17" i="40"/>
  <c r="AC14" i="40"/>
  <c r="U43" i="34"/>
  <c r="S36" i="37"/>
  <c r="AC12" i="35"/>
  <c r="AC13" i="39"/>
  <c r="U43" i="21"/>
  <c r="AZ387" i="3"/>
  <c r="AZ362" i="3"/>
  <c r="AZ338" i="3"/>
  <c r="AZ311" i="3"/>
  <c r="AZ364" i="3"/>
  <c r="AZ329" i="3"/>
  <c r="AZ304" i="3"/>
  <c r="AZ394" i="3"/>
  <c r="AA25" i="21"/>
  <c r="AC12" i="37"/>
  <c r="BL503" i="3"/>
  <c r="AZ503" i="3" s="1"/>
  <c r="BL519" i="3"/>
  <c r="AZ519" i="3" s="1"/>
  <c r="BL531" i="3"/>
  <c r="AZ531" i="3" s="1"/>
  <c r="BL557" i="3"/>
  <c r="AZ557" i="3" s="1"/>
  <c r="AZ568" i="3"/>
  <c r="S11" i="36"/>
  <c r="AA44" i="33"/>
  <c r="AC31" i="34"/>
  <c r="W31" i="34"/>
  <c r="F45" i="21"/>
  <c r="F27" i="21"/>
  <c r="S40" i="21"/>
  <c r="U9" i="39"/>
  <c r="BL587" i="3"/>
  <c r="AZ587" i="3" s="1"/>
  <c r="H13" i="21"/>
  <c r="J13" i="21"/>
  <c r="J13" i="34"/>
  <c r="F13" i="34"/>
  <c r="H47" i="34"/>
  <c r="F47" i="34"/>
  <c r="AC28" i="36"/>
  <c r="W28" i="36"/>
  <c r="J39" i="37"/>
  <c r="H39" i="37"/>
  <c r="E92" i="39"/>
  <c r="F19" i="39" s="1"/>
  <c r="J19" i="39"/>
  <c r="AC19" i="39" s="1"/>
  <c r="H31" i="39"/>
  <c r="AB31" i="39" s="1"/>
  <c r="J31" i="39"/>
  <c r="W31" i="39" s="1"/>
  <c r="J43" i="39"/>
  <c r="F43" i="39"/>
  <c r="AB9" i="40"/>
  <c r="U9" i="40"/>
  <c r="W38" i="34"/>
  <c r="AC38" i="34"/>
  <c r="BA581" i="3"/>
  <c r="BA580" i="3"/>
  <c r="AZ580" i="3" s="1"/>
  <c r="BA573" i="3"/>
  <c r="AZ573" i="3" s="1"/>
  <c r="BA572" i="3"/>
  <c r="AZ572" i="3" s="1"/>
  <c r="BL571" i="3"/>
  <c r="AZ571" i="3" s="1"/>
  <c r="AZ270" i="3"/>
  <c r="BL511" i="3"/>
  <c r="AZ511" i="3" s="1"/>
  <c r="BL539" i="3"/>
  <c r="AZ539" i="3" s="1"/>
  <c r="BL543" i="3"/>
  <c r="AZ543" i="3" s="1"/>
  <c r="BL553" i="3"/>
  <c r="AZ553" i="3" s="1"/>
  <c r="BL565" i="3"/>
  <c r="AZ565" i="3" s="1"/>
  <c r="C15" i="39"/>
  <c r="J9" i="34"/>
  <c r="H12" i="34"/>
  <c r="J38" i="40"/>
  <c r="G582" i="3"/>
  <c r="G574" i="3"/>
  <c r="BA551" i="3"/>
  <c r="AZ551" i="3" s="1"/>
  <c r="BA550" i="3"/>
  <c r="BL548" i="3"/>
  <c r="AZ548" i="3" s="1"/>
  <c r="AZ402" i="3"/>
  <c r="AZ406" i="3"/>
  <c r="AZ443" i="3"/>
  <c r="G587" i="3"/>
  <c r="BL550" i="3"/>
  <c r="BA13" i="3"/>
  <c r="A15" i="62"/>
  <c r="B61" i="72" s="1"/>
  <c r="AZ418" i="3"/>
  <c r="AZ451" i="3"/>
  <c r="AZ461" i="3"/>
  <c r="AZ469" i="3"/>
  <c r="AZ483" i="3"/>
  <c r="AZ228" i="3"/>
  <c r="D46" i="71"/>
  <c r="C47" i="71"/>
  <c r="D47" i="71" s="1"/>
  <c r="D84" i="71"/>
  <c r="C83" i="71"/>
  <c r="AA3" i="71"/>
  <c r="G558" i="3"/>
  <c r="BA401" i="3"/>
  <c r="AZ401" i="3" s="1"/>
  <c r="BA403" i="3"/>
  <c r="AZ403" i="3" s="1"/>
  <c r="BA404" i="3"/>
  <c r="AZ404" i="3" s="1"/>
  <c r="BA405" i="3"/>
  <c r="AZ405" i="3" s="1"/>
  <c r="G409" i="3"/>
  <c r="BL410" i="3"/>
  <c r="G412" i="3"/>
  <c r="G418" i="3"/>
  <c r="G419" i="3"/>
  <c r="BA422" i="3"/>
  <c r="G429" i="3"/>
  <c r="G430" i="3"/>
  <c r="BL431" i="3"/>
  <c r="G433" i="3"/>
  <c r="BL434" i="3"/>
  <c r="G436" i="3"/>
  <c r="G437" i="3"/>
  <c r="BL438" i="3"/>
  <c r="BL439" i="3"/>
  <c r="BA441" i="3"/>
  <c r="AZ441" i="3" s="1"/>
  <c r="BL445" i="3"/>
  <c r="BL446" i="3"/>
  <c r="BL449" i="3"/>
  <c r="BL450" i="3"/>
  <c r="BL452" i="3"/>
  <c r="G454" i="3"/>
  <c r="G455" i="3"/>
  <c r="BL456" i="3"/>
  <c r="BA464" i="3"/>
  <c r="AZ464" i="3" s="1"/>
  <c r="BL467" i="3"/>
  <c r="BL468" i="3"/>
  <c r="BL470" i="3"/>
  <c r="G472" i="3"/>
  <c r="G473" i="3"/>
  <c r="BL473" i="3"/>
  <c r="AZ473" i="3" s="1"/>
  <c r="BL474"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BA216" i="3"/>
  <c r="AZ216" i="3" s="1"/>
  <c r="BA218" i="3"/>
  <c r="BL218" i="3"/>
  <c r="BL220" i="3"/>
  <c r="BL221" i="3"/>
  <c r="BL223" i="3"/>
  <c r="BA227" i="3"/>
  <c r="AZ227" i="3" s="1"/>
  <c r="BA229" i="3"/>
  <c r="AZ229" i="3" s="1"/>
  <c r="BL229" i="3"/>
  <c r="BL231" i="3"/>
  <c r="BL233" i="3"/>
  <c r="AZ233" i="3" s="1"/>
  <c r="BL235" i="3"/>
  <c r="AZ235" i="3" s="1"/>
  <c r="BL236" i="3"/>
  <c r="BL238" i="3"/>
  <c r="BL243" i="3"/>
  <c r="BA247" i="3"/>
  <c r="AZ247" i="3" s="1"/>
  <c r="BL247" i="3"/>
  <c r="BA249" i="3"/>
  <c r="BL249" i="3"/>
  <c r="BA251" i="3"/>
  <c r="AZ251" i="3" s="1"/>
  <c r="BL251" i="3"/>
  <c r="BA253" i="3"/>
  <c r="BL260" i="3"/>
  <c r="BL263" i="3"/>
  <c r="BL270" i="3"/>
  <c r="BA272" i="3"/>
  <c r="AZ272" i="3" s="1"/>
  <c r="BL275" i="3"/>
  <c r="AZ275" i="3" s="1"/>
  <c r="BL285" i="3"/>
  <c r="BL287" i="3"/>
  <c r="BA290" i="3"/>
  <c r="BL299" i="3"/>
  <c r="BL113" i="3"/>
  <c r="BA117" i="3"/>
  <c r="BA124" i="3"/>
  <c r="AZ124" i="3" s="1"/>
  <c r="BL127" i="3"/>
  <c r="AZ127" i="3" s="1"/>
  <c r="BA130" i="3"/>
  <c r="AZ130" i="3" s="1"/>
  <c r="BL130" i="3"/>
  <c r="BL137" i="3"/>
  <c r="BA146" i="3"/>
  <c r="AZ146" i="3" s="1"/>
  <c r="BL149" i="3"/>
  <c r="AZ149" i="3" s="1"/>
  <c r="BL150" i="3"/>
  <c r="AZ150" i="3" s="1"/>
  <c r="BA152" i="3"/>
  <c r="AZ152" i="3" s="1"/>
  <c r="BA168" i="3"/>
  <c r="AZ168" i="3" s="1"/>
  <c r="BL175" i="3"/>
  <c r="AZ175" i="3" s="1"/>
  <c r="E19" i="6"/>
  <c r="K6" i="1" s="1"/>
  <c r="BL400" i="3"/>
  <c r="AZ400" i="3" s="1"/>
  <c r="BL408" i="3"/>
  <c r="BL411" i="3"/>
  <c r="BL413" i="3"/>
  <c r="AZ413" i="3" s="1"/>
  <c r="BL417" i="3"/>
  <c r="BL418" i="3"/>
  <c r="BL420" i="3"/>
  <c r="BL424" i="3"/>
  <c r="BL428" i="3"/>
  <c r="BL429" i="3"/>
  <c r="BL432" i="3"/>
  <c r="BL435" i="3"/>
  <c r="AZ435" i="3" s="1"/>
  <c r="BL436" i="3"/>
  <c r="BA439" i="3"/>
  <c r="BA440" i="3"/>
  <c r="AZ440" i="3" s="1"/>
  <c r="BA442" i="3"/>
  <c r="BA445" i="3"/>
  <c r="BA447" i="3"/>
  <c r="AZ447" i="3" s="1"/>
  <c r="BA449" i="3"/>
  <c r="BL453" i="3"/>
  <c r="BL454" i="3"/>
  <c r="AZ454" i="3" s="1"/>
  <c r="BL459" i="3"/>
  <c r="AZ459" i="3" s="1"/>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BA397" i="3"/>
  <c r="BL397" i="3"/>
  <c r="BA210" i="3"/>
  <c r="AZ210" i="3" s="1"/>
  <c r="BL210" i="3"/>
  <c r="BL212" i="3"/>
  <c r="BL214" i="3"/>
  <c r="AZ214" i="3" s="1"/>
  <c r="BL225" i="3"/>
  <c r="BL226" i="3"/>
  <c r="G227" i="3"/>
  <c r="BA239" i="3"/>
  <c r="BL239" i="3"/>
  <c r="BA241" i="3"/>
  <c r="AZ241" i="3" s="1"/>
  <c r="BL241" i="3"/>
  <c r="BA244" i="3"/>
  <c r="BL244" i="3"/>
  <c r="BA246" i="3"/>
  <c r="BA252" i="3"/>
  <c r="AZ252" i="3" s="1"/>
  <c r="BA254" i="3"/>
  <c r="AZ254" i="3" s="1"/>
  <c r="BA256" i="3"/>
  <c r="AZ256" i="3" s="1"/>
  <c r="BL256" i="3"/>
  <c r="BA258" i="3"/>
  <c r="BL264" i="3"/>
  <c r="BL266" i="3"/>
  <c r="BA268" i="3"/>
  <c r="BL273" i="3"/>
  <c r="AZ273" i="3" s="1"/>
  <c r="G274" i="3"/>
  <c r="BA277" i="3"/>
  <c r="AZ277" i="3" s="1"/>
  <c r="BL277" i="3"/>
  <c r="BA282" i="3"/>
  <c r="BL282" i="3"/>
  <c r="BA284" i="3"/>
  <c r="AZ284" i="3" s="1"/>
  <c r="BL290" i="3"/>
  <c r="BL291" i="3"/>
  <c r="AZ291" i="3" s="1"/>
  <c r="BL293" i="3"/>
  <c r="BL294" i="3"/>
  <c r="AZ294" i="3" s="1"/>
  <c r="BA297" i="3"/>
  <c r="AZ297" i="3" s="1"/>
  <c r="BL297" i="3"/>
  <c r="BL300" i="3"/>
  <c r="BA302" i="3"/>
  <c r="AZ302" i="3" s="1"/>
  <c r="G115" i="3"/>
  <c r="BA116" i="3"/>
  <c r="AZ116" i="3" s="1"/>
  <c r="BA121" i="3"/>
  <c r="BL121" i="3"/>
  <c r="BL123" i="3"/>
  <c r="AZ123" i="3" s="1"/>
  <c r="G127" i="3"/>
  <c r="BA129" i="3"/>
  <c r="BL133" i="3"/>
  <c r="AZ133" i="3" s="1"/>
  <c r="BL134" i="3"/>
  <c r="BL158" i="3"/>
  <c r="BA194" i="3"/>
  <c r="AZ194" i="3" s="1"/>
  <c r="AZ201" i="3"/>
  <c r="AA25" i="40"/>
  <c r="S25" i="40"/>
  <c r="BL398" i="3"/>
  <c r="AZ398" i="3" s="1"/>
  <c r="G402" i="3"/>
  <c r="BL403" i="3"/>
  <c r="G405" i="3"/>
  <c r="G406" i="3"/>
  <c r="BA408" i="3"/>
  <c r="AZ408" i="3" s="1"/>
  <c r="BA409" i="3"/>
  <c r="AZ409" i="3" s="1"/>
  <c r="BA411" i="3"/>
  <c r="AZ411" i="3" s="1"/>
  <c r="BL414" i="3"/>
  <c r="AZ414" i="3" s="1"/>
  <c r="BL415" i="3"/>
  <c r="AZ415" i="3" s="1"/>
  <c r="BA417" i="3"/>
  <c r="BL421" i="3"/>
  <c r="AZ421" i="3" s="1"/>
  <c r="BL422" i="3"/>
  <c r="BL425" i="3"/>
  <c r="AZ425" i="3" s="1"/>
  <c r="BL426" i="3"/>
  <c r="BA428" i="3"/>
  <c r="BA429" i="3"/>
  <c r="AZ429" i="3" s="1"/>
  <c r="BA430" i="3"/>
  <c r="AZ430" i="3" s="1"/>
  <c r="BA432" i="3"/>
  <c r="AZ432" i="3" s="1"/>
  <c r="BA434" i="3"/>
  <c r="BA436" i="3"/>
  <c r="BA438" i="3"/>
  <c r="G442" i="3"/>
  <c r="G443" i="3"/>
  <c r="BA446" i="3"/>
  <c r="BA450" i="3"/>
  <c r="BA453" i="3"/>
  <c r="BA455" i="3"/>
  <c r="AZ455" i="3" s="1"/>
  <c r="BL457" i="3"/>
  <c r="AZ457" i="3" s="1"/>
  <c r="BL460" i="3"/>
  <c r="AZ460" i="3" s="1"/>
  <c r="BL461" i="3"/>
  <c r="BL463" i="3"/>
  <c r="G465" i="3"/>
  <c r="BA471" i="3"/>
  <c r="AZ471" i="3" s="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AZ219" i="3" s="1"/>
  <c r="BA221" i="3"/>
  <c r="BA223" i="3"/>
  <c r="AZ223" i="3" s="1"/>
  <c r="BL228" i="3"/>
  <c r="BA230" i="3"/>
  <c r="AZ230" i="3" s="1"/>
  <c r="BL232" i="3"/>
  <c r="BL234" i="3"/>
  <c r="BA236" i="3"/>
  <c r="BA238" i="3"/>
  <c r="AZ238" i="3" s="1"/>
  <c r="BA243" i="3"/>
  <c r="BL248" i="3"/>
  <c r="AZ248" i="3" s="1"/>
  <c r="G250" i="3"/>
  <c r="BL250" i="3"/>
  <c r="AZ250" i="3" s="1"/>
  <c r="G252" i="3"/>
  <c r="G254" i="3"/>
  <c r="BA259" i="3"/>
  <c r="AZ259" i="3" s="1"/>
  <c r="BL261" i="3"/>
  <c r="BA263" i="3"/>
  <c r="AZ263" i="3" s="1"/>
  <c r="BA267" i="3"/>
  <c r="AZ267" i="3" s="1"/>
  <c r="BA269" i="3"/>
  <c r="AZ269" i="3" s="1"/>
  <c r="BA271" i="3"/>
  <c r="AZ271" i="3" s="1"/>
  <c r="BL271" i="3"/>
  <c r="BA274" i="3"/>
  <c r="BL274" i="3"/>
  <c r="BA276" i="3"/>
  <c r="BA279" i="3"/>
  <c r="BA281" i="3"/>
  <c r="G286" i="3"/>
  <c r="BL286" i="3"/>
  <c r="AZ286" i="3" s="1"/>
  <c r="G289" i="3"/>
  <c r="G290" i="3"/>
  <c r="BA296" i="3"/>
  <c r="G126" i="3"/>
  <c r="G136" i="3"/>
  <c r="BA137" i="3"/>
  <c r="AZ137" i="3" s="1"/>
  <c r="BL138" i="3"/>
  <c r="BA140" i="3"/>
  <c r="AZ140" i="3" s="1"/>
  <c r="BA142" i="3"/>
  <c r="G154" i="3"/>
  <c r="G156" i="3"/>
  <c r="BL157" i="3"/>
  <c r="AZ157" i="3" s="1"/>
  <c r="BL159" i="3"/>
  <c r="AZ159" i="3" s="1"/>
  <c r="G160" i="3"/>
  <c r="BL177" i="3"/>
  <c r="AZ177" i="3" s="1"/>
  <c r="G179" i="3"/>
  <c r="BL183" i="3"/>
  <c r="AZ183" i="3" s="1"/>
  <c r="BA186" i="3"/>
  <c r="AZ186" i="3" s="1"/>
  <c r="BA190" i="3"/>
  <c r="AZ190" i="3" s="1"/>
  <c r="G196" i="3"/>
  <c r="BA197" i="3"/>
  <c r="BL201" i="3"/>
  <c r="BL203" i="3"/>
  <c r="AZ203" i="3" s="1"/>
  <c r="BA204" i="3"/>
  <c r="AZ204" i="3" s="1"/>
  <c r="BA18" i="3"/>
  <c r="G21" i="3"/>
  <c r="BL21" i="3"/>
  <c r="G23" i="3"/>
  <c r="G26" i="3"/>
  <c r="BA27" i="3"/>
  <c r="G30" i="3"/>
  <c r="BL30" i="3"/>
  <c r="BL31" i="3"/>
  <c r="BA36" i="3"/>
  <c r="BL38" i="3"/>
  <c r="BA39" i="3"/>
  <c r="AZ39" i="3" s="1"/>
  <c r="BA47" i="3"/>
  <c r="AZ47" i="3" s="1"/>
  <c r="BL52" i="3"/>
  <c r="G53" i="3"/>
  <c r="BL53" i="3"/>
  <c r="AZ53" i="3" s="1"/>
  <c r="BA62" i="3"/>
  <c r="AZ62" i="3" s="1"/>
  <c r="BA66" i="3"/>
  <c r="AZ66" i="3" s="1"/>
  <c r="BL67" i="3"/>
  <c r="BA72" i="3"/>
  <c r="AZ72" i="3" s="1"/>
  <c r="BL76" i="3"/>
  <c r="BL77" i="3"/>
  <c r="AZ77" i="3" s="1"/>
  <c r="AA18" i="36"/>
  <c r="S18" i="36"/>
  <c r="D38" i="71"/>
  <c r="C39" i="71"/>
  <c r="AA34" i="71"/>
  <c r="AA30" i="71"/>
  <c r="T52" i="71"/>
  <c r="D52" i="71"/>
  <c r="V76" i="71"/>
  <c r="F75" i="71"/>
  <c r="F74" i="71" s="1"/>
  <c r="BL167" i="3"/>
  <c r="AZ167" i="3" s="1"/>
  <c r="BL178" i="3"/>
  <c r="BA180" i="3"/>
  <c r="AZ180" i="3" s="1"/>
  <c r="BL182" i="3"/>
  <c r="AZ182" i="3" s="1"/>
  <c r="BA185" i="3"/>
  <c r="BL191" i="3"/>
  <c r="AZ191" i="3" s="1"/>
  <c r="BA193" i="3"/>
  <c r="BA196" i="3"/>
  <c r="AZ196" i="3" s="1"/>
  <c r="BA205" i="3"/>
  <c r="AZ205" i="3" s="1"/>
  <c r="BL20" i="3"/>
  <c r="BA21" i="3"/>
  <c r="AZ21" i="3" s="1"/>
  <c r="BL24" i="3"/>
  <c r="G34" i="3"/>
  <c r="BL44" i="3"/>
  <c r="BA70" i="3"/>
  <c r="AZ70" i="3" s="1"/>
  <c r="D56" i="71"/>
  <c r="T56" i="71"/>
  <c r="E28" i="71"/>
  <c r="AA27" i="71"/>
  <c r="AA28" i="71"/>
  <c r="F34" i="71"/>
  <c r="F35" i="71" s="1"/>
  <c r="F36" i="71" s="1"/>
  <c r="V36" i="71" s="1"/>
  <c r="AB33" i="71"/>
  <c r="BL115" i="3"/>
  <c r="AZ115" i="3" s="1"/>
  <c r="BA118" i="3"/>
  <c r="AZ118" i="3" s="1"/>
  <c r="BL118" i="3"/>
  <c r="BA122" i="3"/>
  <c r="AZ122" i="3" s="1"/>
  <c r="BL125" i="3"/>
  <c r="AZ125" i="3" s="1"/>
  <c r="BL126" i="3"/>
  <c r="AZ126" i="3" s="1"/>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AZ19" i="3" s="1"/>
  <c r="BA20" i="3"/>
  <c r="AZ20" i="3" s="1"/>
  <c r="BL23" i="3"/>
  <c r="G24" i="3"/>
  <c r="BL28" i="3"/>
  <c r="BA29" i="3"/>
  <c r="AZ29" i="3" s="1"/>
  <c r="BL35" i="3"/>
  <c r="G36" i="3"/>
  <c r="G40" i="3"/>
  <c r="BL40" i="3"/>
  <c r="BL41" i="3"/>
  <c r="BA45" i="3"/>
  <c r="AZ45" i="3" s="1"/>
  <c r="BA46" i="3"/>
  <c r="BL47" i="3"/>
  <c r="G50" i="3"/>
  <c r="G52" i="3"/>
  <c r="BA52" i="3"/>
  <c r="AZ52" i="3" s="1"/>
  <c r="BA56" i="3"/>
  <c r="BA57" i="3"/>
  <c r="AZ57" i="3" s="1"/>
  <c r="BL58" i="3"/>
  <c r="BA60" i="3"/>
  <c r="BL62" i="3"/>
  <c r="BL63" i="3"/>
  <c r="AZ63" i="3" s="1"/>
  <c r="BA67" i="3"/>
  <c r="AZ67" i="3" s="1"/>
  <c r="BA71" i="3"/>
  <c r="AZ71" i="3" s="1"/>
  <c r="BL72" i="3"/>
  <c r="BL75" i="3"/>
  <c r="BL103" i="3"/>
  <c r="AZ103" i="3" s="1"/>
  <c r="BA104" i="3"/>
  <c r="G108" i="3"/>
  <c r="Y37" i="71"/>
  <c r="Z37" i="71" s="1"/>
  <c r="Y35" i="71"/>
  <c r="Z35" i="71" s="1"/>
  <c r="Y26" i="71"/>
  <c r="Z26" i="71" s="1"/>
  <c r="X35" i="71"/>
  <c r="X38" i="71"/>
  <c r="X34" i="71"/>
  <c r="X31" i="71"/>
  <c r="X36" i="71"/>
  <c r="AB39" i="71"/>
  <c r="AB34" i="71"/>
  <c r="D67" i="71"/>
  <c r="C66" i="71"/>
  <c r="O67" i="71"/>
  <c r="E35" i="71"/>
  <c r="E36" i="71" s="1"/>
  <c r="U36" i="71" s="1"/>
  <c r="X26" i="71"/>
  <c r="Y29" i="71"/>
  <c r="Z29" i="71" s="1"/>
  <c r="Y30" i="71"/>
  <c r="Z30" i="71" s="1"/>
  <c r="AB31" i="71"/>
  <c r="AB36" i="71"/>
  <c r="AA36" i="71"/>
  <c r="AA37" i="71"/>
  <c r="E38" i="71"/>
  <c r="E39" i="71" s="1"/>
  <c r="E40" i="71" s="1"/>
  <c r="U40" i="71" s="1"/>
  <c r="C60" i="71"/>
  <c r="D59" i="71"/>
  <c r="B67" i="71"/>
  <c r="N68" i="71"/>
  <c r="Y25" i="71"/>
  <c r="Z25" i="71" s="1"/>
  <c r="C23" i="71"/>
  <c r="B22" i="71"/>
  <c r="B21" i="71" s="1"/>
  <c r="B20" i="71" s="1"/>
  <c r="BL25" i="3"/>
  <c r="AZ25" i="3" s="1"/>
  <c r="BL27" i="3"/>
  <c r="AZ27" i="3" s="1"/>
  <c r="BA28" i="3"/>
  <c r="BA31" i="3"/>
  <c r="AZ31" i="3" s="1"/>
  <c r="BA32" i="3"/>
  <c r="G38" i="3"/>
  <c r="BA38" i="3"/>
  <c r="BA41" i="3"/>
  <c r="AZ41" i="3" s="1"/>
  <c r="BA42" i="3"/>
  <c r="G46" i="3"/>
  <c r="G47" i="3"/>
  <c r="BL48" i="3"/>
  <c r="BL54" i="3"/>
  <c r="BL55" i="3"/>
  <c r="AZ55" i="3" s="1"/>
  <c r="G57" i="3"/>
  <c r="G58" i="3"/>
  <c r="BA59" i="3"/>
  <c r="AZ59" i="3" s="1"/>
  <c r="G61" i="3"/>
  <c r="BL61" i="3"/>
  <c r="G64" i="3"/>
  <c r="BA64" i="3"/>
  <c r="AZ64" i="3" s="1"/>
  <c r="G67" i="3"/>
  <c r="BL68" i="3"/>
  <c r="BA69" i="3"/>
  <c r="AZ69" i="3" s="1"/>
  <c r="G72" i="3"/>
  <c r="BL73" i="3"/>
  <c r="BA74" i="3"/>
  <c r="AZ74" i="3" s="1"/>
  <c r="BA75" i="3"/>
  <c r="AZ75" i="3" s="1"/>
  <c r="BA78" i="3"/>
  <c r="BA80" i="3"/>
  <c r="G84" i="3"/>
  <c r="BL84" i="3"/>
  <c r="BA89" i="3"/>
  <c r="BL92" i="3"/>
  <c r="BL94" i="3"/>
  <c r="AZ94" i="3" s="1"/>
  <c r="BL99" i="3"/>
  <c r="G101" i="3"/>
  <c r="BA101" i="3"/>
  <c r="BA102" i="3"/>
  <c r="BL110" i="3"/>
  <c r="BL111" i="3"/>
  <c r="AZ111" i="3" s="1"/>
  <c r="B88" i="43"/>
  <c r="D51" i="71"/>
  <c r="D63" i="71"/>
  <c r="C28" i="71"/>
  <c r="Y28" i="71"/>
  <c r="Z28" i="71" s="1"/>
  <c r="T72" i="71"/>
  <c r="C71" i="71"/>
  <c r="T80" i="71"/>
  <c r="C79" i="71"/>
  <c r="G45" i="3"/>
  <c r="BL45" i="3"/>
  <c r="BA48" i="3"/>
  <c r="BA49" i="3"/>
  <c r="AZ49" i="3" s="1"/>
  <c r="BA51" i="3"/>
  <c r="AZ51" i="3" s="1"/>
  <c r="G54" i="3"/>
  <c r="BL56" i="3"/>
  <c r="BA58" i="3"/>
  <c r="BL59" i="3"/>
  <c r="BL60" i="3"/>
  <c r="BA61" i="3"/>
  <c r="AZ61" i="3" s="1"/>
  <c r="BA68" i="3"/>
  <c r="BA73" i="3"/>
  <c r="BA79" i="3"/>
  <c r="AZ79" i="3" s="1"/>
  <c r="G82" i="3"/>
  <c r="G83" i="3"/>
  <c r="BA84" i="3"/>
  <c r="BL88" i="3"/>
  <c r="AZ88" i="3" s="1"/>
  <c r="G90" i="3"/>
  <c r="BL90" i="3"/>
  <c r="G98" i="3"/>
  <c r="G99" i="3"/>
  <c r="BA105" i="3"/>
  <c r="AZ105" i="3" s="1"/>
  <c r="BA106" i="3"/>
  <c r="BL108" i="3"/>
  <c r="G110" i="3"/>
  <c r="BL112" i="3"/>
  <c r="W21" i="21"/>
  <c r="AC21" i="21"/>
  <c r="W21" i="37"/>
  <c r="AC21" i="37"/>
  <c r="P27" i="6"/>
  <c r="D31" i="71"/>
  <c r="P65" i="71"/>
  <c r="P66" i="71"/>
  <c r="B27" i="71"/>
  <c r="B26" i="71" s="1"/>
  <c r="S28" i="71"/>
  <c r="F30" i="71"/>
  <c r="F31" i="71" s="1"/>
  <c r="F32" i="71" s="1"/>
  <c r="V32" i="71" s="1"/>
  <c r="AB26" i="71"/>
  <c r="AB27" i="71"/>
  <c r="AB32" i="71"/>
  <c r="AA35" i="71"/>
  <c r="B47" i="71"/>
  <c r="B48" i="71" s="1"/>
  <c r="S48" i="71" s="1"/>
  <c r="E51" i="71"/>
  <c r="E52" i="71" s="1"/>
  <c r="U52" i="71" s="1"/>
  <c r="U76" i="71"/>
  <c r="E75" i="71"/>
  <c r="E74" i="71" s="1"/>
  <c r="U80" i="71"/>
  <c r="E79" i="71"/>
  <c r="E78" i="71" s="1"/>
  <c r="X25" i="71"/>
  <c r="V24" i="71"/>
  <c r="E23" i="71"/>
  <c r="E22" i="71" s="1"/>
  <c r="E21" i="71" s="1"/>
  <c r="E20" i="71" s="1"/>
  <c r="E19" i="71" s="1"/>
  <c r="E18" i="71" s="1"/>
  <c r="E17" i="71" s="1"/>
  <c r="E16" i="71" s="1"/>
  <c r="G81" i="3"/>
  <c r="G85" i="3"/>
  <c r="BL85" i="3"/>
  <c r="BA86" i="3"/>
  <c r="AZ86" i="3" s="1"/>
  <c r="BA87" i="3"/>
  <c r="BA91" i="3"/>
  <c r="AZ91" i="3" s="1"/>
  <c r="G96" i="3"/>
  <c r="BL97" i="3"/>
  <c r="AZ97" i="3" s="1"/>
  <c r="BL101" i="3"/>
  <c r="BL102" i="3"/>
  <c r="G104" i="3"/>
  <c r="G105" i="3"/>
  <c r="BL106" i="3"/>
  <c r="BA108" i="3"/>
  <c r="AZ108" i="3" s="1"/>
  <c r="BA110" i="3"/>
  <c r="AZ110" i="3" s="1"/>
  <c r="F3" i="35"/>
  <c r="B77" i="43"/>
  <c r="AA18" i="35"/>
  <c r="C87" i="71"/>
  <c r="AB25" i="71"/>
  <c r="C43" i="71"/>
  <c r="C35" i="71"/>
  <c r="X33" i="71"/>
  <c r="AB37" i="71"/>
  <c r="X28" i="71"/>
  <c r="X32" i="71"/>
  <c r="F40" i="71"/>
  <c r="V40" i="71" s="1"/>
  <c r="AB38" i="71"/>
  <c r="C40" i="11"/>
  <c r="S9" i="39"/>
  <c r="C40" i="68"/>
  <c r="H32" i="39"/>
  <c r="AB32" i="39" s="1"/>
  <c r="C18" i="9"/>
  <c r="D18" i="9" s="1"/>
  <c r="AA27" i="39"/>
  <c r="H123" i="39"/>
  <c r="I123" i="39" s="1"/>
  <c r="J123" i="39" s="1"/>
  <c r="K123" i="39" s="1"/>
  <c r="L123" i="39" s="1"/>
  <c r="M123" i="39" s="1"/>
  <c r="J41" i="39"/>
  <c r="W41" i="39" s="1"/>
  <c r="F41" i="39"/>
  <c r="S41" i="39" s="1"/>
  <c r="H41" i="39"/>
  <c r="AB41" i="39" s="1"/>
  <c r="U40" i="39"/>
  <c r="S40" i="39"/>
  <c r="W40" i="39"/>
  <c r="U42" i="39"/>
  <c r="S42" i="39"/>
  <c r="AC41" i="39"/>
  <c r="AC32" i="39"/>
  <c r="S32" i="39"/>
  <c r="AC31" i="39"/>
  <c r="U31" i="39"/>
  <c r="S31" i="39"/>
  <c r="W29" i="39"/>
  <c r="U29" i="39"/>
  <c r="W27" i="39"/>
  <c r="AB27" i="39"/>
  <c r="AC25" i="39"/>
  <c r="U25" i="39"/>
  <c r="AA23" i="39"/>
  <c r="AB21" i="39"/>
  <c r="S21" i="39"/>
  <c r="W19" i="39"/>
  <c r="W9" i="39"/>
  <c r="AB8" i="39"/>
  <c r="H5" i="3"/>
  <c r="C21" i="68"/>
  <c r="J1" i="73"/>
  <c r="C7" i="40"/>
  <c r="C63" i="40" s="1"/>
  <c r="C7" i="39"/>
  <c r="C67" i="39" s="1"/>
  <c r="C7" i="34"/>
  <c r="J51" i="15"/>
  <c r="J53" i="15" s="1"/>
  <c r="L56" i="15" s="1"/>
  <c r="G23" i="43"/>
  <c r="C23" i="43" s="1"/>
  <c r="F8" i="1"/>
  <c r="G8" i="1" s="1"/>
  <c r="G44" i="43"/>
  <c r="H69" i="43"/>
  <c r="C40" i="69"/>
  <c r="E19" i="68"/>
  <c r="G22" i="68"/>
  <c r="G22" i="69"/>
  <c r="G22" i="11"/>
  <c r="E1" i="73"/>
  <c r="G16" i="3"/>
  <c r="BL15" i="3"/>
  <c r="AZ15" i="3" s="1"/>
  <c r="AZ14" i="3"/>
  <c r="BL16" i="3"/>
  <c r="AZ16" i="3" s="1"/>
  <c r="F29" i="6"/>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Q71" i="15"/>
  <c r="B20" i="31"/>
  <c r="B21" i="31" s="1"/>
  <c r="I1" i="73"/>
  <c r="B39" i="1" s="1"/>
  <c r="F51" i="67"/>
  <c r="F65" i="67"/>
  <c r="J53" i="67"/>
  <c r="J57" i="67"/>
  <c r="J55" i="67" s="1"/>
  <c r="J58" i="67" s="1"/>
  <c r="Q50" i="67" s="1"/>
  <c r="L56" i="67"/>
  <c r="I54" i="67"/>
  <c r="F51" i="15"/>
  <c r="F66" i="67"/>
  <c r="L58" i="15"/>
  <c r="F66" i="15"/>
  <c r="Q71" i="67"/>
  <c r="F64" i="15"/>
  <c r="C27" i="67"/>
  <c r="F71" i="67"/>
  <c r="C27" i="15"/>
  <c r="F65" i="15"/>
  <c r="N59" i="67"/>
  <c r="L59" i="67"/>
  <c r="L58" i="67"/>
  <c r="M59" i="67"/>
  <c r="B13" i="70"/>
  <c r="M7" i="67"/>
  <c r="J6" i="67" s="1"/>
  <c r="F50" i="67"/>
  <c r="F68" i="67"/>
  <c r="F64" i="67"/>
  <c r="F68" i="15"/>
  <c r="C36" i="68"/>
  <c r="D9" i="69"/>
  <c r="D9" i="68"/>
  <c r="F7" i="15"/>
  <c r="D3" i="73"/>
  <c r="D4" i="73"/>
  <c r="D7" i="73"/>
  <c r="C16" i="15"/>
  <c r="C16" i="67"/>
  <c r="M26" i="15"/>
  <c r="M29" i="15"/>
  <c r="F43" i="15"/>
  <c r="D5" i="73"/>
  <c r="D6" i="73"/>
  <c r="F42" i="15"/>
  <c r="F71" i="15" l="1"/>
  <c r="M7" i="15"/>
  <c r="J6" i="15" s="1"/>
  <c r="C6" i="15"/>
  <c r="C32" i="15" s="1"/>
  <c r="F50" i="15"/>
  <c r="C49" i="15" s="1"/>
  <c r="AA19" i="39"/>
  <c r="S19" i="39"/>
  <c r="T28" i="71"/>
  <c r="C27" i="71"/>
  <c r="D28" i="71"/>
  <c r="U28" i="71" s="1"/>
  <c r="AZ422" i="3"/>
  <c r="C82" i="71"/>
  <c r="D82" i="71" s="1"/>
  <c r="D83" i="71"/>
  <c r="AC9" i="34"/>
  <c r="W9" i="34"/>
  <c r="U39" i="37"/>
  <c r="AB39" i="37"/>
  <c r="S47" i="34"/>
  <c r="AA47" i="34"/>
  <c r="AC13" i="21"/>
  <c r="W13" i="21"/>
  <c r="W33" i="40"/>
  <c r="AC33" i="40"/>
  <c r="U39" i="40"/>
  <c r="AB39" i="40"/>
  <c r="AC12" i="40"/>
  <c r="W12" i="40"/>
  <c r="U13" i="39"/>
  <c r="AB13" i="39"/>
  <c r="W28" i="37"/>
  <c r="AC28" i="37"/>
  <c r="AB12" i="36"/>
  <c r="U12" i="36"/>
  <c r="AA29" i="34"/>
  <c r="S29" i="34"/>
  <c r="AA30" i="33"/>
  <c r="S30" i="33"/>
  <c r="AA28" i="34"/>
  <c r="S28" i="34"/>
  <c r="U44" i="21"/>
  <c r="AB44" i="21"/>
  <c r="AA41" i="39"/>
  <c r="C86" i="71"/>
  <c r="D86" i="71" s="1"/>
  <c r="D87" i="71"/>
  <c r="D71" i="71"/>
  <c r="C70" i="71"/>
  <c r="D70" i="71" s="1"/>
  <c r="B19" i="71"/>
  <c r="B18" i="71" s="1"/>
  <c r="B17" i="71" s="1"/>
  <c r="B16" i="71" s="1"/>
  <c r="S20" i="71"/>
  <c r="N67" i="71"/>
  <c r="B66" i="71"/>
  <c r="AZ38" i="3"/>
  <c r="AZ353" i="3"/>
  <c r="AZ428" i="3"/>
  <c r="AZ121" i="3"/>
  <c r="AZ244" i="3"/>
  <c r="AZ239" i="3"/>
  <c r="AP6" i="1"/>
  <c r="C36" i="69" s="1"/>
  <c r="AZ249" i="3"/>
  <c r="AZ218" i="3"/>
  <c r="AZ332" i="3"/>
  <c r="AA43" i="39"/>
  <c r="S43" i="39"/>
  <c r="AC39" i="37"/>
  <c r="W39" i="37"/>
  <c r="U47" i="34"/>
  <c r="AB47" i="34"/>
  <c r="U13" i="21"/>
  <c r="AB13" i="21"/>
  <c r="AA27" i="21"/>
  <c r="S27" i="21"/>
  <c r="AC39" i="40"/>
  <c r="W39" i="40"/>
  <c r="AC13" i="35"/>
  <c r="W13" i="35"/>
  <c r="W46" i="33"/>
  <c r="AC46" i="33"/>
  <c r="W12" i="33"/>
  <c r="AC12" i="33"/>
  <c r="AB29" i="21"/>
  <c r="U29" i="21"/>
  <c r="AA37" i="39"/>
  <c r="S37" i="39"/>
  <c r="AA12" i="36"/>
  <c r="S12" i="36"/>
  <c r="C36" i="71"/>
  <c r="D35" i="71"/>
  <c r="AZ84" i="3"/>
  <c r="AZ102" i="3"/>
  <c r="AZ28" i="3"/>
  <c r="D23" i="71"/>
  <c r="C22" i="71"/>
  <c r="O65" i="71"/>
  <c r="O66" i="71"/>
  <c r="D66" i="71"/>
  <c r="C40" i="71"/>
  <c r="D39" i="71"/>
  <c r="AZ274" i="3"/>
  <c r="AZ453" i="3"/>
  <c r="AZ417" i="3"/>
  <c r="AZ282" i="3"/>
  <c r="AZ397" i="3"/>
  <c r="AZ550" i="3"/>
  <c r="AC38" i="40"/>
  <c r="W38" i="40"/>
  <c r="AC43" i="39"/>
  <c r="W43" i="39"/>
  <c r="AA13" i="34"/>
  <c r="S13" i="34"/>
  <c r="AA45" i="21"/>
  <c r="S45" i="21"/>
  <c r="U33" i="40"/>
  <c r="AB33" i="40"/>
  <c r="AA12" i="40"/>
  <c r="S12" i="40"/>
  <c r="AB36" i="35"/>
  <c r="U36" i="35"/>
  <c r="AB34" i="36"/>
  <c r="U34" i="36"/>
  <c r="U13" i="35"/>
  <c r="AB13" i="35"/>
  <c r="AA46" i="33"/>
  <c r="S46" i="33"/>
  <c r="W29" i="21"/>
  <c r="AC29" i="21"/>
  <c r="AB24" i="36"/>
  <c r="U24" i="36"/>
  <c r="AC12" i="36"/>
  <c r="W12" i="36"/>
  <c r="G5" i="3"/>
  <c r="B3" i="3" s="1"/>
  <c r="E539" i="3" s="1"/>
  <c r="C44" i="71"/>
  <c r="D43" i="71"/>
  <c r="AZ58" i="3"/>
  <c r="C78" i="71"/>
  <c r="D78" i="71" s="1"/>
  <c r="D79" i="71"/>
  <c r="AZ101" i="3"/>
  <c r="T60" i="71"/>
  <c r="D60" i="71"/>
  <c r="AZ197" i="3"/>
  <c r="AZ243" i="3"/>
  <c r="U12" i="34"/>
  <c r="AB12" i="34"/>
  <c r="F92" i="39"/>
  <c r="G92" i="39" s="1"/>
  <c r="H19" i="39"/>
  <c r="W13" i="34"/>
  <c r="AC13" i="34"/>
  <c r="AA33" i="40"/>
  <c r="S33" i="40"/>
  <c r="U12" i="40"/>
  <c r="AB12" i="40"/>
  <c r="S13" i="39"/>
  <c r="AA13" i="39"/>
  <c r="AA23" i="36"/>
  <c r="S23" i="36"/>
  <c r="AB29" i="34"/>
  <c r="U29" i="34"/>
  <c r="U30" i="33"/>
  <c r="AB30" i="33"/>
  <c r="W28" i="34"/>
  <c r="AC28" i="34"/>
  <c r="AA44" i="21"/>
  <c r="S44" i="21"/>
  <c r="AC24" i="36"/>
  <c r="W24" i="36"/>
  <c r="I54" i="15"/>
  <c r="N59" i="15"/>
  <c r="L59" i="15"/>
  <c r="Q74" i="15" s="1"/>
  <c r="J57" i="15"/>
  <c r="J55" i="15" s="1"/>
  <c r="J58" i="15" s="1"/>
  <c r="Q50" i="15" s="1"/>
  <c r="M59" i="15"/>
  <c r="U32" i="39"/>
  <c r="U41" i="39"/>
  <c r="G16" i="1"/>
  <c r="F10" i="39" s="1"/>
  <c r="J7" i="37"/>
  <c r="K16" i="1"/>
  <c r="B29" i="1" s="1"/>
  <c r="C8" i="68" s="1"/>
  <c r="P6" i="1"/>
  <c r="C13" i="12" s="1"/>
  <c r="K1" i="73"/>
  <c r="E510"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AC6" i="3" s="1"/>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F36" i="6" s="1"/>
  <c r="E36" i="6" s="1"/>
  <c r="E51" i="40"/>
  <c r="E16" i="6"/>
  <c r="E58" i="40"/>
  <c r="E62" i="39"/>
  <c r="M14" i="1"/>
  <c r="D5" i="43"/>
  <c r="J10" i="40"/>
  <c r="AC10" i="40" s="1"/>
  <c r="H10" i="39"/>
  <c r="U10" i="39" s="1"/>
  <c r="F10" i="40"/>
  <c r="S10" i="40" s="1"/>
  <c r="J10" i="39"/>
  <c r="W10" i="39" s="1"/>
  <c r="H10" i="40"/>
  <c r="AB10" i="40" s="1"/>
  <c r="C7" i="43"/>
  <c r="C5" i="43" s="1"/>
  <c r="D10" i="52"/>
  <c r="D125" i="9"/>
  <c r="D11" i="52" s="1"/>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J18" i="15"/>
  <c r="C32" i="67"/>
  <c r="Q60" i="67"/>
  <c r="Q73" i="67"/>
  <c r="M11" i="67"/>
  <c r="J10" i="67" s="1"/>
  <c r="J5" i="67" s="1"/>
  <c r="F11" i="15"/>
  <c r="M11" i="15"/>
  <c r="J10" i="15" s="1"/>
  <c r="J5" i="15" s="1"/>
  <c r="J24" i="15" s="1"/>
  <c r="F11" i="67"/>
  <c r="F1" i="15"/>
  <c r="Q52" i="15"/>
  <c r="J18" i="67"/>
  <c r="F1" i="67"/>
  <c r="Q52" i="67"/>
  <c r="Q60" i="15"/>
  <c r="Q73" i="15"/>
  <c r="Q61" i="67"/>
  <c r="Q74" i="67"/>
  <c r="Q61" i="15"/>
  <c r="AE11" i="1"/>
  <c r="AE9" i="1"/>
  <c r="F27" i="68"/>
  <c r="AE7" i="1"/>
  <c r="AE8" i="1"/>
  <c r="AE12" i="1"/>
  <c r="AE10" i="1"/>
  <c r="AE6" i="1"/>
  <c r="G1" i="73"/>
  <c r="F41" i="67"/>
  <c r="D36" i="71" l="1"/>
  <c r="T36" i="71"/>
  <c r="C26" i="71"/>
  <c r="D26" i="71" s="1"/>
  <c r="D27" i="71"/>
  <c r="AB19" i="39"/>
  <c r="U19" i="39"/>
  <c r="T44" i="71"/>
  <c r="D44" i="71"/>
  <c r="T40" i="71"/>
  <c r="D40" i="71"/>
  <c r="D22" i="71"/>
  <c r="C21" i="71"/>
  <c r="N65" i="71"/>
  <c r="N66" i="71"/>
  <c r="F67" i="39"/>
  <c r="H6" i="3"/>
  <c r="E6" i="3" s="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M27" i="67"/>
  <c r="F41" i="15"/>
  <c r="D21" i="71" l="1"/>
  <c r="C20" i="71"/>
  <c r="J38" i="39"/>
  <c r="F38" i="39"/>
  <c r="H38" i="39"/>
  <c r="B14" i="74"/>
  <c r="B1" i="74" s="1"/>
  <c r="F22" i="68"/>
  <c r="C44" i="68" s="1"/>
  <c r="D41" i="68" s="1"/>
  <c r="E49" i="34"/>
  <c r="F24" i="15"/>
  <c r="C24" i="15" s="1"/>
  <c r="F24" i="67"/>
  <c r="C24" i="67" s="1"/>
  <c r="F25" i="12"/>
  <c r="C26" i="12" s="1"/>
  <c r="D25" i="12" s="1"/>
  <c r="F22" i="69"/>
  <c r="F41" i="69" s="1"/>
  <c r="F22" i="11"/>
  <c r="C24" i="11" s="1"/>
  <c r="O36" i="43"/>
  <c r="Q36" i="43"/>
  <c r="N36" i="43"/>
  <c r="M36" i="43"/>
  <c r="P3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4" i="67"/>
  <c r="C17" i="15"/>
  <c r="AA38" i="39" l="1"/>
  <c r="S38" i="39"/>
  <c r="W38" i="39"/>
  <c r="AC38" i="39"/>
  <c r="D20" i="71"/>
  <c r="U20" i="71" s="1"/>
  <c r="C19" i="71"/>
  <c r="T20" i="71"/>
  <c r="AB38" i="39"/>
  <c r="U38" i="39"/>
  <c r="F41" i="68"/>
  <c r="C14" i="74"/>
  <c r="B2" i="74" s="1"/>
  <c r="C26" i="68"/>
  <c r="D22" i="68" s="1"/>
  <c r="H25" i="6"/>
  <c r="C26" i="11"/>
  <c r="D22" i="11" s="1"/>
  <c r="C23" i="11"/>
  <c r="C44" i="11"/>
  <c r="D41" i="11" s="1"/>
  <c r="C25" i="11"/>
  <c r="C44" i="69"/>
  <c r="D41" i="69" s="1"/>
  <c r="C26" i="69"/>
  <c r="D22" i="69" s="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8" i="71" l="1"/>
  <c r="D19"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7" i="6" s="1"/>
  <c r="C23" i="69"/>
  <c r="I69" i="39"/>
  <c r="J67" i="39"/>
  <c r="I63" i="40"/>
  <c r="H65" i="40"/>
  <c r="I58" i="21"/>
  <c r="J58" i="21" s="1"/>
  <c r="K58" i="21" s="1"/>
  <c r="L58" i="21" s="1"/>
  <c r="M58" i="21" s="1"/>
  <c r="N58" i="21" s="1"/>
  <c r="O58" i="21" s="1"/>
  <c r="H7" i="21" s="1"/>
  <c r="J48" i="35"/>
  <c r="C11" i="39" l="1"/>
  <c r="G3" i="43"/>
  <c r="D18" i="71"/>
  <c r="C17"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D17" i="71" l="1"/>
  <c r="C16" i="71"/>
  <c r="H26" i="43"/>
  <c r="J26" i="43"/>
  <c r="N94" i="46"/>
  <c r="E26" i="43"/>
  <c r="Z7" i="43"/>
  <c r="N370" i="46"/>
  <c r="G26" i="43"/>
  <c r="F26" i="43"/>
  <c r="B116" i="43"/>
  <c r="J11" i="39"/>
  <c r="H11" i="39"/>
  <c r="F11" i="39"/>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W11" i="39" l="1"/>
  <c r="AC11" i="39"/>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S11" i="39"/>
  <c r="AA11" i="39"/>
  <c r="D26" i="43"/>
  <c r="C25" i="43" s="1"/>
  <c r="C15" i="71"/>
  <c r="T16" i="71"/>
  <c r="D16" i="71"/>
  <c r="AB11" i="39"/>
  <c r="U11" i="39"/>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U16" i="71" l="1"/>
  <c r="M23" i="43"/>
  <c r="C14" i="71"/>
  <c r="D15" i="71"/>
  <c r="C118" i="43"/>
  <c r="D116" i="43"/>
  <c r="C33" i="4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4" i="43" l="1"/>
  <c r="E34" i="43" s="1"/>
  <c r="C31" i="43" s="1"/>
  <c r="E33" i="43"/>
  <c r="C30" i="43" s="1"/>
  <c r="D14" i="71"/>
  <c r="C13"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E6" i="76"/>
  <c r="E2" i="76" l="1"/>
  <c r="D13" i="71"/>
  <c r="C12" i="71"/>
  <c r="B2" i="43"/>
  <c r="Q69" i="15"/>
  <c r="Q68" i="15" s="1"/>
  <c r="I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5"/>
  <c r="D2" i="37"/>
  <c r="D2" i="36"/>
  <c r="B6" i="76"/>
  <c r="B2" i="76" l="1"/>
  <c r="B3" i="76" s="1"/>
  <c r="B3" i="43"/>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12" i="1"/>
  <c r="AO8" i="1"/>
  <c r="AO10" i="1"/>
  <c r="AO11" i="1"/>
  <c r="AO7" i="1"/>
  <c r="C10" i="71" l="1"/>
  <c r="D11" i="71"/>
  <c r="R48" i="39"/>
  <c r="C47" i="39" s="1"/>
  <c r="L46" i="15"/>
  <c r="B2"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D19" i="9"/>
  <c r="D10" i="71" l="1"/>
  <c r="C9" i="71"/>
  <c r="C48" i="39"/>
  <c r="B64" i="39" s="1"/>
  <c r="F64" i="39" s="1"/>
  <c r="D102" i="9"/>
  <c r="D21" i="9"/>
  <c r="B6" i="70"/>
  <c r="B2" i="70" s="1"/>
  <c r="B3" i="70" s="1"/>
  <c r="B3" i="15"/>
  <c r="I46" i="40"/>
  <c r="J46" i="40" s="1"/>
  <c r="R43" i="40"/>
  <c r="E42" i="40"/>
  <c r="G47" i="40"/>
  <c r="H47" i="40" s="1"/>
  <c r="G46" i="40"/>
  <c r="H46" i="40" s="1"/>
  <c r="D20" i="9"/>
  <c r="C8" i="71" l="1"/>
  <c r="D9" i="71"/>
  <c r="B57" i="39"/>
  <c r="F57" i="39" s="1"/>
  <c r="B63" i="39"/>
  <c r="F63" i="39" s="1"/>
  <c r="B56" i="39"/>
  <c r="F56" i="39" s="1"/>
  <c r="B60" i="39"/>
  <c r="F60" i="39" s="1"/>
  <c r="B59" i="39"/>
  <c r="F59" i="39" s="1"/>
  <c r="B61" i="39"/>
  <c r="F61" i="39" s="1"/>
  <c r="B62" i="39"/>
  <c r="F62" i="39" s="1"/>
  <c r="B58" i="39"/>
  <c r="F58" i="39" s="1"/>
  <c r="D103" i="9"/>
  <c r="C42" i="40"/>
  <c r="C43" i="40"/>
  <c r="E47" i="40"/>
  <c r="F47" i="40" s="1"/>
  <c r="E46" i="40"/>
  <c r="F46" i="40" s="1"/>
  <c r="I47" i="40"/>
  <c r="J47" i="40" s="1"/>
  <c r="D8" i="71" l="1"/>
  <c r="C7" i="71"/>
  <c r="F65" i="39"/>
  <c r="B2" i="39" s="1"/>
  <c r="B3" i="39" s="1"/>
  <c r="B58" i="40"/>
  <c r="F58" i="40" s="1"/>
  <c r="B54" i="40"/>
  <c r="F54" i="40" s="1"/>
  <c r="B53" i="40"/>
  <c r="F53" i="40" s="1"/>
  <c r="B59" i="40"/>
  <c r="F59" i="40" s="1"/>
  <c r="B52" i="40"/>
  <c r="F52" i="40" s="1"/>
  <c r="B56" i="40"/>
  <c r="F56" i="40" s="1"/>
  <c r="B60" i="40"/>
  <c r="F60" i="40" s="1"/>
  <c r="B57" i="40"/>
  <c r="F57" i="40" s="1"/>
  <c r="B51" i="40"/>
  <c r="F51" i="40" s="1"/>
  <c r="F61" i="40"/>
  <c r="B2" i="40" s="1"/>
  <c r="B3" i="40" s="1"/>
  <c r="C6" i="71" l="1"/>
  <c r="D7" i="71"/>
  <c r="C6" i="68"/>
  <c r="C7" i="68" s="1"/>
  <c r="C5" i="68" s="1"/>
  <c r="C20" i="68" s="1"/>
  <c r="C5" i="71" l="1"/>
  <c r="D5" i="71" s="1"/>
  <c r="M24" i="43" s="1"/>
  <c r="D6" i="71"/>
  <c r="C23" i="68"/>
  <c r="C28" i="68"/>
  <c r="C27" i="68" s="1"/>
  <c r="C25" i="68"/>
  <c r="C22" i="68" l="1"/>
  <c r="C31" i="68" s="1"/>
  <c r="C52" i="68" s="1"/>
  <c r="B2" i="68" s="1"/>
  <c r="C19" i="9"/>
  <c r="C57" i="68" l="1"/>
  <c r="C56" i="68" s="1"/>
  <c r="C102" i="9"/>
  <c r="C21" i="9"/>
  <c r="D22" i="9"/>
  <c r="G19" i="9"/>
  <c r="B3" i="68"/>
  <c r="D35" i="9"/>
  <c r="D34" i="9"/>
  <c r="C20" i="9"/>
  <c r="C103" i="9" l="1"/>
  <c r="G20" i="9"/>
  <c r="C32" i="9" s="1"/>
  <c r="G21" i="9"/>
  <c r="D28" i="9"/>
  <c r="C35" i="9" l="1"/>
  <c r="H118" i="9"/>
  <c r="I118" i="9" l="1"/>
  <c r="H101" i="9"/>
  <c r="H4" i="52"/>
  <c r="H119" i="9"/>
  <c r="H5" i="52" s="1"/>
  <c r="D14" i="74"/>
  <c r="C104" i="9"/>
  <c r="C34" i="9"/>
  <c r="D118" i="9" s="1"/>
  <c r="F118" i="9"/>
  <c r="D119" i="9" l="1"/>
  <c r="D5" i="52" s="1"/>
  <c r="B49" i="72" s="1"/>
  <c r="D4" i="52"/>
  <c r="B47" i="72" s="1"/>
  <c r="D5" i="53"/>
  <c r="D45" i="9"/>
  <c r="D56" i="9" s="1"/>
  <c r="H107" i="9"/>
  <c r="M49" i="9" s="1"/>
  <c r="M48" i="9"/>
  <c r="F4" i="52"/>
  <c r="B51" i="72" s="1"/>
  <c r="F119" i="9"/>
  <c r="F5" i="52" s="1"/>
  <c r="B53" i="72" s="1"/>
  <c r="G118" i="9"/>
  <c r="G4" i="52" s="1"/>
  <c r="B52" i="72" s="1"/>
  <c r="G14" i="74"/>
  <c r="E14" i="74"/>
  <c r="F14" i="74"/>
  <c r="B5" i="74"/>
  <c r="C105" i="9"/>
  <c r="I4" i="52"/>
  <c r="H102" i="9"/>
  <c r="D7" i="53" s="1"/>
  <c r="B21" i="72" s="1"/>
  <c r="B6" i="74" l="1"/>
  <c r="H14" i="74"/>
  <c r="B7" i="74" s="1"/>
  <c r="L64" i="9"/>
  <c r="M64" i="9" s="1"/>
  <c r="L68" i="9"/>
  <c r="M68" i="9" s="1"/>
  <c r="L63" i="9"/>
  <c r="M63" i="9" s="1"/>
  <c r="L65" i="9"/>
  <c r="M65" i="9" s="1"/>
  <c r="L67" i="9"/>
  <c r="M67" i="9" s="1"/>
  <c r="L66" i="9"/>
  <c r="M66" i="9" s="1"/>
  <c r="E118" i="9"/>
  <c r="E4" i="52" s="1"/>
  <c r="B48" i="72" s="1"/>
  <c r="B20" i="72"/>
  <c r="D6" i="53"/>
  <c r="B22" i="72" s="1"/>
  <c r="D5" i="74"/>
  <c r="C5" i="74"/>
  <c r="D122" i="9"/>
  <c r="H108" i="9"/>
  <c r="D15" i="53" s="1"/>
  <c r="B31" i="72" s="1"/>
  <c r="D13" i="53"/>
  <c r="D53" i="9"/>
  <c r="D55" i="9"/>
  <c r="M53" i="9" s="1"/>
  <c r="C64" i="9"/>
  <c r="C63" i="9" s="1"/>
  <c r="C67" i="9" s="1"/>
  <c r="C93" i="9"/>
  <c r="C86" i="9" s="1"/>
  <c r="C72" i="9"/>
  <c r="D52" i="9"/>
  <c r="C85" i="9"/>
  <c r="C78" i="9"/>
  <c r="C73" i="9" s="1"/>
  <c r="D6" i="74"/>
  <c r="C7" i="74" l="1"/>
  <c r="D7" i="74"/>
  <c r="M69" i="9"/>
  <c r="N69" i="9" s="1"/>
  <c r="D14" i="53"/>
  <c r="B32" i="72" s="1"/>
  <c r="B30" i="72"/>
  <c r="C95" i="9"/>
  <c r="C6" i="74"/>
  <c r="D8" i="52"/>
  <c r="D123" i="9"/>
  <c r="D9" i="52" s="1"/>
  <c r="D59" i="9"/>
  <c r="M55" i="9" s="1"/>
  <c r="C68" i="9"/>
  <c r="D54" i="9" s="1"/>
  <c r="D48" i="9" s="1"/>
  <c r="M52" i="9" s="1"/>
  <c r="C79" i="9"/>
  <c r="C80" i="9" l="1"/>
  <c r="E80" i="9" s="1"/>
  <c r="E81" i="9" s="1"/>
  <c r="C96" i="9"/>
  <c r="E96" i="9" s="1"/>
  <c r="E97" i="9" s="1"/>
  <c r="C81" i="9" l="1"/>
  <c r="C97" i="9"/>
  <c r="D58" i="9" l="1"/>
  <c r="M54" i="9" s="1"/>
  <c r="N57" i="9" s="1"/>
  <c r="N59" i="9" s="1"/>
  <c r="H111" i="9" s="1"/>
  <c r="D126" i="9" s="1"/>
  <c r="N58" i="9" l="1"/>
  <c r="N61" i="9"/>
  <c r="H112" i="9" s="1"/>
  <c r="N60" i="9"/>
  <c r="I14" i="74"/>
  <c r="B8" i="74" s="1"/>
  <c r="D8" i="74" s="1"/>
  <c r="P57" i="9"/>
  <c r="D19" i="53"/>
  <c r="D20" i="53" s="1"/>
  <c r="B40" i="72" s="1"/>
  <c r="D21" i="53"/>
  <c r="B39" i="72" s="1"/>
  <c r="D127" i="9"/>
  <c r="D13" i="52" s="1"/>
  <c r="D12" i="52"/>
  <c r="C8" i="74" l="1"/>
  <c r="B3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300-000003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在建项目均选择“是”</t>
        </r>
      </text>
    </comment>
    <comment ref="F59" authorId="1" shapeId="0" xr:uid="{00000000-0006-0000-18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800-000006000000}">
      <text>
        <r>
          <rPr>
            <sz val="10"/>
            <color indexed="81"/>
            <rFont val="宋体"/>
            <family val="3"/>
            <charset val="134"/>
          </rPr>
          <t xml:space="preserve">在建
</t>
        </r>
      </text>
    </comment>
    <comment ref="N59" authorId="0" shapeId="0" xr:uid="{00000000-0006-0000-18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4000000}">
      <text>
        <r>
          <rPr>
            <b/>
            <sz val="12"/>
            <color indexed="81"/>
            <rFont val="宋体"/>
            <family val="3"/>
            <charset val="134"/>
          </rPr>
          <t>所属项目品质或
物业管理</t>
        </r>
      </text>
    </comment>
    <comment ref="B90"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4000000}">
      <text>
        <r>
          <rPr>
            <b/>
            <sz val="12"/>
            <color indexed="81"/>
            <rFont val="宋体"/>
            <family val="3"/>
            <charset val="134"/>
          </rPr>
          <t>所属项目品质或
物业管理</t>
        </r>
      </text>
    </comment>
    <comment ref="B86" authorId="0" shapeId="0" xr:uid="{00000000-0006-0000-2100-000005000000}">
      <text>
        <r>
          <rPr>
            <b/>
            <sz val="12"/>
            <color indexed="81"/>
            <rFont val="宋体"/>
            <family val="3"/>
            <charset val="134"/>
          </rPr>
          <t>所属项目品质</t>
        </r>
      </text>
    </comment>
    <comment ref="B89" authorId="0" shapeId="0" xr:uid="{00000000-0006-0000-2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B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B00-000002000000}">
      <text>
        <r>
          <rPr>
            <sz val="11"/>
            <color indexed="81"/>
            <rFont val="宋体"/>
            <family val="3"/>
            <charset val="134"/>
          </rPr>
          <t xml:space="preserve">录入层数，将对应的结果录入至左侧相应层的楼层修正系数单元格中
</t>
        </r>
      </text>
    </comment>
    <comment ref="C16" authorId="1" shapeId="0" xr:uid="{00000000-0006-0000-2B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B00-000004000000}">
      <text>
        <r>
          <rPr>
            <sz val="12"/>
            <color indexed="81"/>
            <rFont val="宋体"/>
            <family val="3"/>
            <charset val="134"/>
          </rPr>
          <t>1.05~1.1</t>
        </r>
        <r>
          <rPr>
            <sz val="9"/>
            <color indexed="81"/>
            <rFont val="宋体"/>
            <family val="3"/>
            <charset val="134"/>
          </rPr>
          <t xml:space="preserve">
</t>
        </r>
      </text>
    </comment>
    <comment ref="E16" authorId="1" shapeId="0" xr:uid="{00000000-0006-0000-2B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B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B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B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B00-000009000000}">
      <text>
        <r>
          <rPr>
            <sz val="9"/>
            <color indexed="81"/>
            <rFont val="宋体"/>
            <family val="3"/>
            <charset val="134"/>
          </rPr>
          <t xml:space="preserve">需在此处填写剩余土地年限
</t>
        </r>
      </text>
    </comment>
    <comment ref="C111" authorId="0" shapeId="0" xr:uid="{00000000-0006-0000-2B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B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B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B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B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B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B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B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B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B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B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B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B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<sst xmlns="http://schemas.openxmlformats.org/spreadsheetml/2006/main" count="8144" uniqueCount="3595">
  <si>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</si>
  <si>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</si>
  <si>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</si>
  <si>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</si>
  <si>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</si>
  <si>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</si>
  <si>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</si>
  <si>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</si>
  <si>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</si>
  <si>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</si>
  <si>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</si>
  <si>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</si>
  <si>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</si>
  <si>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</si>
  <si>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</si>
  <si>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</si>
  <si>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</si>
  <si>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</si>
  <si>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</si>
  <si>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</si>
  <si>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</si>
  <si>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</si>
  <si>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</si>
  <si>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</si>
  <si>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</si>
  <si>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</si>
  <si>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</si>
  <si>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</si>
  <si>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</si>
  <si>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</si>
  <si>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</si>
  <si>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</si>
  <si>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</si>
  <si>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</si>
  <si>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</si>
  <si>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</si>
  <si>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</si>
  <si>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</si>
  <si>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</si>
  <si>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</si>
  <si>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</si>
  <si>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</si>
  <si>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</si>
  <si>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</si>
  <si>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</si>
  <si>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</si>
  <si>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</si>
  <si>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</si>
  <si>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</si>
  <si>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</si>
  <si>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</si>
  <si>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</si>
  <si>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</si>
  <si>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</si>
  <si>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</si>
  <si>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</si>
  <si>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</si>
  <si>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</si>
  <si>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</si>
  <si>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</si>
  <si>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</si>
  <si>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</si>
  <si>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</si>
  <si>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</si>
  <si>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</si>
  <si>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</si>
  <si>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</si>
  <si>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</si>
  <si>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</si>
  <si>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</si>
  <si>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</si>
  <si>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</si>
  <si>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</si>
  <si>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</si>
  <si>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</si>
  <si>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</si>
  <si>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</si>
  <si>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</si>
  <si>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</si>
  <si>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</si>
  <si>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</si>
  <si>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</si>
  <si>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</si>
  <si>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</si>
  <si>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</si>
  <si>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</si>
  <si>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</si>
  <si>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</si>
  <si>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</si>
  <si>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</si>
  <si>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</si>
  <si>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</si>
  <si>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</si>
  <si>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</si>
  <si>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</si>
  <si>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</si>
  <si>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</si>
  <si>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</si>
  <si>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</si>
  <si>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</si>
  <si>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</si>
  <si>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</si>
  <si>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</si>
  <si>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</si>
  <si>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</si>
  <si>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</si>
  <si>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</si>
  <si>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</si>
  <si>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</si>
  <si>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</si>
  <si>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</si>
  <si>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</si>
  <si>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</si>
  <si>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</si>
  <si>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</si>
  <si>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</si>
  <si>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</si>
  <si>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</si>
  <si>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</si>
  <si>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</si>
  <si>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</si>
  <si>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</si>
  <si>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</si>
  <si>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</si>
  <si>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</si>
  <si>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</si>
  <si>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</si>
  <si>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</si>
  <si>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</si>
  <si>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</si>
  <si>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</si>
  <si>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</si>
  <si>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</si>
  <si>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</si>
  <si>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</si>
  <si>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</si>
  <si>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</si>
  <si>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</si>
  <si>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</si>
  <si>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</si>
  <si>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</si>
  <si>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</si>
  <si>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</si>
  <si>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</si>
  <si>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</si>
  <si>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</si>
  <si>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</si>
  <si>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</si>
  <si>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</si>
  <si>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</si>
  <si>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</si>
  <si>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</si>
  <si>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</si>
  <si>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</si>
  <si>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</si>
  <si>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</si>
  <si>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</si>
  <si>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</si>
  <si>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</si>
  <si>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</si>
  <si>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</si>
  <si>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</si>
  <si>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</si>
  <si>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</si>
  <si>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</si>
  <si>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</si>
  <si>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</si>
  <si>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</si>
  <si>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</si>
  <si>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</si>
  <si>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</si>
  <si>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</si>
  <si>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</si>
  <si>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</si>
  <si>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</si>
  <si>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</si>
  <si>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</si>
  <si>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</si>
  <si>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</si>
  <si>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</si>
  <si>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</si>
  <si>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</si>
  <si>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</si>
  <si>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</si>
  <si>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</si>
  <si>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</si>
  <si>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</si>
  <si>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</si>
  <si>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</si>
  <si>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</si>
  <si>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</si>
  <si>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</si>
  <si>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</si>
  <si>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</si>
  <si>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</si>
  <si>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</si>
  <si>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</si>
  <si>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</si>
  <si>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</si>
  <si>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</si>
  <si>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</si>
  <si>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</si>
  <si>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</si>
  <si>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</si>
  <si>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</si>
  <si>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</si>
  <si>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</si>
  <si>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</si>
  <si>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</si>
  <si>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</si>
  <si>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</si>
  <si>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</si>
  <si>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</si>
  <si>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</si>
  <si>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</si>
  <si>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</si>
  <si>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</si>
  <si>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</si>
  <si>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</si>
  <si>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</si>
  <si>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</si>
  <si>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</si>
  <si>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</si>
  <si>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</si>
  <si>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</si>
  <si>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</si>
  <si>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</si>
  <si>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</si>
  <si>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</si>
  <si>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</si>
  <si>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</si>
  <si>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</si>
  <si>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</si>
  <si>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</si>
  <si>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</si>
  <si>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</si>
  <si>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</si>
  <si>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</si>
  <si>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</si>
  <si>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</si>
  <si>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</si>
  <si>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</si>
  <si>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</si>
  <si>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</si>
  <si>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</si>
  <si>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</si>
  <si>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</si>
  <si>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</si>
  <si>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</si>
  <si>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</si>
  <si>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</si>
  <si>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</si>
  <si>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</si>
  <si>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</si>
  <si>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</si>
  <si>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</si>
  <si>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</si>
  <si>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</si>
  <si>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</si>
  <si>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</si>
  <si>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</si>
  <si>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</si>
  <si>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</si>
  <si>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</si>
  <si>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</si>
  <si>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</si>
  <si>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</si>
  <si>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</si>
  <si>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</si>
  <si>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</si>
  <si>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</si>
  <si>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</si>
  <si>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</si>
  <si>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</si>
  <si>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</si>
  <si>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</si>
  <si>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</si>
  <si>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</si>
  <si>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</si>
  <si>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</si>
  <si>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</si>
  <si>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</si>
  <si>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</si>
  <si>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</si>
  <si>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</si>
  <si>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</si>
  <si>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</si>
  <si>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</si>
  <si>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</si>
  <si>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</si>
  <si>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</si>
  <si>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</si>
  <si>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</si>
  <si>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</si>
  <si>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</si>
  <si>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</si>
  <si>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</si>
  <si>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</si>
  <si>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</si>
  <si>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</si>
  <si>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</si>
  <si>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</si>
  <si>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</si>
  <si>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</si>
  <si>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</si>
  <si>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</si>
  <si>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</si>
  <si>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</si>
  <si>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</si>
  <si>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</si>
  <si>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</si>
  <si>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</si>
  <si>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</si>
  <si>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</si>
  <si>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</si>
  <si>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</si>
  <si>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</si>
  <si>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</si>
  <si>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</si>
  <si>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</si>
  <si>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</si>
  <si>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</si>
  <si>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</si>
  <si>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</si>
  <si>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</si>
  <si>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</si>
  <si>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</si>
  <si>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</si>
  <si>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</si>
  <si>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</si>
  <si>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</si>
  <si>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</si>
  <si>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</si>
  <si>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</si>
  <si>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</si>
  <si>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</si>
  <si>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</si>
  <si>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</si>
  <si>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</si>
  <si>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</si>
  <si>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</si>
  <si>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</si>
  <si>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</si>
  <si>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</si>
  <si>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</si>
  <si>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</si>
  <si>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</si>
  <si>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</si>
  <si>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</si>
  <si>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</si>
  <si>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</si>
  <si>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</si>
  <si>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</si>
  <si>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</si>
  <si>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</si>
  <si>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</si>
  <si>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</si>
  <si>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</si>
  <si>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</si>
  <si>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</si>
  <si>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</si>
  <si>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</si>
  <si>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</si>
  <si>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</si>
  <si>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</si>
  <si>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</si>
  <si>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</si>
  <si>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</si>
  <si>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</si>
  <si>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</si>
  <si>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</si>
  <si>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</si>
  <si>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</si>
  <si>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</si>
  <si>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</si>
  <si>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</si>
  <si>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</si>
  <si>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</si>
  <si>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</si>
  <si>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</si>
  <si>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</si>
  <si>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</si>
  <si>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</si>
  <si>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</si>
  <si>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</si>
  <si>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</si>
  <si>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</si>
  <si>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</si>
  <si>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</si>
  <si>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</si>
  <si>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</si>
  <si>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</si>
  <si>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</si>
  <si>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</si>
  <si>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</si>
  <si>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</si>
  <si>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</si>
  <si>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</si>
  <si>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</si>
  <si>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</si>
  <si>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</si>
  <si>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</si>
  <si>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</si>
  <si>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</si>
  <si>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</si>
  <si>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</si>
  <si>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</si>
  <si>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</si>
  <si>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</si>
  <si>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</si>
  <si>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</si>
  <si>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</si>
  <si>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</si>
  <si>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</si>
  <si>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</si>
  <si>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</si>
  <si>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</si>
  <si>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</si>
  <si>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</si>
  <si>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</si>
  <si>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</si>
  <si>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</si>
  <si>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</si>
  <si>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</si>
  <si>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</si>
  <si>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</si>
  <si>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</si>
  <si>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</si>
  <si>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</si>
  <si>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</si>
  <si>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</si>
  <si>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</si>
  <si>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</si>
  <si>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</si>
  <si>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</si>
  <si>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</si>
  <si>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</si>
  <si>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</si>
  <si>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</si>
  <si>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</si>
  <si>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</si>
  <si>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</si>
  <si>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</si>
  <si>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</si>
  <si>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</si>
  <si>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</si>
  <si>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</si>
  <si>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</si>
  <si>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</si>
  <si>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</si>
  <si>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</si>
  <si>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</si>
  <si>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</si>
  <si>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</si>
  <si>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</si>
  <si>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</si>
  <si>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</si>
  <si>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</si>
  <si>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</si>
  <si>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</si>
  <si>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</si>
  <si>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</si>
  <si>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</si>
  <si>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</si>
  <si>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</si>
  <si>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</si>
  <si>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</si>
  <si>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</si>
  <si>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</si>
  <si>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</si>
  <si>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</si>
  <si>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</si>
  <si>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</si>
  <si>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</si>
  <si>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</si>
  <si>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</si>
  <si>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</si>
  <si>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</si>
  <si>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</si>
  <si>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</si>
  <si>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</si>
  <si>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</si>
  <si>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</si>
  <si>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</si>
  <si>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</si>
  <si>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</si>
  <si>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</si>
  <si>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</si>
  <si>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</si>
  <si>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</si>
  <si>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</si>
  <si>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</si>
  <si>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</si>
  <si>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</si>
  <si>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</si>
  <si>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</si>
  <si>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</si>
  <si>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</si>
  <si>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</si>
  <si>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</si>
  <si>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</si>
  <si>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</si>
  <si>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</si>
  <si>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</si>
  <si>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</si>
  <si>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</si>
  <si>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</si>
  <si>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</si>
  <si>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</si>
  <si>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</si>
  <si>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</si>
  <si>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</si>
  <si>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</si>
  <si>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</si>
  <si>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</si>
  <si>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</si>
  <si>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</si>
  <si>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</si>
  <si>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</si>
  <si>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</si>
  <si>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</si>
  <si>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</si>
  <si>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</si>
  <si>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</si>
  <si>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</si>
  <si>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</si>
  <si>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</si>
  <si>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</si>
  <si>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</si>
  <si>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</si>
  <si>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</si>
  <si>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</si>
  <si>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</si>
  <si>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</si>
  <si>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</si>
  <si>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</si>
  <si>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</si>
  <si>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</si>
  <si>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</si>
  <si>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</si>
  <si>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</si>
  <si>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</si>
  <si>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</si>
  <si>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</si>
  <si>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</si>
  <si>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</si>
  <si>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</si>
  <si>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</si>
  <si>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</si>
  <si>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</si>
  <si>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</si>
  <si>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</si>
  <si>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</si>
  <si>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</si>
  <si>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</si>
  <si>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</si>
  <si>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</si>
  <si>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</si>
  <si>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</si>
  <si>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</si>
  <si>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</si>
  <si>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</si>
  <si>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</si>
  <si>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</si>
  <si>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</si>
  <si>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</si>
  <si>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</si>
  <si>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</si>
  <si>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</si>
  <si>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</si>
  <si>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</si>
  <si>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</si>
  <si>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</si>
  <si>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</si>
  <si>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</si>
  <si>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</si>
  <si>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</si>
  <si>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</si>
  <si>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</si>
  <si>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</si>
  <si>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</si>
  <si>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</si>
  <si>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</si>
  <si>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</si>
  <si>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</si>
  <si>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</si>
  <si>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</si>
  <si>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</si>
  <si>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</si>
  <si>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</si>
  <si>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</si>
  <si>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</si>
  <si>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</si>
  <si>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</si>
  <si>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</si>
  <si>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</si>
  <si>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</si>
  <si>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</si>
  <si>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</si>
  <si>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</si>
  <si>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</si>
  <si>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</si>
  <si>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</si>
  <si>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</si>
  <si>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</si>
  <si>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</si>
  <si>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</si>
  <si>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</si>
  <si>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</si>
  <si>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</si>
  <si>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</si>
  <si>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</si>
  <si>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</si>
  <si>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</si>
  <si>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</si>
  <si>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</si>
  <si>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</si>
  <si>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</si>
  <si>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</si>
  <si>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</si>
  <si>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</si>
  <si>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</si>
  <si>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</si>
  <si>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</si>
  <si>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</si>
  <si>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</si>
  <si>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</si>
  <si>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</si>
  <si>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</si>
  <si>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</si>
  <si>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</si>
  <si>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</si>
  <si>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</si>
  <si>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</si>
  <si>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</si>
  <si>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</si>
  <si>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</si>
  <si>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</si>
  <si>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</si>
  <si>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</si>
  <si>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</si>
  <si>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</si>
  <si>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</si>
  <si>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</si>
  <si>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</si>
  <si>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</si>
  <si>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</si>
  <si>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</si>
  <si>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</si>
  <si>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</si>
  <si>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</si>
  <si>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</si>
  <si>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</si>
  <si>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</si>
  <si>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</si>
  <si>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</si>
  <si>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</si>
  <si>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</si>
  <si>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</si>
  <si>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</si>
  <si>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</si>
  <si>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</si>
  <si>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</si>
  <si>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</si>
  <si>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</si>
  <si>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</si>
  <si>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</si>
  <si>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</si>
  <si>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</si>
  <si>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</si>
  <si>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</si>
  <si>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</si>
  <si>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</si>
  <si>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</si>
  <si>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</si>
  <si>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</si>
  <si>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</si>
  <si>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</si>
  <si>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</si>
  <si>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</si>
  <si>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</si>
  <si>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</si>
  <si>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</si>
  <si>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</si>
  <si>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</si>
  <si>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</si>
  <si>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</si>
  <si>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</si>
  <si>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</si>
  <si>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</si>
  <si>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</si>
  <si>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</si>
  <si>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</si>
  <si>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</si>
  <si>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</si>
  <si>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</si>
  <si>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</si>
  <si>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</si>
  <si>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</si>
  <si>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</si>
  <si>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</si>
  <si>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</si>
  <si>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</si>
  <si>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</si>
  <si>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</si>
  <si>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</si>
  <si>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</si>
  <si>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</si>
  <si>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</si>
  <si>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</si>
  <si>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</si>
  <si>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</si>
  <si>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</si>
  <si>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</si>
  <si>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</si>
  <si>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</si>
  <si>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</si>
  <si>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</si>
  <si>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</si>
  <si>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</si>
  <si>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</si>
  <si>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</si>
  <si>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</si>
  <si>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</si>
  <si>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</si>
  <si>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</si>
  <si>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</si>
  <si>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</si>
  <si>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</si>
  <si>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</si>
  <si>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</si>
  <si>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</si>
  <si>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</si>
  <si>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</si>
  <si>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</si>
  <si>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</si>
  <si>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</si>
  <si>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</si>
  <si>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</si>
  <si>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</si>
  <si>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</si>
  <si>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</si>
  <si>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</si>
  <si>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</si>
  <si>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</si>
  <si>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</si>
  <si>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</si>
  <si>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</si>
  <si>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</si>
  <si>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</si>
  <si>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</si>
  <si>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</si>
  <si>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</si>
  <si>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</si>
  <si>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</si>
  <si>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</si>
  <si>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</si>
  <si>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</si>
  <si>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</si>
  <si>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</si>
  <si>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</si>
  <si>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</si>
  <si>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</si>
  <si>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</si>
  <si>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</si>
  <si>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</si>
  <si>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</si>
  <si>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</si>
  <si>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</si>
  <si>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</si>
  <si>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</si>
  <si>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</si>
  <si>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</si>
  <si>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</si>
  <si>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</si>
  <si>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</si>
  <si>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</si>
  <si>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</si>
  <si>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</si>
  <si>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</si>
  <si>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</si>
  <si>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</si>
  <si>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</si>
  <si>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</si>
  <si>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</si>
  <si>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</si>
  <si>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</si>
  <si>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</si>
  <si>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</si>
  <si>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</si>
  <si>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</si>
  <si>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</si>
  <si>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</si>
  <si>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</si>
  <si>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</si>
  <si>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</si>
  <si>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</si>
  <si>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</si>
  <si>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</si>
  <si>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</si>
  <si>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</si>
  <si>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</si>
  <si>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</si>
  <si>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</si>
  <si>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</si>
  <si>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</si>
  <si>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</si>
  <si>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</si>
  <si>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</si>
  <si>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</si>
  <si>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</si>
  <si>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</si>
  <si>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</si>
  <si>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</si>
  <si>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</si>
  <si>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</si>
  <si>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</si>
  <si>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</si>
  <si>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</si>
  <si>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</si>
  <si>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</si>
  <si>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</si>
  <si>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</si>
  <si>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</si>
  <si>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</si>
  <si>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</si>
  <si>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</si>
  <si>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</si>
  <si>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</si>
  <si>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</si>
  <si>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</si>
  <si>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</si>
  <si>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</si>
  <si>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</si>
  <si>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</si>
  <si>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</si>
  <si>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</si>
  <si>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</si>
  <si>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</si>
  <si>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</si>
  <si>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</si>
  <si>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</si>
  <si>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</si>
  <si>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</si>
  <si>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</si>
  <si>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</si>
  <si>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</si>
  <si>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</si>
  <si>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</si>
  <si>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</si>
  <si>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</si>
  <si>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</si>
  <si>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</si>
  <si>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</si>
  <si>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</si>
  <si>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</si>
  <si>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</si>
  <si>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</si>
  <si>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</si>
  <si>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</si>
  <si>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</si>
  <si>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</si>
  <si>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</si>
  <si>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</si>
  <si>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</si>
  <si>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</si>
  <si>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</si>
  <si>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</si>
  <si>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</si>
  <si>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</si>
  <si>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</si>
  <si>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</si>
  <si>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</si>
  <si>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</si>
  <si>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</si>
  <si>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</si>
  <si>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</si>
  <si>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</si>
  <si>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</si>
  <si>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</si>
  <si>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</si>
  <si>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</si>
  <si>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</si>
  <si>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</si>
  <si>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</si>
  <si>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</si>
  <si>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</si>
  <si>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</si>
  <si>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</si>
  <si>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</si>
  <si>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</si>
  <si>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</si>
  <si>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</si>
  <si>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</si>
  <si>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</si>
  <si>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</si>
  <si>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</si>
  <si>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</si>
  <si>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</si>
  <si>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</si>
  <si>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</si>
  <si>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</si>
  <si>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</si>
  <si>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</si>
  <si>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</si>
  <si>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</si>
  <si>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</si>
  <si>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</si>
  <si>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</si>
  <si>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</si>
  <si>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</si>
  <si>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</si>
  <si>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</si>
  <si>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</si>
  <si>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</si>
  <si>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</si>
  <si>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</si>
  <si>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</si>
  <si>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</si>
  <si>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</si>
  <si>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</si>
  <si>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</si>
  <si>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</si>
  <si>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</si>
  <si>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</si>
  <si>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</si>
  <si>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</si>
  <si>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</si>
  <si>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</si>
  <si>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</si>
  <si>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</si>
  <si>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</si>
  <si>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</si>
  <si>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</si>
  <si>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</si>
  <si>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</si>
  <si>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</si>
  <si>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</si>
  <si>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</si>
  <si>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</si>
  <si>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</si>
  <si>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</si>
  <si>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</si>
  <si>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</si>
  <si>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</si>
  <si>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</si>
  <si>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</si>
  <si>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</si>
  <si>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</si>
  <si>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</si>
  <si>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</si>
  <si>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</si>
  <si>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</si>
  <si>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</si>
  <si>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</si>
  <si>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</si>
  <si>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</si>
  <si>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</si>
  <si>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</si>
  <si>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</si>
  <si>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</si>
  <si>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</si>
  <si>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</si>
  <si>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</si>
  <si>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</si>
  <si>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</si>
  <si>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</si>
  <si>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</si>
  <si>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</si>
  <si>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</si>
  <si>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</si>
  <si>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</si>
  <si>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</si>
  <si>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</si>
  <si>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</si>
  <si>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</si>
  <si>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</si>
  <si>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</si>
  <si>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</si>
  <si>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</si>
  <si>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</si>
  <si>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</si>
  <si>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</si>
  <si>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</si>
  <si>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</si>
  <si>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</si>
  <si>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</si>
  <si>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</si>
  <si>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</si>
  <si>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</si>
  <si>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</si>
  <si>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</si>
  <si>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</si>
  <si>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</si>
  <si>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</si>
  <si>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</si>
  <si>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</si>
  <si>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</si>
  <si>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</si>
  <si>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</si>
  <si>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</si>
  <si>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</si>
  <si>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</si>
  <si>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</si>
  <si>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</si>
  <si>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</si>
  <si>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</si>
  <si>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</si>
  <si>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</si>
  <si>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</si>
  <si>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</si>
  <si>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</si>
  <si>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</si>
  <si>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</si>
  <si>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</si>
  <si>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</si>
  <si>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</si>
  <si>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</si>
  <si>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</si>
  <si>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</si>
  <si>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</si>
  <si>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</si>
  <si>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</si>
  <si>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</si>
  <si>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</si>
  <si>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</si>
  <si>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</si>
  <si>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</si>
  <si>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</si>
  <si>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</si>
  <si>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</si>
  <si>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</si>
  <si>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</si>
  <si>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</si>
  <si>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</si>
  <si>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</si>
  <si>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</si>
  <si>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</si>
  <si>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</si>
  <si>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</si>
  <si>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</si>
  <si>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</si>
  <si>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</si>
  <si>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</si>
  <si>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</si>
  <si>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</si>
  <si>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</si>
  <si>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</si>
  <si>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</si>
  <si>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</si>
  <si>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</si>
  <si>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</si>
  <si>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</si>
  <si>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</si>
  <si>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</si>
  <si>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</si>
  <si>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</si>
  <si>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</si>
  <si>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</si>
  <si>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</si>
  <si>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</si>
  <si>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</si>
  <si>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</si>
  <si>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</si>
  <si>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</si>
  <si>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</si>
  <si>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</si>
  <si>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</si>
  <si>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</si>
  <si>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</si>
  <si>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</si>
  <si>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</si>
  <si>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</si>
  <si>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</si>
  <si>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</si>
  <si>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</si>
  <si>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</si>
  <si>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</si>
  <si>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</si>
  <si>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</si>
  <si>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</si>
  <si>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</si>
  <si>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</si>
  <si>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</si>
  <si>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</si>
  <si>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</si>
  <si>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</si>
  <si>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</si>
  <si>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</si>
  <si>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</si>
  <si>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</si>
  <si>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</si>
  <si>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</si>
  <si>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</si>
  <si>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</si>
  <si>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</si>
  <si>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</si>
  <si>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</si>
  <si>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</si>
  <si>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</si>
  <si>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</si>
  <si>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</si>
  <si>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</si>
  <si>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</si>
  <si>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</si>
  <si>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</si>
  <si>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</si>
  <si>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</si>
  <si>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</si>
  <si>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</si>
  <si>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</si>
  <si>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</si>
  <si>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</si>
  <si>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</si>
  <si>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</si>
  <si>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</si>
  <si>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</si>
  <si>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</si>
  <si>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</si>
  <si>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</si>
  <si>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</si>
  <si>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</si>
  <si>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</si>
  <si>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</si>
  <si>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</si>
  <si>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</si>
  <si>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</si>
  <si>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</si>
  <si>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</si>
  <si>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</si>
  <si>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</si>
  <si>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</si>
  <si>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</si>
  <si>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</si>
  <si>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</si>
  <si>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</si>
  <si>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</si>
  <si>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</si>
  <si>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</si>
  <si>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</si>
  <si>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</si>
  <si>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</si>
  <si>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</si>
  <si>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</si>
  <si>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</si>
  <si>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</si>
  <si>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</si>
  <si>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</si>
  <si>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</si>
  <si>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</si>
  <si>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</si>
  <si>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</si>
  <si>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</si>
  <si>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</si>
  <si>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</si>
  <si>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</si>
  <si>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</si>
  <si>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</si>
  <si>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</si>
  <si>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</si>
  <si>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</si>
  <si>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</si>
  <si>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</si>
  <si>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</si>
  <si>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</si>
  <si>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</si>
  <si>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</si>
  <si>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</si>
  <si>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</si>
  <si>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</si>
  <si>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</si>
  <si>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</si>
  <si>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</si>
  <si>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</si>
  <si>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</si>
  <si>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</si>
  <si>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</si>
  <si>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</si>
  <si>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</si>
  <si>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</si>
  <si>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</si>
  <si>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</si>
  <si>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</si>
  <si>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</si>
  <si>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</si>
  <si>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</si>
  <si>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</si>
  <si>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</si>
  <si>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</si>
  <si>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</si>
  <si>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</si>
  <si>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</si>
  <si>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</si>
  <si>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</si>
  <si>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</si>
  <si>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</si>
  <si>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</si>
  <si>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</si>
  <si>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</si>
  <si>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</si>
  <si>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</si>
  <si>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</si>
  <si>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</si>
  <si>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</si>
  <si>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</si>
  <si>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</si>
  <si>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</si>
  <si>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</si>
  <si>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</si>
  <si>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</si>
  <si>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</si>
  <si>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</si>
  <si>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</si>
  <si>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</si>
  <si>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</si>
  <si>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</si>
  <si>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</si>
  <si>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</si>
  <si>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</si>
  <si>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</si>
  <si>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</si>
  <si>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</si>
  <si>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</si>
  <si>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</si>
  <si>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</si>
  <si>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</si>
  <si>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</si>
  <si>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</si>
  <si>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</si>
  <si>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</si>
  <si>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</si>
  <si>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</si>
  <si>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</si>
  <si>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</si>
  <si>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</si>
  <si>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</si>
  <si>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</si>
  <si>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</si>
  <si>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</si>
  <si>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</si>
  <si>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</si>
  <si>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</si>
  <si>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</si>
  <si>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</si>
  <si>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</si>
  <si>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</si>
  <si>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</si>
  <si>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</si>
  <si>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</si>
  <si>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</si>
  <si>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</si>
  <si>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</si>
  <si>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</si>
  <si>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</si>
  <si>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</si>
  <si>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</si>
  <si>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</si>
  <si>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</si>
  <si>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</si>
  <si>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</si>
  <si>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</si>
  <si>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</si>
  <si>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</si>
  <si>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</si>
  <si>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</si>
  <si>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</si>
  <si>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</si>
  <si>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</si>
  <si>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</si>
  <si>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</si>
  <si>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</si>
  <si>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</si>
  <si>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</si>
  <si>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</si>
  <si>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</si>
  <si>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</si>
  <si>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</si>
  <si>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</si>
  <si>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</si>
  <si>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</si>
  <si>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</si>
  <si>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</si>
  <si>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</si>
  <si>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</si>
  <si>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</si>
  <si>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</si>
  <si>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</si>
  <si>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</si>
  <si>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</si>
  <si>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</si>
  <si>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</si>
  <si>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</si>
  <si>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</si>
  <si>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</si>
  <si>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</si>
  <si>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</si>
  <si>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</si>
  <si>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</si>
  <si>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</si>
  <si>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</si>
  <si>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</si>
  <si>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</si>
  <si>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</si>
  <si>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</si>
  <si>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</si>
  <si>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</si>
  <si>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</si>
  <si>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</si>
  <si>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</si>
  <si>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</si>
  <si>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</si>
  <si>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</si>
  <si>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</si>
  <si>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</si>
  <si>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</si>
  <si>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</si>
  <si>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</si>
  <si>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</si>
  <si>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</si>
  <si>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</si>
  <si>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</si>
  <si>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</si>
  <si>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</si>
  <si>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</si>
  <si>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</si>
  <si>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</si>
  <si>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</si>
  <si>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</si>
  <si>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</si>
  <si>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</si>
  <si>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</si>
  <si>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</si>
  <si>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</si>
  <si>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</si>
  <si>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</si>
  <si>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</si>
  <si>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</si>
  <si>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</si>
  <si>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</si>
  <si>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</si>
  <si>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</si>
  <si>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</si>
  <si>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</si>
  <si>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</si>
  <si>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</si>
  <si>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</si>
  <si>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</si>
  <si>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</si>
  <si>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</si>
  <si>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</si>
  <si>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</si>
  <si>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</si>
  <si>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</si>
  <si>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</si>
  <si>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</si>
  <si>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</si>
  <si>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</si>
  <si>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</si>
  <si>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</si>
  <si>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</si>
  <si>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</si>
  <si>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</si>
  <si>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</si>
  <si>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</si>
  <si>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</si>
  <si>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</si>
  <si>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</si>
  <si>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</si>
  <si>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</si>
  <si>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</si>
  <si>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</si>
  <si>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</si>
  <si>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</si>
  <si>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</si>
  <si>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</si>
  <si>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</si>
  <si>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</si>
  <si>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</si>
  <si>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</si>
  <si>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</si>
  <si>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</si>
  <si>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</si>
  <si>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</si>
  <si>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</si>
  <si>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</si>
  <si>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</si>
  <si>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</si>
  <si>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</si>
  <si>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</si>
  <si>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</si>
  <si>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</si>
  <si>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</si>
  <si>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</si>
  <si>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</si>
  <si>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</si>
  <si>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</si>
  <si>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</si>
  <si>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</si>
  <si>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</si>
  <si>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</si>
  <si>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</si>
  <si>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</si>
  <si>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</si>
  <si>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</si>
  <si>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</si>
  <si>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</si>
  <si>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</si>
  <si>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</si>
  <si>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</si>
  <si>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</si>
  <si>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</si>
  <si>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</si>
  <si>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</si>
  <si>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</si>
  <si>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</si>
  <si>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</si>
  <si>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</si>
  <si>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</si>
  <si>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</si>
  <si>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</si>
  <si>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</si>
  <si>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</si>
  <si>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</si>
  <si>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</si>
  <si>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</si>
  <si>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</si>
  <si>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</si>
  <si>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</si>
  <si>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</si>
  <si>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</si>
  <si>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</si>
  <si>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</si>
  <si>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</si>
  <si>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</si>
  <si>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</si>
  <si>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</si>
  <si>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</si>
  <si>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</si>
  <si>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</si>
  <si>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</si>
  <si>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</si>
  <si>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</si>
  <si>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</si>
  <si>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</si>
  <si>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</si>
  <si>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</si>
  <si>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</si>
  <si>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</si>
  <si>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</si>
  <si>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</si>
  <si>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</si>
  <si>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</si>
  <si>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</si>
  <si>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</si>
  <si>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</si>
  <si>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</si>
  <si>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</si>
  <si>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</si>
  <si>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</si>
  <si>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</si>
  <si>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</si>
  <si>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</si>
  <si>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</si>
  <si>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</si>
  <si>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</si>
  <si>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</si>
  <si>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</si>
  <si>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</si>
  <si>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</si>
  <si>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</si>
  <si>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</si>
  <si>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</si>
  <si>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</si>
  <si>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</si>
  <si>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</si>
  <si>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</si>
  <si>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</si>
  <si>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</si>
  <si>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</si>
  <si>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</si>
  <si>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</si>
  <si>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</si>
  <si>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</si>
  <si>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</si>
  <si>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</si>
  <si>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</si>
  <si>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</si>
  <si>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</si>
  <si>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</si>
  <si>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</si>
  <si>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</si>
  <si>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</si>
  <si>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</si>
  <si>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</si>
  <si>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</si>
  <si>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</si>
  <si>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</si>
  <si>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</si>
  <si>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</si>
  <si>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</si>
  <si>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</si>
  <si>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</si>
  <si>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</si>
  <si>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</si>
  <si>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</si>
  <si>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</si>
  <si>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</si>
  <si>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</si>
  <si>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</si>
  <si>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</si>
  <si>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</si>
  <si>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</si>
  <si>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</si>
  <si>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</si>
  <si>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</si>
  <si>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</si>
  <si>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</si>
  <si>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</si>
  <si>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</si>
  <si>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</si>
  <si>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</si>
  <si>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</si>
  <si>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</si>
  <si>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</si>
  <si>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</si>
  <si>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</si>
  <si>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</si>
  <si>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</si>
  <si>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</si>
  <si>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</si>
  <si>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</si>
  <si>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</si>
  <si>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</si>
  <si>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</si>
  <si>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</si>
  <si>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</si>
  <si>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</si>
  <si>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</si>
  <si>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</si>
  <si>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</si>
  <si>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</si>
  <si>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</si>
  <si>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</si>
  <si>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</si>
  <si>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</si>
  <si>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</si>
  <si>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</si>
  <si>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</si>
  <si>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</si>
  <si>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</si>
  <si>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</si>
  <si>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</si>
  <si>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</si>
  <si>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</si>
  <si>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</si>
  <si>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</si>
  <si>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</si>
  <si>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</si>
  <si>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</si>
  <si>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</si>
  <si>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</si>
  <si>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</si>
  <si>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</si>
  <si>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</si>
  <si>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</si>
  <si>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</si>
  <si>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</si>
  <si>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</si>
  <si>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</si>
  <si>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</si>
  <si>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</si>
  <si>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</si>
  <si>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</si>
  <si>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</si>
  <si>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</si>
  <si>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</si>
  <si>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</si>
  <si>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</si>
  <si>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</si>
  <si>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</si>
  <si>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</si>
  <si>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</si>
  <si>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</si>
  <si>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</si>
  <si>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</si>
  <si>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</si>
  <si>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</si>
  <si>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</si>
  <si>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</si>
  <si>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</si>
  <si>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</si>
  <si>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</si>
  <si>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</si>
  <si>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</si>
  <si>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</si>
  <si>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</si>
  <si>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</si>
  <si>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</si>
  <si>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</si>
  <si>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</si>
  <si>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</si>
  <si>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</si>
  <si>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</si>
  <si>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</si>
  <si>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</si>
  <si>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</si>
  <si>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</si>
  <si>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</si>
  <si>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</si>
  <si>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</si>
  <si>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</si>
  <si>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</si>
  <si>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</si>
  <si>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</si>
  <si>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</si>
  <si>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</si>
  <si>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</si>
  <si>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</si>
  <si>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</si>
  <si>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</si>
  <si>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</si>
  <si>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</si>
  <si>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</si>
  <si>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</si>
  <si>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</si>
  <si>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</si>
  <si>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</si>
  <si>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</si>
  <si>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</si>
  <si>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</si>
  <si>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</si>
  <si>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</si>
  <si>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</si>
  <si>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</si>
  <si>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</si>
  <si>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</si>
  <si>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</si>
  <si>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</si>
  <si>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</si>
  <si>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</si>
  <si>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</si>
  <si>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</si>
  <si>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</si>
  <si>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</si>
  <si>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</si>
  <si>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</si>
  <si>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</si>
  <si>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</si>
  <si>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</si>
  <si>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</si>
  <si>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</si>
  <si>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</si>
  <si>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</si>
  <si>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</si>
  <si>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</si>
  <si>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</si>
  <si>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</si>
  <si>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</si>
  <si>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</si>
  <si>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</si>
  <si>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</si>
  <si>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</si>
  <si>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</si>
  <si>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</si>
  <si>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</si>
  <si>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</si>
  <si>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</si>
  <si>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</si>
  <si>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</si>
  <si>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</si>
  <si>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</si>
  <si>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</si>
  <si>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</si>
  <si>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</si>
  <si>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</si>
  <si>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</si>
  <si>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</si>
  <si>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</si>
  <si>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</si>
  <si>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</si>
  <si>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</si>
  <si>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</si>
  <si>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</si>
  <si>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</si>
  <si>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</si>
  <si>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</si>
  <si>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</si>
  <si>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</si>
  <si>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</si>
  <si>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</si>
  <si>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</si>
  <si>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</si>
  <si>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</si>
  <si>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</si>
  <si>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</si>
  <si>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</si>
  <si>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</si>
  <si>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</si>
  <si>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</si>
  <si>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</si>
  <si>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</si>
  <si>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</si>
  <si>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</si>
  <si>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</si>
  <si>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</si>
  <si>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</si>
  <si>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</si>
  <si>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</si>
  <si>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</si>
  <si>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</si>
  <si>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</si>
  <si>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</si>
  <si>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</si>
  <si>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</si>
  <si>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</si>
  <si>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</si>
  <si>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</si>
  <si>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</si>
  <si>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</si>
  <si>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</si>
  <si>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</si>
  <si>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</si>
  <si>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</si>
  <si>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</si>
  <si>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</si>
  <si>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</si>
  <si>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</si>
  <si>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</si>
  <si>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</si>
  <si>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</si>
  <si>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</si>
  <si>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</si>
  <si>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</si>
  <si>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</si>
  <si>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</si>
  <si>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</si>
  <si>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</si>
  <si>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</si>
  <si>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</si>
  <si>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</si>
  <si>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</si>
  <si>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</si>
  <si>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</si>
  <si>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</si>
  <si>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</si>
  <si>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</si>
  <si>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</si>
  <si>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</si>
  <si>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</si>
  <si>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</si>
  <si>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</si>
  <si>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</si>
  <si>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</si>
  <si>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</si>
  <si>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</si>
  <si>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</si>
  <si>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</si>
  <si>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</si>
  <si>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</si>
  <si>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</si>
  <si>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</si>
  <si>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</si>
  <si>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</si>
  <si>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</si>
  <si>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</si>
  <si>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</si>
  <si>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</si>
  <si>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</si>
  <si>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</si>
  <si>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</si>
  <si>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</si>
  <si>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</si>
  <si>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</si>
  <si>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</si>
  <si>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</si>
  <si>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</si>
  <si>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</si>
  <si>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</si>
  <si>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</si>
  <si>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</si>
  <si>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</si>
  <si>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</si>
  <si>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</si>
  <si>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</si>
  <si>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</si>
  <si>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</si>
  <si>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</si>
  <si>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</si>
  <si>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</si>
  <si>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</si>
  <si>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</si>
  <si>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</si>
  <si>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</si>
  <si>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</si>
  <si>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</si>
  <si>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</si>
  <si>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</si>
  <si>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</si>
  <si>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</si>
  <si>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</si>
  <si>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</si>
  <si>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</si>
  <si>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</si>
  <si>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</si>
  <si>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</si>
  <si>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</si>
  <si>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</si>
  <si>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</si>
  <si>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</si>
  <si>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</si>
  <si>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</si>
  <si>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</si>
  <si>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</si>
  <si>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</si>
  <si>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</si>
  <si>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</si>
  <si>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</si>
  <si>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</si>
  <si>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</si>
  <si>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</si>
  <si>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</si>
  <si>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</si>
  <si>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</si>
  <si>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</si>
  <si>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</si>
  <si>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</si>
  <si>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</si>
  <si>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</si>
  <si>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</si>
  <si>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</si>
  <si>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</si>
  <si>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</si>
  <si>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</si>
  <si>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</si>
  <si>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</si>
  <si>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</si>
  <si>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</si>
  <si>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</si>
  <si>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</si>
  <si>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</si>
  <si>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</si>
  <si>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</si>
  <si>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</si>
  <si>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</si>
  <si>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</si>
  <si>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</si>
  <si>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</si>
  <si>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</si>
  <si>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</si>
  <si>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</si>
  <si>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</si>
  <si>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</si>
  <si>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</si>
  <si>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</si>
  <si>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</si>
  <si>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</si>
  <si>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</si>
  <si>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</si>
  <si>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</si>
  <si>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</si>
  <si>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</si>
  <si>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</si>
  <si>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</si>
  <si>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</si>
  <si>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</si>
  <si>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</si>
  <si>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</si>
  <si>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</si>
  <si>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</si>
  <si>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</si>
  <si>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</si>
  <si>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</si>
  <si>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</si>
  <si>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</si>
  <si>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</si>
  <si>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</si>
  <si>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</si>
  <si>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</si>
  <si>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</si>
  <si>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</si>
  <si>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</si>
  <si>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</si>
  <si>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</si>
  <si>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</si>
  <si>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</si>
  <si>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</si>
  <si>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</si>
  <si>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</si>
  <si>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</si>
  <si>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</si>
  <si>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</si>
  <si>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</si>
  <si>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</si>
  <si>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</si>
  <si>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</si>
  <si>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</si>
  <si>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</si>
  <si>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</si>
  <si>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</si>
  <si>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</si>
  <si>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</si>
  <si>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</si>
  <si>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</si>
  <si>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</si>
  <si>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</si>
  <si>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</si>
  <si>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</si>
  <si>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</si>
  <si>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</si>
  <si>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</si>
  <si>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</si>
  <si>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</si>
  <si>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</si>
  <si>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</si>
  <si>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</si>
  <si>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</si>
  <si>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</si>
  <si>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</si>
  <si>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</si>
  <si>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</si>
  <si>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</si>
  <si>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</si>
  <si>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</si>
  <si>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</si>
  <si>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</si>
  <si>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</si>
  <si>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</si>
  <si>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</si>
  <si>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</si>
  <si>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</si>
  <si>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</si>
  <si>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</si>
  <si>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</si>
  <si>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</si>
  <si>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</si>
  <si>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</si>
  <si>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</si>
  <si>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</si>
  <si>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</si>
  <si>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</si>
  <si>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</si>
  <si>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</si>
  <si>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</si>
  <si>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</si>
  <si>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</si>
  <si>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</si>
  <si>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</si>
  <si>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</si>
  <si>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</si>
  <si>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</si>
  <si>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</si>
  <si>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</si>
  <si>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</si>
  <si>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</si>
  <si>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</si>
  <si>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</si>
  <si>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</si>
  <si>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</si>
  <si>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</si>
  <si>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</si>
  <si>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</si>
  <si>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</si>
  <si>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</si>
  <si>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</si>
  <si>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</si>
  <si>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</si>
  <si>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</si>
  <si>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</si>
  <si>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</si>
  <si>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</si>
  <si>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</si>
  <si>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</si>
  <si>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</si>
  <si>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</si>
  <si>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</si>
  <si>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</si>
  <si>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</si>
  <si>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</si>
  <si>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</si>
  <si>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</si>
  <si>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</si>
  <si>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</si>
  <si>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</si>
  <si>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</si>
  <si>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</si>
  <si>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</si>
  <si>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</si>
  <si>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</si>
  <si>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</si>
  <si>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</si>
  <si>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</si>
  <si>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</si>
  <si>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</si>
  <si>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</si>
  <si>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</si>
  <si>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</si>
  <si>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</si>
  <si>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</si>
  <si>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</si>
  <si>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</si>
  <si>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</si>
  <si>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</si>
  <si>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</si>
  <si>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</si>
  <si>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</si>
  <si>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</si>
  <si>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</si>
  <si>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</si>
  <si>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</si>
  <si>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</si>
  <si>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</si>
  <si>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</si>
  <si>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</si>
  <si>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</si>
  <si>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</si>
  <si>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</si>
  <si>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</si>
  <si>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</si>
  <si>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</si>
  <si>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</si>
  <si>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</si>
  <si>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</si>
  <si>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</si>
  <si>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</si>
  <si>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</si>
  <si>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</si>
  <si>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</si>
  <si>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</si>
  <si>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</si>
  <si>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</si>
  <si>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</si>
  <si>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</si>
  <si>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</si>
  <si>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</si>
  <si>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</si>
  <si>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</si>
  <si>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</si>
  <si>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</si>
  <si>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</si>
  <si>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</si>
  <si>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</si>
  <si>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</si>
  <si>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</si>
  <si>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</si>
  <si>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</si>
  <si>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</si>
  <si>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</si>
  <si>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</si>
  <si>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</si>
  <si>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</si>
  <si>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</si>
  <si>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</si>
  <si>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</si>
  <si>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</si>
  <si>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</si>
  <si>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</si>
  <si>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</si>
  <si>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</si>
  <si>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</si>
  <si>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</si>
  <si>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</si>
  <si>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</si>
  <si>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</si>
  <si>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</si>
  <si>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</si>
  <si>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</si>
  <si>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</si>
  <si>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</si>
  <si>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</si>
  <si>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</si>
  <si>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</si>
  <si>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</si>
  <si>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</si>
  <si>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</si>
  <si>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</si>
  <si>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</si>
  <si>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</si>
  <si>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</si>
  <si>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</si>
  <si>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</si>
  <si>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</si>
  <si>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</si>
  <si>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</si>
  <si>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</si>
  <si>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</si>
  <si>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</si>
  <si>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</si>
  <si>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</si>
  <si>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</si>
  <si>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</si>
  <si>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</si>
  <si>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</si>
  <si>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</si>
  <si>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</si>
  <si>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</si>
  <si>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</si>
  <si>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</si>
  <si>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</si>
  <si>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</si>
  <si>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</si>
  <si>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</si>
  <si>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</si>
  <si>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</si>
  <si>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</si>
  <si>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</si>
  <si>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</si>
  <si>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</si>
  <si>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</si>
  <si>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</si>
  <si>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</si>
  <si>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</si>
  <si>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</si>
  <si>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</si>
  <si>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</si>
  <si>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</si>
  <si>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</si>
  <si>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</si>
  <si>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</si>
  <si>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</si>
  <si>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</si>
  <si>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</si>
  <si>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</si>
  <si>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</si>
  <si>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</si>
  <si>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</si>
  <si>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</si>
  <si>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</si>
  <si>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</si>
  <si>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</si>
  <si>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</si>
  <si>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</si>
  <si>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</si>
  <si>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</si>
  <si>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</si>
  <si>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</si>
  <si>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</si>
  <si>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</si>
  <si>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</si>
  <si>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</si>
  <si>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</si>
  <si>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</si>
  <si>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</si>
  <si>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</si>
  <si>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</si>
  <si>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</si>
  <si>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</si>
  <si>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</si>
  <si>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</si>
  <si>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</si>
  <si>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</si>
  <si>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</si>
  <si>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</si>
  <si>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</si>
  <si>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</si>
  <si>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</si>
  <si>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</si>
  <si>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</si>
  <si>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</si>
  <si>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</si>
  <si>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</si>
  <si>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</si>
  <si>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</si>
  <si>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</si>
  <si>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</si>
  <si>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</si>
  <si>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</si>
  <si>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</si>
  <si>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</si>
  <si>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</si>
  <si>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</si>
  <si>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</si>
  <si>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</si>
  <si>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</si>
  <si>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</si>
  <si>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</si>
  <si>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</si>
  <si>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</si>
  <si>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</si>
  <si>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</si>
  <si>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</si>
  <si>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</si>
  <si>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</si>
  <si>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</si>
  <si>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</si>
  <si>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</si>
  <si>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</si>
  <si>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</si>
  <si>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</si>
  <si>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</si>
  <si>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</si>
  <si>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</si>
  <si>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</si>
  <si>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</si>
  <si>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</si>
  <si>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</si>
  <si>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</si>
  <si>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</si>
  <si>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</si>
  <si>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</si>
  <si>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</si>
  <si>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</si>
  <si>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</si>
  <si>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</si>
  <si>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</si>
  <si>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</si>
  <si>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</si>
  <si>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</si>
  <si>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</si>
  <si>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</si>
  <si>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</si>
  <si>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</si>
  <si>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</si>
  <si>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</si>
  <si>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</si>
  <si>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</si>
  <si>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</si>
  <si>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</si>
  <si>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</si>
  <si>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</si>
  <si>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</si>
  <si>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</si>
  <si>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</si>
  <si>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</si>
  <si>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</si>
  <si>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</si>
  <si>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</si>
  <si>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</si>
  <si>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</si>
  <si>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</si>
  <si>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</si>
  <si>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</si>
  <si>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</si>
  <si>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</si>
  <si>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</si>
  <si>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</si>
  <si>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</si>
  <si>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</si>
  <si>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</si>
  <si>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</si>
  <si>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</si>
  <si>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</si>
  <si>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</si>
  <si>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</si>
  <si>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</si>
  <si>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</si>
  <si>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</si>
  <si>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</si>
  <si>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</si>
  <si>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</si>
  <si>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</si>
  <si>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</si>
  <si>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</si>
  <si>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</si>
  <si>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</si>
  <si>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</si>
  <si>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</si>
  <si>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</si>
  <si>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</si>
  <si>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</si>
  <si>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</si>
  <si>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</si>
  <si>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</si>
  <si>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</si>
  <si>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</si>
  <si>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</si>
  <si>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</si>
  <si>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</si>
  <si>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</si>
  <si>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</si>
  <si>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</si>
  <si>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</si>
  <si>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</si>
  <si>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</si>
  <si>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</si>
  <si>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</si>
  <si>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</si>
  <si>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</si>
  <si>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</si>
  <si>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</si>
  <si>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</si>
  <si>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</si>
  <si>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</si>
  <si>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</si>
  <si>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</si>
  <si>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</si>
  <si>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</si>
  <si>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</si>
  <si>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</si>
  <si>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</si>
  <si>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</si>
  <si>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</si>
  <si>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</si>
  <si>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</si>
  <si>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</si>
  <si>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</si>
  <si>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</si>
  <si>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</si>
  <si>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</si>
  <si>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</si>
  <si>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</si>
  <si>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</si>
  <si>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</si>
  <si>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</si>
  <si>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</si>
  <si>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</si>
  <si>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</si>
  <si>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</si>
  <si>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</si>
  <si>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</si>
  <si>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</si>
  <si>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</si>
  <si>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</si>
  <si>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</si>
  <si>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</si>
  <si>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</si>
  <si>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</si>
  <si>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</si>
  <si>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</si>
  <si>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</si>
  <si>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</si>
  <si>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</si>
  <si>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</si>
  <si>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</si>
  <si>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</si>
  <si>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</si>
  <si>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</si>
  <si>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</si>
  <si>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</si>
  <si>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</si>
  <si>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</si>
  <si>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</si>
  <si>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</si>
  <si>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</si>
  <si>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</si>
  <si>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</si>
  <si>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</si>
  <si>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</si>
  <si>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</si>
  <si>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</si>
  <si>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</si>
  <si>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</si>
  <si>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</si>
  <si>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</si>
  <si>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</si>
  <si>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</si>
  <si>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</si>
  <si>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</si>
  <si>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</si>
  <si>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</si>
  <si>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</si>
  <si>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</si>
  <si>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</si>
  <si>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</si>
  <si>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</si>
  <si>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</si>
  <si>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</si>
  <si>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</si>
  <si>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</si>
  <si>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</si>
  <si>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</si>
  <si>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</si>
  <si>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</si>
  <si>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</si>
  <si>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</si>
  <si>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</si>
  <si>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</si>
  <si>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</si>
  <si>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</si>
  <si>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</si>
  <si>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</si>
  <si>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</si>
  <si>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</si>
  <si>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</si>
  <si>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</si>
  <si>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</si>
  <si>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</si>
  <si>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</si>
  <si>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</si>
  <si>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</si>
  <si>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</si>
  <si>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</si>
  <si>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</si>
  <si>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</si>
  <si>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</si>
  <si>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</si>
  <si>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</si>
  <si>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</si>
  <si>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</si>
  <si>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</si>
  <si>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</si>
  <si>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</si>
  <si>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</si>
  <si>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</si>
  <si>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</si>
  <si>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</si>
  <si>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</si>
  <si>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</si>
  <si>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</si>
  <si>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</si>
  <si>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</si>
  <si>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</si>
  <si>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</si>
  <si>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</si>
  <si>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</si>
  <si>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</si>
  <si>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</si>
  <si>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</si>
  <si>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</si>
  <si>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</si>
  <si>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</si>
  <si>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</si>
  <si>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</si>
  <si>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</si>
  <si>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</si>
  <si>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</si>
  <si>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</si>
  <si>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</si>
  <si>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</si>
  <si>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</si>
  <si>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</si>
  <si>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</si>
  <si>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</si>
  <si>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</si>
  <si>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</si>
  <si>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</si>
  <si>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</si>
  <si>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</si>
  <si>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</si>
  <si>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</si>
  <si>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</si>
  <si>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</si>
  <si>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</si>
  <si>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</si>
  <si>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</si>
  <si>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</si>
  <si>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</si>
  <si>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</si>
  <si>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</si>
  <si>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</si>
  <si>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</si>
  <si>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</si>
  <si>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</si>
  <si>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</si>
  <si>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</si>
  <si>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</si>
  <si>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</si>
  <si>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</si>
  <si>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</si>
  <si>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</si>
  <si>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</si>
  <si>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</si>
  <si>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</si>
  <si>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</si>
  <si>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</si>
  <si>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</si>
  <si>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</si>
  <si>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</si>
  <si>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</si>
  <si>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</si>
  <si>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</si>
  <si>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</si>
  <si>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</si>
  <si>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</si>
  <si>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</si>
  <si>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</si>
  <si>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</si>
  <si>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</si>
  <si>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</si>
  <si>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</si>
  <si>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</si>
  <si>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</si>
  <si>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</si>
  <si>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</si>
  <si>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</si>
  <si>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</si>
  <si>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</si>
  <si>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</si>
  <si>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</si>
  <si>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</si>
  <si>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</si>
  <si>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</si>
  <si>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</si>
  <si>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</si>
  <si>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</si>
  <si>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</si>
  <si>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</si>
  <si>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</si>
  <si>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</si>
  <si>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</si>
  <si>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</si>
  <si>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</si>
  <si>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</si>
  <si>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</si>
  <si>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</si>
  <si>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</si>
  <si>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</si>
  <si>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</si>
  <si>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</si>
  <si>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</si>
  <si>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</si>
  <si>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</si>
  <si>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</si>
  <si>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</si>
  <si>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</si>
  <si>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</si>
  <si>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</si>
  <si>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</si>
  <si>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</si>
  <si>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</si>
  <si>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</si>
  <si>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</si>
  <si>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</si>
  <si>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</si>
  <si>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</si>
  <si>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</si>
  <si>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</si>
  <si>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</si>
  <si>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</si>
  <si>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</si>
  <si>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</si>
  <si>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</si>
  <si>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</si>
  <si>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</si>
  <si>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</si>
  <si>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</si>
  <si>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</si>
  <si>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</si>
  <si>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</si>
  <si>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</si>
  <si>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</si>
  <si>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</si>
  <si>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</si>
  <si>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</si>
  <si>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</si>
  <si>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</si>
  <si>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</si>
  <si>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</si>
  <si>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</si>
  <si>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</si>
  <si>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</si>
  <si>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</si>
  <si>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</si>
  <si>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</si>
  <si>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</si>
  <si>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</si>
  <si>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</si>
  <si>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</si>
  <si>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</si>
  <si>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</si>
  <si>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</si>
  <si>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</si>
  <si>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</si>
  <si>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</si>
  <si>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</si>
  <si>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</si>
  <si>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</si>
  <si>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</si>
  <si>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</si>
  <si>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</si>
  <si>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</si>
  <si>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</si>
  <si>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</si>
  <si>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</si>
  <si>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</si>
  <si>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</si>
  <si>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</si>
  <si>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</si>
  <si>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</si>
  <si>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</si>
  <si>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</si>
  <si>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</si>
  <si>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</si>
  <si>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</si>
  <si>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</si>
  <si>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</si>
  <si>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</si>
  <si>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</si>
  <si>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</si>
  <si>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</si>
  <si>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</si>
  <si>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</si>
  <si>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</si>
  <si>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</si>
  <si>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</si>
  <si>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</si>
  <si>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</si>
  <si>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</si>
  <si>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</si>
  <si>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</si>
  <si>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</si>
  <si>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</si>
  <si>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</si>
  <si>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</si>
  <si>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</si>
  <si>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</si>
  <si>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</si>
  <si>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</si>
  <si>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</si>
  <si>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</si>
  <si>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</si>
  <si>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</si>
  <si>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</si>
  <si>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</si>
  <si>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</si>
  <si>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</si>
  <si>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</si>
  <si>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</si>
  <si>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</si>
  <si>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</si>
  <si>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</si>
  <si>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</si>
  <si>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</si>
  <si>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</si>
  <si>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</si>
  <si>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</si>
  <si>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</si>
  <si>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</si>
  <si>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</si>
  <si>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</si>
  <si>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</si>
  <si>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</si>
  <si>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</si>
  <si>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</si>
  <si>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</si>
  <si>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</si>
  <si>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</si>
  <si>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</si>
  <si>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</si>
  <si>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</si>
  <si>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</si>
  <si>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</si>
  <si>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</si>
  <si>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</si>
  <si>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</si>
  <si>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</si>
  <si>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</si>
  <si>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</si>
  <si>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</si>
  <si>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</si>
  <si>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</si>
  <si>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</si>
  <si>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</si>
  <si>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</si>
  <si>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</si>
  <si>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</si>
  <si>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</si>
  <si>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</si>
  <si>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</si>
  <si>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</si>
  <si>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</si>
  <si>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</si>
  <si>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</si>
  <si>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</si>
  <si>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</si>
  <si>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</si>
  <si>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</si>
  <si>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</si>
  <si>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</si>
  <si>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</si>
  <si>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</si>
  <si>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</si>
  <si>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</si>
  <si>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</si>
  <si>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</si>
  <si>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</si>
  <si>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</si>
  <si>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</si>
  <si>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</si>
  <si>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</si>
  <si>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</si>
  <si>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</si>
  <si>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</si>
  <si>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</si>
  <si>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</si>
  <si>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</si>
  <si>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</si>
  <si>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</si>
  <si>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</si>
  <si>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</si>
  <si>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</si>
  <si>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</si>
  <si>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</si>
  <si>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</si>
  <si>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</si>
  <si>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</si>
  <si>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</si>
  <si>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</si>
  <si>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</si>
  <si>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</si>
  <si>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</si>
  <si>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</si>
  <si>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</si>
  <si>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</si>
  <si>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</si>
  <si>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</si>
  <si>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</si>
  <si>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</si>
  <si>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</si>
  <si>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</si>
  <si>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</si>
  <si>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</si>
  <si>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</si>
  <si>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</si>
  <si>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</si>
  <si>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</si>
  <si>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</si>
  <si>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</si>
  <si>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</si>
  <si>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</si>
  <si>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</si>
  <si>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</si>
  <si>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</si>
  <si>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</si>
  <si>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</si>
  <si>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</si>
  <si>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</si>
  <si>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</si>
  <si>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</si>
  <si>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</si>
  <si>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</si>
  <si>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</si>
  <si>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</si>
  <si>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</si>
  <si>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</si>
  <si>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</si>
  <si>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</si>
  <si>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</si>
  <si>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</si>
  <si>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</si>
  <si>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</si>
  <si>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</si>
  <si>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</si>
  <si>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</si>
  <si>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</si>
  <si>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</si>
  <si>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</si>
  <si>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</si>
  <si>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</si>
  <si>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</si>
  <si>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</si>
  <si>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</si>
  <si>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</si>
  <si>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</si>
  <si>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</si>
  <si>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</si>
  <si>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</si>
  <si>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</si>
  <si>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</si>
  <si>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</si>
  <si>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</si>
  <si>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</si>
  <si>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</si>
  <si>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</si>
  <si>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</si>
  <si>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</si>
  <si>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</si>
  <si>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</si>
  <si>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</si>
  <si>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</si>
  <si>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</si>
  <si>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</si>
  <si>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</si>
  <si>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</si>
  <si>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</si>
  <si>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</si>
  <si>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</si>
  <si>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</si>
  <si>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</si>
  <si>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</si>
  <si>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</si>
  <si>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</si>
  <si>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</si>
  <si>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</si>
  <si>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</si>
  <si>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</si>
  <si>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</si>
  <si>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</si>
  <si>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</si>
  <si>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</si>
  <si>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</si>
  <si>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</si>
  <si>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</si>
  <si>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</si>
  <si>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</si>
  <si>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</si>
  <si>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</si>
  <si>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</si>
  <si>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</si>
  <si>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</si>
  <si>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</si>
  <si>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</si>
  <si>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</si>
  <si>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</si>
  <si>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</si>
  <si>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</si>
  <si>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</si>
  <si>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</si>
  <si>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</si>
  <si>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</si>
  <si>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</si>
  <si>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</si>
  <si>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</si>
  <si>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</si>
  <si>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</si>
  <si>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</si>
  <si>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</si>
  <si>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</si>
  <si>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</si>
  <si>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</si>
  <si>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</si>
  <si>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</si>
  <si>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</si>
  <si>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</si>
  <si>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</si>
  <si>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</si>
  <si>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</si>
  <si>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</si>
  <si>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</si>
  <si>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</si>
  <si>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</si>
  <si>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</si>
  <si>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</si>
  <si>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</si>
  <si>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</si>
  <si>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</si>
  <si>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</si>
  <si>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</si>
  <si>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</si>
  <si>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</si>
  <si>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</si>
  <si>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</si>
  <si>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</si>
  <si>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</si>
  <si>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</si>
  <si>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</si>
  <si>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</si>
  <si>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</si>
  <si>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</si>
  <si>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</si>
  <si>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</si>
  <si>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</si>
  <si>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</si>
  <si>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</si>
  <si>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</si>
  <si>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</si>
  <si>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</si>
  <si>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</si>
  <si>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</si>
  <si>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</si>
  <si>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</si>
  <si>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</si>
  <si>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</si>
  <si>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</si>
  <si>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</si>
  <si>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</si>
  <si>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</si>
  <si>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</si>
  <si>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</si>
  <si>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</si>
  <si>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</si>
  <si>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</si>
  <si>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</si>
  <si>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</si>
  <si>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</si>
  <si>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</si>
  <si>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</si>
  <si>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</si>
  <si>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</si>
  <si>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</si>
  <si>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</si>
  <si>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</si>
  <si>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</si>
  <si>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</si>
  <si>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</si>
  <si>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</si>
  <si>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</si>
  <si>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</si>
  <si>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</si>
  <si>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</si>
  <si>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</si>
  <si>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</si>
  <si>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</si>
  <si>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</si>
  <si>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</si>
  <si>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</si>
  <si>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</si>
  <si>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</si>
  <si>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</si>
  <si>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</si>
  <si>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</si>
  <si>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</si>
  <si>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</si>
  <si>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</si>
  <si>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</si>
  <si>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</si>
  <si>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</si>
  <si>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</si>
  <si>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</si>
  <si>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</si>
  <si>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</si>
  <si>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</si>
  <si>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</si>
  <si>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</si>
  <si>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</si>
  <si>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</si>
  <si>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</si>
  <si>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</si>
  <si>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</si>
  <si>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</si>
  <si>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</si>
  <si>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</si>
  <si>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</si>
  <si>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</si>
  <si>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</si>
  <si>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</si>
  <si>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</si>
  <si>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</si>
  <si>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</si>
  <si>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</si>
  <si>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</si>
  <si>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</si>
  <si>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</si>
  <si>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</si>
  <si>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</si>
  <si>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</si>
  <si>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</si>
  <si>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</si>
  <si>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</si>
  <si>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</si>
  <si>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</si>
  <si>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</si>
  <si>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</si>
  <si>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</si>
  <si>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</si>
  <si>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</si>
  <si>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</si>
  <si>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</si>
  <si>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</si>
  <si>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</si>
  <si>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</si>
  <si>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</si>
  <si>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</si>
  <si>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</si>
  <si>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</si>
  <si>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</si>
  <si>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</si>
  <si>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</si>
  <si>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</si>
  <si>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</si>
  <si>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</si>
  <si>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</si>
  <si>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</si>
  <si>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</si>
  <si>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</si>
  <si>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</si>
  <si>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</si>
  <si>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</si>
  <si>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</si>
  <si>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</si>
  <si>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</si>
  <si>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</si>
  <si>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</si>
  <si>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</si>
  <si>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</si>
  <si>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</si>
  <si>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</si>
  <si>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</si>
  <si>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</si>
  <si>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</si>
  <si>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</si>
  <si>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</si>
  <si>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</si>
  <si>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</si>
  <si>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</si>
  <si>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</si>
  <si>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</si>
  <si>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</si>
  <si>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</si>
  <si>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</si>
  <si>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</si>
  <si>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</si>
  <si>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</si>
  <si>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</si>
  <si>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</si>
  <si>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</si>
  <si>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</si>
  <si>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</si>
  <si>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</si>
  <si>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</si>
  <si>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</si>
  <si>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</si>
  <si>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</si>
  <si>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</si>
  <si>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</si>
  <si>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</si>
  <si>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</si>
  <si>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</si>
  <si>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</si>
  <si>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</si>
  <si>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</si>
  <si>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</si>
  <si>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</si>
  <si>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</si>
  <si>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</si>
  <si>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</si>
  <si>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</si>
  <si>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</si>
  <si>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</si>
  <si>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</si>
  <si>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</si>
  <si>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</si>
  <si>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</si>
  <si>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</si>
  <si>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</si>
  <si>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</si>
  <si>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</si>
  <si>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</si>
  <si>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</si>
  <si>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</si>
  <si>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</si>
  <si>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</si>
  <si>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</si>
  <si>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</si>
  <si>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</si>
  <si>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</si>
  <si>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</si>
  <si>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</si>
  <si>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</si>
  <si>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</si>
  <si>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</si>
  <si>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</si>
  <si>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</si>
  <si>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</si>
  <si>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</si>
  <si>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</si>
  <si>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</si>
  <si>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</si>
  <si>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</si>
  <si>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</si>
  <si>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</si>
  <si>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</si>
  <si>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</si>
  <si>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</si>
  <si>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</si>
  <si>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</si>
  <si>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</si>
  <si>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</si>
  <si>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</si>
  <si>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</si>
  <si>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</si>
  <si>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</si>
  <si>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</si>
  <si>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</si>
  <si>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</si>
  <si>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</si>
  <si>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</si>
  <si>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</si>
  <si>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</si>
  <si>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</si>
  <si>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</si>
  <si>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</si>
  <si>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</si>
  <si>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</si>
  <si>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</si>
  <si>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</si>
  <si>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</si>
  <si>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</si>
  <si>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</si>
  <si>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</si>
  <si>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</si>
  <si>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</si>
  <si>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</si>
  <si>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</si>
  <si>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</si>
  <si>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</si>
  <si>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</si>
  <si>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</si>
  <si>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</si>
  <si>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</si>
  <si>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</si>
  <si>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</si>
  <si>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</si>
  <si>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</si>
  <si>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</si>
  <si>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</si>
  <si>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</si>
  <si>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</si>
  <si>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</si>
  <si>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</si>
  <si>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</si>
  <si>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</si>
  <si>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</si>
  <si>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</si>
  <si>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</si>
  <si>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</si>
  <si>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</si>
  <si>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</si>
  <si>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</si>
  <si>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</si>
  <si>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</si>
  <si>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</si>
  <si>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</si>
  <si>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</si>
  <si>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</si>
  <si>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</si>
  <si>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</si>
  <si>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</si>
  <si>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</si>
  <si>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</si>
  <si>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</si>
  <si>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</si>
  <si>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</si>
  <si>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</si>
  <si>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</si>
  <si>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</si>
  <si>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</si>
  <si>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</si>
  <si>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</si>
  <si>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</si>
  <si>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</si>
  <si>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</si>
  <si>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</si>
  <si>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</si>
  <si>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</si>
  <si>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</si>
  <si>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</si>
  <si>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</si>
  <si>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</si>
  <si>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</si>
  <si>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</si>
  <si>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</si>
  <si>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</si>
  <si>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</si>
  <si>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</si>
  <si>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</si>
  <si>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</si>
  <si>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</si>
  <si>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</si>
  <si>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</si>
  <si>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</si>
  <si>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</si>
  <si>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</si>
  <si>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</si>
  <si>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</si>
  <si>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</si>
  <si>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</si>
  <si>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</si>
  <si>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</si>
  <si>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</si>
  <si>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</si>
  <si>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</si>
  <si>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</si>
  <si>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</si>
  <si>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</si>
  <si>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</si>
  <si>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</si>
  <si>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</si>
  <si>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</si>
  <si>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</si>
  <si>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</si>
  <si>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</si>
  <si>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</si>
  <si>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</si>
  <si>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</si>
  <si>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</si>
  <si>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</si>
  <si>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</si>
  <si>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</si>
  <si>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</si>
  <si>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</si>
  <si>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</si>
  <si>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</si>
  <si>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</si>
  <si>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</si>
  <si>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</si>
  <si>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</si>
  <si>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</si>
  <si>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</si>
  <si>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</si>
  <si>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</si>
  <si>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</si>
  <si>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</si>
  <si>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</si>
  <si>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</si>
  <si>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</si>
  <si>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</si>
  <si>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</si>
  <si>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</si>
  <si>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</si>
  <si>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</si>
  <si>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</si>
  <si>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</si>
  <si>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</si>
  <si>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</si>
  <si>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</si>
  <si>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</si>
  <si>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</si>
  <si>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</si>
  <si>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</si>
  <si>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</si>
  <si>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</si>
  <si>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</si>
  <si>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</si>
  <si>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</si>
  <si>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</si>
  <si>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</si>
  <si>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</si>
  <si>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</si>
  <si>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</si>
  <si>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</si>
  <si>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</si>
  <si>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</si>
  <si>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</si>
  <si>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</si>
  <si>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</si>
  <si>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</si>
  <si>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</si>
  <si>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</si>
  <si>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</si>
  <si>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</si>
  <si>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</si>
  <si>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</si>
  <si>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</si>
  <si>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</si>
  <si>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</si>
  <si>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</si>
  <si>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</si>
  <si>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</si>
  <si>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</si>
  <si>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</si>
  <si>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</si>
  <si>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</si>
  <si>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</si>
  <si>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</si>
  <si>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</si>
  <si>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</si>
  <si>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</si>
  <si>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</si>
  <si>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</si>
  <si>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</si>
  <si>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</si>
  <si>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</si>
  <si>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</si>
  <si>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</si>
  <si>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</si>
  <si>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</si>
  <si>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</si>
  <si>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</si>
  <si>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</si>
  <si>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</si>
  <si>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</si>
  <si>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</si>
  <si>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</si>
  <si>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</si>
  <si>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</si>
  <si>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</si>
  <si>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</si>
  <si>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</si>
  <si>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</si>
  <si>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</si>
  <si>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</si>
  <si>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</si>
  <si>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</si>
  <si>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</si>
  <si>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</si>
  <si>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</si>
  <si>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</si>
  <si>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</si>
  <si>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</si>
  <si>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</si>
  <si>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</si>
  <si>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</si>
  <si>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</si>
  <si>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</si>
  <si>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</si>
  <si>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</si>
  <si>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</si>
  <si>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</si>
  <si>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</si>
  <si>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</si>
  <si>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</si>
  <si>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</si>
  <si>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</si>
  <si>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</si>
  <si>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</si>
  <si>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</si>
  <si>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</si>
  <si>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</si>
  <si>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</si>
  <si>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</si>
  <si>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</si>
  <si>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</si>
  <si>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</si>
  <si>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</si>
  <si>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</si>
  <si>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</si>
  <si>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</si>
  <si>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</si>
  <si>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</si>
  <si>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</si>
  <si>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</si>
  <si>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</si>
  <si>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</si>
  <si>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</si>
  <si>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</si>
  <si>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</si>
  <si>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</si>
  <si>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</si>
  <si>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</si>
  <si>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</si>
  <si>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</si>
  <si>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</si>
  <si>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</si>
  <si>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</si>
  <si>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</si>
  <si>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</si>
  <si>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</si>
  <si>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</si>
  <si>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</si>
  <si>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</si>
  <si>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</si>
  <si>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</si>
  <si>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</si>
  <si>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</si>
  <si>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</si>
  <si>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</si>
  <si>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</si>
  <si>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</si>
  <si>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</si>
  <si>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</si>
  <si>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</si>
  <si>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</si>
  <si>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</si>
  <si>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</si>
  <si>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</si>
  <si>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</si>
  <si>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</si>
  <si>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</si>
  <si>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</si>
  <si>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</si>
  <si>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</si>
  <si>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</si>
  <si>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</si>
  <si>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</si>
  <si>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</si>
  <si>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</si>
  <si>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</si>
  <si>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</si>
  <si>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</si>
  <si>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</si>
  <si>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</si>
  <si>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</si>
  <si>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</si>
  <si>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</si>
  <si>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</si>
  <si>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</si>
  <si>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</si>
  <si>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</si>
  <si>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</si>
  <si>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</si>
  <si>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</si>
  <si>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</si>
  <si>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</si>
  <si>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</si>
  <si>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</si>
  <si>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</si>
  <si>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</si>
  <si>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</si>
  <si>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</si>
  <si>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</si>
  <si>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</si>
  <si>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</si>
  <si>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</si>
  <si>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</si>
  <si>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</si>
  <si>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</si>
  <si>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</si>
  <si>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</si>
  <si>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</si>
  <si>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</si>
  <si>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</si>
  <si>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</si>
  <si>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</si>
  <si>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土地证</t>
    <phoneticPr fontId="134" type="noConversion"/>
  </si>
  <si>
    <r>
      <t>广安门外大街1</t>
    </r>
    <r>
      <rPr>
        <sz val="11"/>
        <color theme="1"/>
        <rFont val="宋体"/>
        <family val="3"/>
        <charset val="134"/>
        <scheme val="minor"/>
      </rPr>
      <t>78、180、甲180号</t>
    </r>
    <phoneticPr fontId="134" type="noConversion"/>
  </si>
  <si>
    <t>土地面积</t>
    <phoneticPr fontId="134" type="noConversion"/>
  </si>
  <si>
    <t>年期</t>
    <phoneticPr fontId="134" type="noConversion"/>
  </si>
  <si>
    <r>
      <t>0</t>
    </r>
    <r>
      <rPr>
        <sz val="11"/>
        <color theme="1"/>
        <rFont val="宋体"/>
        <family val="3"/>
        <charset val="134"/>
        <scheme val="minor"/>
      </rPr>
      <t>0120号</t>
    </r>
    <phoneticPr fontId="134" type="noConversion"/>
  </si>
  <si>
    <r>
      <t>0</t>
    </r>
    <r>
      <rPr>
        <sz val="11"/>
        <color theme="1"/>
        <rFont val="宋体"/>
        <family val="3"/>
        <charset val="134"/>
        <scheme val="minor"/>
      </rPr>
      <t>0119号</t>
    </r>
    <phoneticPr fontId="134" type="noConversion"/>
  </si>
  <si>
    <t>建筑面积</t>
    <phoneticPr fontId="134" type="noConversion"/>
  </si>
  <si>
    <r>
      <t>0</t>
    </r>
    <r>
      <rPr>
        <sz val="11"/>
        <color theme="1"/>
        <rFont val="宋体"/>
        <family val="3"/>
        <charset val="134"/>
        <scheme val="minor"/>
      </rPr>
      <t>014425号</t>
    </r>
    <phoneticPr fontId="134" type="noConversion"/>
  </si>
  <si>
    <t>房产证</t>
    <phoneticPr fontId="134" type="noConversion"/>
  </si>
  <si>
    <t>部位及房号</t>
    <phoneticPr fontId="134" type="noConversion"/>
  </si>
  <si>
    <t>2-2</t>
    <phoneticPr fontId="134" type="noConversion"/>
  </si>
  <si>
    <t>楼层</t>
    <phoneticPr fontId="134" type="noConversion"/>
  </si>
  <si>
    <t>1层</t>
    <phoneticPr fontId="134" type="noConversion"/>
  </si>
  <si>
    <t>间数</t>
    <phoneticPr fontId="134" type="noConversion"/>
  </si>
  <si>
    <r>
      <t>-</t>
    </r>
    <r>
      <rPr>
        <sz val="11"/>
        <color theme="1"/>
        <rFont val="宋体"/>
        <family val="3"/>
        <charset val="134"/>
        <scheme val="minor"/>
      </rPr>
      <t>01</t>
    </r>
    <phoneticPr fontId="134" type="noConversion"/>
  </si>
  <si>
    <t>合计</t>
    <phoneticPr fontId="134" type="noConversion"/>
  </si>
  <si>
    <t>2-1</t>
    <phoneticPr fontId="134" type="noConversion"/>
  </si>
  <si>
    <t>2层</t>
    <phoneticPr fontId="134" type="noConversion"/>
  </si>
  <si>
    <t>3层</t>
    <phoneticPr fontId="134" type="noConversion"/>
  </si>
  <si>
    <t>-02</t>
    <phoneticPr fontId="134" type="noConversion"/>
  </si>
  <si>
    <t>0014427号</t>
    <phoneticPr fontId="134" type="noConversion"/>
  </si>
  <si>
    <t>-1层</t>
    <phoneticPr fontId="134" type="noConversion"/>
  </si>
  <si>
    <t>-2层</t>
    <phoneticPr fontId="134" type="noConversion"/>
  </si>
  <si>
    <t>出租面积</t>
    <phoneticPr fontId="134" type="noConversion"/>
  </si>
  <si>
    <t>用途</t>
    <phoneticPr fontId="134" type="noConversion"/>
  </si>
  <si>
    <t>综合</t>
  </si>
  <si>
    <t>综合</t>
    <phoneticPr fontId="134" type="noConversion"/>
  </si>
  <si>
    <t>？</t>
    <phoneticPr fontId="134" type="noConversion"/>
  </si>
  <si>
    <t>系数</t>
    <phoneticPr fontId="134" type="noConversion"/>
  </si>
  <si>
    <t>租赁合同</t>
    <phoneticPr fontId="134" type="noConversion"/>
  </si>
  <si>
    <t>车库</t>
    <phoneticPr fontId="134" type="noConversion"/>
  </si>
  <si>
    <t>北京市</t>
  </si>
  <si>
    <t>企业</t>
  </si>
  <si>
    <t>抵押</t>
  </si>
  <si>
    <t>房地产抵押价值</t>
  </si>
  <si>
    <t>是</t>
  </si>
  <si>
    <t>地上</t>
  </si>
  <si>
    <t>地下</t>
  </si>
  <si>
    <t>综合</t>
    <phoneticPr fontId="7" type="noConversion"/>
  </si>
  <si>
    <t>成新度</t>
  </si>
  <si>
    <t>收益法</t>
  </si>
  <si>
    <t>商务金融用地</t>
  </si>
  <si>
    <t>不临65条商业街</t>
  </si>
  <si>
    <t>押一</t>
  </si>
  <si>
    <t>钢混</t>
  </si>
  <si>
    <t>非生产用房</t>
  </si>
  <si>
    <t>否</t>
  </si>
  <si>
    <t>现房</t>
  </si>
  <si>
    <t>项目局部</t>
  </si>
  <si>
    <t>成本法</t>
  </si>
  <si>
    <t>总价</t>
  </si>
  <si>
    <t>成本比率</t>
  </si>
  <si>
    <t>建安取值</t>
  </si>
  <si>
    <t>建筑面积</t>
  </si>
  <si>
    <t>单方建安</t>
  </si>
  <si>
    <t>合计</t>
  </si>
  <si>
    <t>工程进度</t>
  </si>
  <si>
    <t>主体</t>
  </si>
  <si>
    <t>装修</t>
  </si>
  <si>
    <t>设备</t>
  </si>
  <si>
    <t>人防</t>
  </si>
  <si>
    <t>综合平均</t>
  </si>
  <si>
    <t>建成年代</t>
  </si>
  <si>
    <t>砖混</t>
  </si>
  <si>
    <t>残值率</t>
  </si>
  <si>
    <t>直线折旧</t>
  </si>
  <si>
    <t>观察成新</t>
  </si>
  <si>
    <t>通路</t>
  </si>
  <si>
    <t>通电</t>
  </si>
  <si>
    <t>通讯</t>
  </si>
  <si>
    <t>通上水</t>
  </si>
  <si>
    <t>通下水</t>
  </si>
  <si>
    <t>燃气</t>
  </si>
  <si>
    <t>平整</t>
  </si>
  <si>
    <t>较好</t>
  </si>
  <si>
    <t>一般</t>
  </si>
  <si>
    <t>未包含在土地购买价格中</t>
  </si>
  <si>
    <t>全部缴纳</t>
  </si>
  <si>
    <t>已包含在土地取得成本中</t>
  </si>
  <si>
    <t>自定义容积率</t>
  </si>
  <si>
    <t>好</t>
  </si>
  <si>
    <t>与级别开发程度一致</t>
  </si>
  <si>
    <t xml:space="preserve"> -- </t>
  </si>
  <si>
    <t xml:space="preserve">-- </t>
  </si>
  <si>
    <t>2023-12-28 15:00</t>
  </si>
  <si>
    <t xml:space="preserve"> --</t>
  </si>
  <si>
    <t>2023-06-13 15:00</t>
  </si>
  <si>
    <t>2022-08-25 15:00</t>
  </si>
  <si>
    <r>
      <rPr>
        <sz val="10"/>
        <color theme="1"/>
        <rFont val="Arial Unicode MS"/>
        <family val="2"/>
        <charset val="134"/>
      </rPr>
      <t>地块名称</t>
    </r>
  </si>
  <si>
    <r>
      <rPr>
        <sz val="10"/>
        <color theme="1"/>
        <rFont val="Arial Unicode MS"/>
        <family val="2"/>
        <charset val="134"/>
      </rPr>
      <t>城市</t>
    </r>
  </si>
  <si>
    <r>
      <rPr>
        <sz val="10"/>
        <color theme="1"/>
        <rFont val="Arial Unicode MS"/>
        <family val="2"/>
        <charset val="134"/>
      </rPr>
      <t>省份</t>
    </r>
  </si>
  <si>
    <r>
      <rPr>
        <sz val="10"/>
        <color theme="1"/>
        <rFont val="Arial Unicode MS"/>
        <family val="2"/>
        <charset val="134"/>
      </rPr>
      <t>区县</t>
    </r>
  </si>
  <si>
    <r>
      <rPr>
        <sz val="10"/>
        <color theme="1"/>
        <rFont val="Arial Unicode MS"/>
        <family val="2"/>
        <charset val="134"/>
      </rPr>
      <t>板块</t>
    </r>
  </si>
  <si>
    <r>
      <rPr>
        <sz val="10"/>
        <color theme="1"/>
        <rFont val="Arial Unicode MS"/>
        <family val="2"/>
        <charset val="134"/>
      </rPr>
      <t>公告编号</t>
    </r>
  </si>
  <si>
    <r>
      <rPr>
        <sz val="10"/>
        <color theme="1"/>
        <rFont val="Arial Unicode MS"/>
        <family val="2"/>
        <charset val="134"/>
      </rPr>
      <t>地块编号</t>
    </r>
  </si>
  <si>
    <r>
      <rPr>
        <sz val="10"/>
        <color theme="1"/>
        <rFont val="Arial Unicode MS"/>
        <family val="2"/>
        <charset val="134"/>
      </rPr>
      <t>土地位置</t>
    </r>
  </si>
  <si>
    <r>
      <rPr>
        <sz val="10"/>
        <color theme="1"/>
        <rFont val="Arial Unicode MS"/>
        <family val="2"/>
        <charset val="134"/>
      </rPr>
      <t>建设用地面积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</si>
  <si>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规划建筑面积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</si>
  <si>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</si>
  <si>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</si>
  <si>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</si>
  <si>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</si>
  <si>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用地性质</t>
    </r>
  </si>
  <si>
    <r>
      <rPr>
        <sz val="10"/>
        <color theme="1"/>
        <rFont val="Arial Unicode MS"/>
        <family val="2"/>
        <charset val="134"/>
      </rPr>
      <t>详细规划</t>
    </r>
  </si>
  <si>
    <r>
      <rPr>
        <sz val="10"/>
        <color theme="1"/>
        <rFont val="Arial Unicode MS"/>
        <family val="2"/>
        <charset val="134"/>
      </rPr>
      <t>建设用地分类</t>
    </r>
  </si>
  <si>
    <r>
      <rPr>
        <sz val="10"/>
        <color theme="1"/>
        <rFont val="Arial Unicode MS"/>
        <family val="2"/>
        <charset val="134"/>
      </rPr>
      <t>出让年限</t>
    </r>
    <r>
      <rPr>
        <sz val="10"/>
        <color theme="1"/>
        <rFont val="Arial"/>
        <family val="2"/>
      </rPr>
      <t>(</t>
    </r>
    <r>
      <rPr>
        <sz val="10"/>
        <color theme="1"/>
        <rFont val="Arial Unicode MS"/>
        <family val="2"/>
        <charset val="134"/>
      </rPr>
      <t>年</t>
    </r>
    <r>
      <rPr>
        <sz val="10"/>
        <color theme="1"/>
        <rFont val="Arial"/>
        <family val="2"/>
      </rPr>
      <t>)</t>
    </r>
  </si>
  <si>
    <r>
      <rPr>
        <sz val="10"/>
        <color theme="1"/>
        <rFont val="Arial Unicode MS"/>
        <family val="2"/>
        <charset val="134"/>
      </rPr>
      <t>容积率</t>
    </r>
  </si>
  <si>
    <r>
      <rPr>
        <sz val="10"/>
        <color theme="1"/>
        <rFont val="Arial Unicode MS"/>
        <family val="2"/>
        <charset val="134"/>
      </rPr>
      <t>容积率上限</t>
    </r>
  </si>
  <si>
    <r>
      <rPr>
        <sz val="10"/>
        <color theme="1"/>
        <rFont val="Arial Unicode MS"/>
        <family val="2"/>
        <charset val="134"/>
      </rPr>
      <t>商业比例</t>
    </r>
    <r>
      <rPr>
        <sz val="10"/>
        <color theme="1"/>
        <rFont val="Arial"/>
        <family val="2"/>
      </rPr>
      <t>(%)</t>
    </r>
  </si>
  <si>
    <r>
      <rPr>
        <sz val="10"/>
        <color theme="1"/>
        <rFont val="Arial Unicode MS"/>
        <family val="2"/>
        <charset val="134"/>
      </rPr>
      <t>建筑密度</t>
    </r>
  </si>
  <si>
    <r>
      <rPr>
        <sz val="10"/>
        <color theme="1"/>
        <rFont val="Arial Unicode MS"/>
        <family val="2"/>
        <charset val="134"/>
      </rPr>
      <t>限制高度</t>
    </r>
  </si>
  <si>
    <r>
      <rPr>
        <sz val="10"/>
        <color theme="1"/>
        <rFont val="Arial Unicode MS"/>
        <family val="2"/>
        <charset val="134"/>
      </rPr>
      <t>出让方式</t>
    </r>
  </si>
  <si>
    <r>
      <rPr>
        <sz val="10"/>
        <color theme="1"/>
        <rFont val="Arial Unicode MS"/>
        <family val="2"/>
        <charset val="134"/>
      </rPr>
      <t>集中供地</t>
    </r>
  </si>
  <si>
    <r>
      <rPr>
        <sz val="10"/>
        <color theme="1"/>
        <rFont val="Arial Unicode MS"/>
        <family val="2"/>
        <charset val="134"/>
      </rPr>
      <t>推出特殊政策</t>
    </r>
  </si>
  <si>
    <r>
      <rPr>
        <sz val="10"/>
        <color theme="1"/>
        <rFont val="Arial Unicode MS"/>
        <family val="2"/>
        <charset val="134"/>
      </rPr>
      <t>成交特殊政策</t>
    </r>
  </si>
  <si>
    <r>
      <rPr>
        <sz val="10"/>
        <color theme="1"/>
        <rFont val="Arial Unicode MS"/>
        <family val="2"/>
        <charset val="134"/>
      </rPr>
      <t>特殊用地类型</t>
    </r>
  </si>
  <si>
    <r>
      <rPr>
        <sz val="10"/>
        <color theme="1"/>
        <rFont val="Arial Unicode MS"/>
        <family val="2"/>
        <charset val="134"/>
      </rPr>
      <t>保障房类型</t>
    </r>
  </si>
  <si>
    <r>
      <rPr>
        <sz val="10"/>
        <color theme="1"/>
        <rFont val="Arial Unicode MS"/>
        <family val="2"/>
        <charset val="134"/>
      </rPr>
      <t>公告时间</t>
    </r>
  </si>
  <si>
    <r>
      <rPr>
        <sz val="10"/>
        <color theme="1"/>
        <rFont val="Arial Unicode MS"/>
        <family val="2"/>
        <charset val="134"/>
      </rPr>
      <t>起始时间</t>
    </r>
  </si>
  <si>
    <r>
      <rPr>
        <sz val="10"/>
        <color theme="1"/>
        <rFont val="Arial Unicode MS"/>
        <family val="2"/>
        <charset val="134"/>
      </rPr>
      <t>截止时间</t>
    </r>
  </si>
  <si>
    <r>
      <rPr>
        <sz val="10"/>
        <color theme="1"/>
        <rFont val="Arial Unicode MS"/>
        <family val="2"/>
        <charset val="134"/>
      </rPr>
      <t>成交时间</t>
    </r>
  </si>
  <si>
    <r>
      <rPr>
        <sz val="10"/>
        <color theme="1"/>
        <rFont val="Arial Unicode MS"/>
        <family val="2"/>
        <charset val="134"/>
      </rPr>
      <t>交易状态</t>
    </r>
  </si>
  <si>
    <r>
      <rPr>
        <sz val="10"/>
        <color theme="1"/>
        <rFont val="Arial Unicode MS"/>
        <family val="2"/>
        <charset val="134"/>
      </rPr>
      <t>开工进度</t>
    </r>
  </si>
  <si>
    <r>
      <rPr>
        <sz val="10"/>
        <color theme="1"/>
        <rFont val="Arial Unicode MS"/>
        <family val="2"/>
        <charset val="134"/>
      </rPr>
      <t>受让单位</t>
    </r>
  </si>
  <si>
    <r>
      <rPr>
        <sz val="10"/>
        <color theme="1"/>
        <rFont val="Arial Unicode MS"/>
        <family val="2"/>
        <charset val="134"/>
      </rPr>
      <t>拿地企业</t>
    </r>
  </si>
  <si>
    <r>
      <rPr>
        <sz val="10"/>
        <color theme="1"/>
        <rFont val="Arial Unicode MS"/>
        <family val="2"/>
        <charset val="134"/>
      </rPr>
      <t>企业性质</t>
    </r>
  </si>
  <si>
    <r>
      <rPr>
        <sz val="10"/>
        <color theme="1"/>
        <rFont val="Arial Unicode MS"/>
        <family val="2"/>
        <charset val="134"/>
      </rPr>
      <t>是否城投企业</t>
    </r>
  </si>
  <si>
    <r>
      <rPr>
        <sz val="10"/>
        <color theme="1"/>
        <rFont val="Arial Unicode MS"/>
        <family val="2"/>
        <charset val="134"/>
      </rPr>
      <t>起始价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</si>
  <si>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</si>
  <si>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保证金截止时间</t>
    </r>
  </si>
  <si>
    <r>
      <rPr>
        <sz val="10"/>
        <color theme="1"/>
        <rFont val="Arial Unicode MS"/>
        <family val="2"/>
        <charset val="134"/>
      </rPr>
      <t>成交价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</si>
  <si>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推出土地单价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</si>
  <si>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</si>
  <si>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</si>
  <si>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成交每亩价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</si>
  <si>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</si>
  <si>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</si>
  <si>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</si>
  <si>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</si>
  <si>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t>
    </r>
    <r>
      <rPr>
        <sz val="10"/>
        <color theme="1"/>
        <rFont val="Arial"/>
        <family val="2"/>
      </rPr>
      <t>(%)</t>
    </r>
  </si>
  <si>
    <r>
      <rPr>
        <sz val="10"/>
        <color theme="1"/>
        <rFont val="Arial Unicode MS"/>
        <family val="2"/>
        <charset val="134"/>
      </rPr>
      <t>限地价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</si>
  <si>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触达限地价</t>
    </r>
  </si>
  <si>
    <r>
      <rPr>
        <sz val="10"/>
        <color theme="1"/>
        <rFont val="Arial Unicode MS"/>
        <family val="2"/>
        <charset val="134"/>
      </rPr>
      <t>政府指导价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</si>
  <si>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限售价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</si>
  <si>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楼面价上限</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</si>
  <si>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溢价率上限</t>
    </r>
    <r>
      <rPr>
        <sz val="10"/>
        <color theme="1"/>
        <rFont val="Arial"/>
        <family val="2"/>
      </rPr>
      <t>(%)</t>
    </r>
  </si>
  <si>
    <r>
      <rPr>
        <sz val="10"/>
        <color theme="1"/>
        <rFont val="Arial Unicode MS"/>
        <family val="2"/>
        <charset val="134"/>
      </rPr>
      <t>房地价差</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</si>
  <si>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关联供地计划</t>
    </r>
  </si>
  <si>
    <r>
      <rPr>
        <sz val="10"/>
        <color theme="1"/>
        <rFont val="Arial Unicode MS"/>
        <family val="2"/>
        <charset val="134"/>
      </rPr>
      <t>供地计划名称</t>
    </r>
  </si>
  <si>
    <r>
      <rPr>
        <sz val="10"/>
        <color theme="1"/>
        <rFont val="Arial Unicode MS"/>
        <family val="2"/>
        <charset val="134"/>
      </rPr>
      <t>北京丽泽金融商务区北区</t>
    </r>
    <r>
      <rPr>
        <sz val="10"/>
        <color theme="1"/>
        <rFont val="Arial"/>
        <family val="2"/>
      </rPr>
      <t>A</t>
    </r>
    <r>
      <rPr>
        <sz val="10"/>
        <color theme="1"/>
        <rFont val="Arial Unicode MS"/>
        <family val="2"/>
        <charset val="134"/>
      </rPr>
      <t>地块建设及综合治理项目</t>
    </r>
    <r>
      <rPr>
        <sz val="10"/>
        <color theme="1"/>
        <rFont val="Arial"/>
        <family val="2"/>
      </rPr>
      <t>FT00-0609-0037(2)</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</si>
  <si>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rPr>
        <sz val="10"/>
        <color theme="1"/>
        <rFont val="Arial Unicode MS"/>
        <family val="2"/>
        <charset val="134"/>
      </rPr>
      <t>北京市</t>
    </r>
  </si>
  <si>
    <r>
      <t xml:space="preserve"> </t>
    </r>
    <r>
      <rPr>
        <sz val="10"/>
        <color theme="1"/>
        <rFont val="Arial Unicode MS"/>
        <family val="2"/>
        <charset val="134"/>
      </rPr>
      <t>北京</t>
    </r>
    <r>
      <rPr>
        <sz val="10"/>
        <color theme="1"/>
        <rFont val="Arial"/>
        <family val="2"/>
      </rPr>
      <t xml:space="preserve"> </t>
    </r>
  </si>
  <si>
    <r>
      <t xml:space="preserve"> </t>
    </r>
    <r>
      <rPr>
        <sz val="10"/>
        <color theme="1"/>
        <rFont val="Arial Unicode MS"/>
        <family val="2"/>
        <charset val="134"/>
      </rPr>
      <t>丰台区</t>
    </r>
    <r>
      <rPr>
        <sz val="10"/>
        <color theme="1"/>
        <rFont val="Arial"/>
        <family val="2"/>
      </rPr>
      <t xml:space="preserve"> </t>
    </r>
  </si>
  <si>
    <r>
      <t xml:space="preserve"> </t>
    </r>
    <r>
      <rPr>
        <sz val="10"/>
        <color theme="1"/>
        <rFont val="Arial Unicode MS"/>
        <family val="2"/>
        <charset val="134"/>
      </rPr>
      <t>丽泽</t>
    </r>
    <r>
      <rPr>
        <sz val="10"/>
        <color theme="1"/>
        <rFont val="Arial"/>
        <family val="2"/>
      </rPr>
      <t xml:space="preserve"> </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</si>
  <si>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</si>
  <si>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</si>
  <si>
    <r>
      <t xml:space="preserve"> </t>
    </r>
    <r>
      <rPr>
        <sz val="10"/>
        <color theme="1"/>
        <rFont val="Arial Unicode MS"/>
        <family val="2"/>
        <charset val="134"/>
      </rPr>
      <t>丰台区太平桥街道</t>
    </r>
    <r>
      <rPr>
        <sz val="10"/>
        <color theme="1"/>
        <rFont val="Arial"/>
        <family val="2"/>
      </rPr>
      <t xml:space="preserve"> </t>
    </r>
  </si>
  <si>
    <r>
      <t xml:space="preserve"> </t>
    </r>
    <r>
      <rPr>
        <sz val="10"/>
        <color theme="1"/>
        <rFont val="Arial Unicode MS"/>
        <family val="2"/>
        <charset val="134"/>
      </rPr>
      <t>商业</t>
    </r>
    <r>
      <rPr>
        <sz val="10"/>
        <color theme="1"/>
        <rFont val="Arial"/>
        <family val="2"/>
      </rPr>
      <t>/</t>
    </r>
    <r>
      <rPr>
        <sz val="10"/>
        <color theme="1"/>
        <rFont val="Arial Unicode MS"/>
        <family val="2"/>
        <charset val="134"/>
      </rPr>
      <t>办公用地</t>
    </r>
    <r>
      <rPr>
        <sz val="10"/>
        <color theme="1"/>
        <rFont val="Arial"/>
        <family val="2"/>
      </rPr>
      <t xml:space="preserve"> </t>
    </r>
  </si>
  <si>
    <r>
      <t xml:space="preserve"> B4</t>
    </r>
    <r>
      <rPr>
        <sz val="10"/>
        <color theme="1"/>
        <rFont val="Arial Unicode MS"/>
        <family val="2"/>
        <charset val="134"/>
      </rPr>
      <t>综合性商业金融服务业用地</t>
    </r>
    <r>
      <rPr>
        <sz val="10"/>
        <color theme="1"/>
        <rFont val="Arial"/>
        <family val="2"/>
      </rPr>
      <t xml:space="preserve"> </t>
    </r>
  </si>
  <si>
    <r>
      <t xml:space="preserve"> B21</t>
    </r>
    <r>
      <rPr>
        <sz val="10"/>
        <color theme="1"/>
        <rFont val="Arial Unicode MS"/>
        <family val="2"/>
        <charset val="134"/>
      </rPr>
      <t>金融保险用地、</t>
    </r>
    <r>
      <rPr>
        <sz val="10"/>
        <color theme="1"/>
        <rFont val="Arial"/>
        <family val="2"/>
      </rPr>
      <t>B1</t>
    </r>
    <r>
      <rPr>
        <sz val="10"/>
        <color theme="1"/>
        <rFont val="Arial Unicode MS"/>
        <family val="2"/>
        <charset val="134"/>
      </rPr>
      <t>商业设施用地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</si>
  <si>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t>
    </r>
    <r>
      <rPr>
        <sz val="10"/>
        <color theme="1"/>
        <rFont val="Arial"/>
        <family val="2"/>
      </rPr>
      <t xml:space="preserve"> </t>
    </r>
    <r>
      <rPr>
        <sz val="10"/>
        <color theme="1"/>
        <rFont val="Arial Unicode MS"/>
        <family val="2"/>
        <charset val="134"/>
      </rPr>
      <t>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</si>
  <si>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小于等于</t>
    </r>
    <r>
      <rPr>
        <sz val="10"/>
        <color theme="1"/>
        <rFont val="Arial"/>
        <family val="2"/>
      </rPr>
      <t xml:space="preserve">7 </t>
    </r>
  </si>
  <si>
    <r>
      <t xml:space="preserve"> </t>
    </r>
    <r>
      <rPr>
        <sz val="10"/>
        <color theme="1"/>
        <rFont val="Arial Unicode MS"/>
        <family val="2"/>
        <charset val="134"/>
      </rPr>
      <t>挂牌</t>
    </r>
    <r>
      <rPr>
        <sz val="10"/>
        <color theme="1"/>
        <rFont val="Arial"/>
        <family val="2"/>
      </rPr>
      <t xml:space="preserve"> </t>
    </r>
  </si>
  <si>
    <r>
      <t xml:space="preserve"> </t>
    </r>
    <r>
      <rPr>
        <sz val="10"/>
        <color theme="1"/>
        <rFont val="Arial Unicode MS"/>
        <family val="2"/>
        <charset val="134"/>
      </rPr>
      <t>已成交</t>
    </r>
    <r>
      <rPr>
        <sz val="10"/>
        <color theme="1"/>
        <rFont val="Arial"/>
        <family val="2"/>
      </rPr>
      <t xml:space="preserve"> </t>
    </r>
  </si>
  <si>
    <r>
      <t xml:space="preserve"> </t>
    </r>
    <r>
      <rPr>
        <sz val="10"/>
        <color theme="1"/>
        <rFont val="Arial Unicode MS"/>
        <family val="2"/>
        <charset val="134"/>
      </rPr>
      <t>已开工</t>
    </r>
    <r>
      <rPr>
        <sz val="10"/>
        <color theme="1"/>
        <rFont val="Arial"/>
        <family val="2"/>
      </rPr>
      <t xml:space="preserve"> </t>
    </r>
  </si>
  <si>
    <r>
      <t xml:space="preserve"> </t>
    </r>
    <r>
      <rPr>
        <sz val="10"/>
        <color theme="1"/>
        <rFont val="Arial Unicode MS"/>
        <family val="2"/>
        <charset val="134"/>
      </rPr>
      <t>中国南水北调集团综合服务有限公司</t>
    </r>
    <r>
      <rPr>
        <sz val="10"/>
        <color theme="1"/>
        <rFont val="Arial"/>
        <family val="2"/>
      </rPr>
      <t xml:space="preserve">  </t>
    </r>
  </si>
  <si>
    <r>
      <t xml:space="preserve"> </t>
    </r>
    <r>
      <rPr>
        <sz val="10"/>
        <color theme="1"/>
        <rFont val="Arial Unicode MS"/>
        <family val="2"/>
        <charset val="134"/>
      </rPr>
      <t>中国南水北调集团有限公司</t>
    </r>
    <r>
      <rPr>
        <sz val="10"/>
        <color theme="1"/>
        <rFont val="Arial"/>
        <family val="2"/>
      </rPr>
      <t xml:space="preserve"> </t>
    </r>
  </si>
  <si>
    <r>
      <t xml:space="preserve"> </t>
    </r>
    <r>
      <rPr>
        <sz val="10"/>
        <color theme="1"/>
        <rFont val="Arial Unicode MS"/>
        <family val="2"/>
        <charset val="134"/>
      </rPr>
      <t>中央国有企业</t>
    </r>
    <r>
      <rPr>
        <sz val="10"/>
        <color theme="1"/>
        <rFont val="Arial"/>
        <family val="2"/>
      </rPr>
      <t xml:space="preserve"> </t>
    </r>
  </si>
  <si>
    <r>
      <t xml:space="preserve"> </t>
    </r>
    <r>
      <rPr>
        <sz val="10"/>
        <color theme="1"/>
        <rFont val="Arial Unicode MS"/>
        <family val="2"/>
        <charset val="134"/>
      </rPr>
      <t>否</t>
    </r>
    <r>
      <rPr>
        <sz val="10"/>
        <color theme="1"/>
        <rFont val="Arial"/>
        <family val="2"/>
      </rPr>
      <t xml:space="preserve"> </t>
    </r>
  </si>
  <si>
    <r>
      <rPr>
        <sz val="10"/>
        <color theme="1"/>
        <rFont val="Arial Unicode MS"/>
        <family val="2"/>
        <charset val="134"/>
      </rPr>
      <t>北京市丰台区丽泽金融商务区</t>
    </r>
    <r>
      <rPr>
        <sz val="10"/>
        <color theme="1"/>
        <rFont val="Arial"/>
        <family val="2"/>
      </rPr>
      <t>FT00-0612-0016</t>
    </r>
    <r>
      <rPr>
        <sz val="10"/>
        <color theme="1"/>
        <rFont val="Arial Unicode MS"/>
        <family val="2"/>
        <charset val="134"/>
      </rPr>
      <t>等地块</t>
    </r>
    <r>
      <rPr>
        <sz val="10"/>
        <color theme="1"/>
        <rFont val="Arial"/>
        <family val="2"/>
      </rPr>
      <t>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</si>
  <si>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</si>
  <si>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</si>
  <si>
    <r>
      <t xml:space="preserve"> 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r>
      <rPr>
        <sz val="10"/>
        <color theme="1"/>
        <rFont val="Arial"/>
        <family val="2"/>
      </rPr>
      <t xml:space="preserve"> </t>
    </r>
  </si>
  <si>
    <r>
      <t xml:space="preserve"> S3</t>
    </r>
    <r>
      <rPr>
        <sz val="10"/>
        <color theme="1"/>
        <rFont val="Arial Unicode MS"/>
        <family val="2"/>
        <charset val="134"/>
      </rPr>
      <t>交通枢纽用地、</t>
    </r>
    <r>
      <rPr>
        <sz val="10"/>
        <color theme="1"/>
        <rFont val="Arial"/>
        <family val="2"/>
      </rPr>
      <t>B</t>
    </r>
    <r>
      <rPr>
        <sz val="10"/>
        <color theme="1"/>
        <rFont val="Arial Unicode MS"/>
        <family val="2"/>
        <charset val="134"/>
      </rPr>
      <t>商业服务业设施用地、</t>
    </r>
    <r>
      <rPr>
        <sz val="10"/>
        <color theme="1"/>
        <rFont val="Arial"/>
        <family val="2"/>
      </rPr>
      <t>S4</t>
    </r>
    <r>
      <rPr>
        <sz val="10"/>
        <color theme="1"/>
        <rFont val="Arial Unicode MS"/>
        <family val="2"/>
        <charset val="134"/>
      </rPr>
      <t>交通场站用地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</si>
  <si>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</si>
  <si>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北京金唐丽行科技服务有限责任公司</t>
    </r>
    <r>
      <rPr>
        <sz val="10"/>
        <color theme="1"/>
        <rFont val="Arial"/>
        <family val="2"/>
      </rPr>
      <t xml:space="preserve"> </t>
    </r>
    <r>
      <rPr>
        <sz val="10"/>
        <color theme="1"/>
        <rFont val="Arial Unicode MS"/>
        <family val="2"/>
        <charset val="134"/>
      </rPr>
      <t>、北京金唐建投科技服务中心</t>
    </r>
    <r>
      <rPr>
        <sz val="10"/>
        <color theme="1"/>
        <rFont val="Arial"/>
        <family val="2"/>
      </rPr>
      <t>(</t>
    </r>
    <r>
      <rPr>
        <sz val="10"/>
        <color theme="1"/>
        <rFont val="Arial Unicode MS"/>
        <family val="2"/>
        <charset val="134"/>
      </rPr>
      <t>有限合伙</t>
    </r>
    <r>
      <rPr>
        <sz val="10"/>
        <color theme="1"/>
        <rFont val="Arial"/>
        <family val="2"/>
      </rPr>
      <t xml:space="preserve">) </t>
    </r>
    <r>
      <rPr>
        <sz val="10"/>
        <color theme="1"/>
        <rFont val="Arial Unicode MS"/>
        <family val="2"/>
        <charset val="134"/>
      </rPr>
      <t>、北京丽控建投科技服务中心</t>
    </r>
    <r>
      <rPr>
        <sz val="10"/>
        <color theme="1"/>
        <rFont val="Arial"/>
        <family val="2"/>
      </rPr>
      <t>(</t>
    </r>
    <r>
      <rPr>
        <sz val="10"/>
        <color theme="1"/>
        <rFont val="Arial Unicode MS"/>
        <family val="2"/>
        <charset val="134"/>
      </rPr>
      <t>有限合伙</t>
    </r>
    <r>
      <rPr>
        <sz val="10"/>
        <color theme="1"/>
        <rFont val="Arial"/>
        <family val="2"/>
      </rPr>
      <t xml:space="preserve">)  </t>
    </r>
  </si>
  <si>
    <r>
      <t xml:space="preserve"> </t>
    </r>
    <r>
      <rPr>
        <sz val="10"/>
        <color theme="1"/>
        <rFont val="Arial Unicode MS"/>
        <family val="2"/>
        <charset val="134"/>
      </rPr>
      <t>北京丽泽金融商务区控股有限公司</t>
    </r>
    <r>
      <rPr>
        <sz val="10"/>
        <color theme="1"/>
        <rFont val="Arial"/>
        <family val="2"/>
      </rPr>
      <t>,</t>
    </r>
    <r>
      <rPr>
        <sz val="10"/>
        <color theme="1"/>
        <rFont val="Arial Unicode MS"/>
        <family val="2"/>
        <charset val="134"/>
      </rPr>
      <t>北京金唐丽行科技服务有限责任公司</t>
    </r>
    <r>
      <rPr>
        <sz val="10"/>
        <color theme="1"/>
        <rFont val="Arial"/>
        <family val="2"/>
      </rPr>
      <t>,</t>
    </r>
    <r>
      <rPr>
        <sz val="10"/>
        <color theme="1"/>
        <rFont val="Arial Unicode MS"/>
        <family val="2"/>
        <charset val="134"/>
      </rPr>
      <t>北京建工</t>
    </r>
    <r>
      <rPr>
        <sz val="10"/>
        <color theme="1"/>
        <rFont val="Arial"/>
        <family val="2"/>
      </rPr>
      <t xml:space="preserve"> </t>
    </r>
  </si>
  <si>
    <r>
      <t xml:space="preserve"> </t>
    </r>
    <r>
      <rPr>
        <sz val="10"/>
        <color theme="1"/>
        <rFont val="Arial Unicode MS"/>
        <family val="2"/>
        <charset val="134"/>
      </rPr>
      <t>地方国有企业，民营企业，地方国有企业</t>
    </r>
    <r>
      <rPr>
        <sz val="10"/>
        <color theme="1"/>
        <rFont val="Arial"/>
        <family val="2"/>
      </rPr>
      <t xml:space="preserve"> </t>
    </r>
  </si>
  <si>
    <r>
      <t xml:space="preserve"> --</t>
    </r>
    <r>
      <rPr>
        <sz val="10"/>
        <color theme="1"/>
        <rFont val="Arial Unicode MS"/>
        <family val="2"/>
        <charset val="134"/>
      </rPr>
      <t>，</t>
    </r>
    <r>
      <rPr>
        <sz val="10"/>
        <color theme="1"/>
        <rFont val="Arial"/>
        <family val="2"/>
      </rPr>
      <t>--</t>
    </r>
    <r>
      <rPr>
        <sz val="10"/>
        <color theme="1"/>
        <rFont val="Arial Unicode MS"/>
        <family val="2"/>
        <charset val="134"/>
      </rPr>
      <t>，城投企业</t>
    </r>
    <r>
      <rPr>
        <sz val="10"/>
        <color theme="1"/>
        <rFont val="Arial"/>
        <family val="2"/>
      </rPr>
      <t xml:space="preserve"> </t>
    </r>
  </si>
  <si>
    <r>
      <rPr>
        <sz val="10"/>
        <color theme="1"/>
        <rFont val="Arial Unicode MS"/>
        <family val="2"/>
        <charset val="134"/>
      </rPr>
      <t>北京市丰台区丽泽金融商务区</t>
    </r>
    <r>
      <rPr>
        <sz val="10"/>
        <color theme="1"/>
        <rFont val="Arial"/>
        <family val="2"/>
      </rPr>
      <t>D-01</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</si>
  <si>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</si>
  <si>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</si>
  <si>
    <r>
      <t xml:space="preserve"> B1</t>
    </r>
    <r>
      <rPr>
        <sz val="10"/>
        <color theme="1"/>
        <rFont val="Arial Unicode MS"/>
        <family val="2"/>
        <charset val="134"/>
      </rPr>
      <t>商业设施用地、</t>
    </r>
    <r>
      <rPr>
        <sz val="10"/>
        <color theme="1"/>
        <rFont val="Arial"/>
        <family val="2"/>
      </rPr>
      <t>B21</t>
    </r>
    <r>
      <rPr>
        <sz val="10"/>
        <color theme="1"/>
        <rFont val="Arial Unicode MS"/>
        <family val="2"/>
        <charset val="134"/>
      </rPr>
      <t>金融保险用地</t>
    </r>
    <r>
      <rPr>
        <sz val="10"/>
        <color theme="1"/>
        <rFont val="Arial"/>
        <family val="2"/>
      </rPr>
      <t xml:space="preserve"> </t>
    </r>
  </si>
  <si>
    <r>
      <t xml:space="preserve"> </t>
    </r>
    <r>
      <rPr>
        <sz val="10"/>
        <color theme="1"/>
        <rFont val="Arial Unicode MS"/>
        <family val="2"/>
        <charset val="134"/>
      </rPr>
      <t>≤</t>
    </r>
    <r>
      <rPr>
        <sz val="10"/>
        <color theme="1"/>
        <rFont val="Arial"/>
        <family val="2"/>
      </rPr>
      <t xml:space="preserve">6.33 </t>
    </r>
  </si>
  <si>
    <r>
      <t xml:space="preserve"> </t>
    </r>
    <r>
      <rPr>
        <sz val="10"/>
        <color theme="1"/>
        <rFont val="Arial Unicode MS"/>
        <family val="2"/>
        <charset val="134"/>
      </rPr>
      <t>北京福榕置业有限公司</t>
    </r>
    <r>
      <rPr>
        <sz val="10"/>
        <color theme="1"/>
        <rFont val="Arial"/>
        <family val="2"/>
      </rPr>
      <t xml:space="preserve">  </t>
    </r>
  </si>
  <si>
    <r>
      <t xml:space="preserve"> </t>
    </r>
    <r>
      <rPr>
        <sz val="10"/>
        <color theme="1"/>
        <rFont val="Arial Unicode MS"/>
        <family val="2"/>
        <charset val="134"/>
      </rPr>
      <t>福建省国有资产管理</t>
    </r>
    <r>
      <rPr>
        <sz val="10"/>
        <color theme="1"/>
        <rFont val="Arial"/>
        <family val="2"/>
      </rPr>
      <t>,</t>
    </r>
    <r>
      <rPr>
        <sz val="10"/>
        <color theme="1"/>
        <rFont val="Arial Unicode MS"/>
        <family val="2"/>
        <charset val="134"/>
      </rPr>
      <t>闽高速</t>
    </r>
    <r>
      <rPr>
        <sz val="10"/>
        <color theme="1"/>
        <rFont val="Arial"/>
        <family val="2"/>
      </rPr>
      <t>,</t>
    </r>
    <r>
      <rPr>
        <sz val="10"/>
        <color theme="1"/>
        <rFont val="Arial Unicode MS"/>
        <family val="2"/>
        <charset val="134"/>
      </rPr>
      <t>福建投资</t>
    </r>
    <r>
      <rPr>
        <sz val="10"/>
        <color theme="1"/>
        <rFont val="Arial"/>
        <family val="2"/>
      </rPr>
      <t xml:space="preserve"> </t>
    </r>
  </si>
  <si>
    <r>
      <t xml:space="preserve"> </t>
    </r>
    <r>
      <rPr>
        <sz val="10"/>
        <color theme="1"/>
        <rFont val="Arial Unicode MS"/>
        <family val="2"/>
        <charset val="134"/>
      </rPr>
      <t>地方国有企业，地方国有企业，地方国有企业</t>
    </r>
    <r>
      <rPr>
        <sz val="10"/>
        <color theme="1"/>
        <rFont val="Arial"/>
        <family val="2"/>
      </rPr>
      <t xml:space="preserve"> </t>
    </r>
  </si>
  <si>
    <r>
      <t xml:space="preserve"> </t>
    </r>
    <r>
      <rPr>
        <sz val="10"/>
        <color theme="1"/>
        <rFont val="Arial Unicode MS"/>
        <family val="2"/>
        <charset val="134"/>
      </rPr>
      <t>城投企业，城投企业，城投企业</t>
    </r>
    <r>
      <rPr>
        <sz val="10"/>
        <color theme="1"/>
        <rFont val="Arial"/>
        <family val="2"/>
      </rPr>
      <t xml:space="preserve"> </t>
    </r>
  </si>
  <si>
    <t>正常</t>
  </si>
  <si>
    <t>七通</t>
  </si>
  <si>
    <t>快速路</t>
    <phoneticPr fontId="30" type="noConversion"/>
  </si>
  <si>
    <t>主干道</t>
  </si>
  <si>
    <t>主干道</t>
    <phoneticPr fontId="30" type="noConversion"/>
  </si>
  <si>
    <t>次干道</t>
    <phoneticPr fontId="30" type="noConversion"/>
  </si>
  <si>
    <t>支路</t>
  </si>
  <si>
    <t>支路</t>
    <phoneticPr fontId="30" type="noConversion"/>
  </si>
  <si>
    <t>六通</t>
  </si>
  <si>
    <t>五通</t>
  </si>
  <si>
    <t>四通</t>
  </si>
  <si>
    <t>三通</t>
  </si>
  <si>
    <t>较差</t>
  </si>
  <si>
    <t>差</t>
  </si>
  <si>
    <r>
      <t xml:space="preserve"> B4</t>
    </r>
    <r>
      <rPr>
        <sz val="11"/>
        <rFont val="宋体"/>
        <family val="3"/>
        <charset val="134"/>
      </rPr>
      <t/>
    </r>
    <phoneticPr fontId="30" type="noConversion"/>
  </si>
  <si>
    <r>
      <t xml:space="preserve"> F3</t>
    </r>
    <r>
      <rPr>
        <sz val="11"/>
        <rFont val="宋体"/>
        <family val="3"/>
        <charset val="134"/>
      </rPr>
      <t/>
    </r>
    <phoneticPr fontId="30" type="noConversion"/>
  </si>
  <si>
    <t>住宅</t>
  </si>
  <si>
    <t>情况4</t>
  </si>
  <si>
    <t>转让取得</t>
  </si>
  <si>
    <t>非个人房产</t>
  </si>
  <si>
    <t xml:space="preserve"> B4</t>
  </si>
  <si>
    <t xml:space="preserve"> F3</t>
  </si>
  <si>
    <t>郑燚</t>
  </si>
  <si>
    <t>崔锴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</si>
</sst>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color rgb="FF000000"/>
      <name val="Times New Roman"/>
      <family val="1"/>
    </font>
    <font>
      <sz val="10"/>
      <color theme="1"/>
      <name val="Arial Unicode MS"/>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0" fontId="36"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1" fontId="36" fillId="0" borderId="0"/>
    <xf numFmtId="191" fontId="36" fillId="0" borderId="0"/>
    <xf numFmtId="191" fontId="269" fillId="0" borderId="0"/>
    <xf numFmtId="191" fontId="95" fillId="0" borderId="0">
      <alignment vertical="center"/>
    </xf>
    <xf numFmtId="191" fontId="95" fillId="0" borderId="0">
      <alignment vertical="center"/>
    </xf>
    <xf numFmtId="191" fontId="95" fillId="0" borderId="0"/>
    <xf numFmtId="191" fontId="53" fillId="0" borderId="0"/>
    <xf numFmtId="0" fontId="221" fillId="0" borderId="0"/>
    <xf numFmtId="0" fontId="270" fillId="0" borderId="0"/>
    <xf numFmtId="0" fontId="95" fillId="0" borderId="0">
      <alignment vertical="center"/>
    </xf>
    <xf numFmtId="0" fontId="95" fillId="0" borderId="0">
      <alignment vertical="center"/>
    </xf>
    <xf numFmtId="191" fontId="95" fillId="0" borderId="0"/>
    <xf numFmtId="191" fontId="95" fillId="0" borderId="0">
      <alignment vertical="center"/>
    </xf>
    <xf numFmtId="0"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cellStyleXfs>
  <cellXfs count="35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49" fontId="0" fillId="0" borderId="0" xfId="0" applyNumberFormat="1">
      <alignment vertical="center"/>
    </xf>
    <xf numFmtId="0" fontId="95" fillId="5" borderId="0" xfId="0" applyFont="1" applyFill="1" applyAlignment="1">
      <alignment horizontal="left" vertical="center"/>
    </xf>
    <xf numFmtId="14" fontId="0" fillId="5" borderId="0" xfId="0" applyNumberFormat="1" applyFill="1" applyAlignment="1">
      <alignment horizontal="left" vertical="center"/>
    </xf>
    <xf numFmtId="49" fontId="95" fillId="0" borderId="1" xfId="0" applyNumberFormat="1" applyFont="1" applyBorder="1" applyAlignment="1">
      <alignment horizontal="lef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96" fillId="0" borderId="1" xfId="0" applyFont="1" applyBorder="1" applyAlignment="1">
      <alignment horizontal="left" vertical="center"/>
    </xf>
    <xf numFmtId="0" fontId="96" fillId="0" borderId="0" xfId="0" applyFont="1">
      <alignment vertical="center"/>
    </xf>
    <xf numFmtId="14" fontId="0" fillId="0" borderId="1" xfId="0" applyNumberFormat="1" applyBorder="1" applyAlignment="1">
      <alignment horizontal="left" vertical="center"/>
    </xf>
    <xf numFmtId="0" fontId="95" fillId="5" borderId="1" xfId="0" applyFont="1" applyFill="1" applyBorder="1" applyAlignment="1">
      <alignment horizontal="left" vertical="center"/>
    </xf>
    <xf numFmtId="0" fontId="95" fillId="5" borderId="0" xfId="0" applyFont="1" applyFill="1">
      <alignment vertical="center"/>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9" fontId="47" fillId="12" borderId="1" xfId="21" applyFont="1" applyFill="1" applyBorder="1" applyAlignment="1" applyProtection="1">
      <alignment horizontal="left" vertical="center"/>
      <protection locked="0"/>
    </xf>
    <xf numFmtId="181" fontId="47" fillId="12" borderId="1" xfId="21" applyNumberFormat="1" applyFont="1" applyFill="1" applyBorder="1" applyAlignment="1" applyProtection="1">
      <alignment horizontal="left" vertical="center"/>
      <protection locked="0"/>
    </xf>
    <xf numFmtId="0" fontId="0" fillId="16" borderId="1" xfId="0" applyFill="1" applyBorder="1" applyAlignment="1">
      <alignment horizontal="left" vertical="center"/>
    </xf>
    <xf numFmtId="0" fontId="99" fillId="16" borderId="1" xfId="0" applyFont="1" applyFill="1" applyBorder="1" applyAlignment="1" applyProtection="1">
      <alignment horizontal="center" vertical="center" wrapText="1"/>
      <protection locked="0"/>
    </xf>
    <xf numFmtId="2" fontId="95" fillId="0" borderId="1" xfId="0" applyNumberFormat="1" applyFont="1" applyBorder="1" applyAlignment="1">
      <alignment horizontal="left" vertical="center"/>
    </xf>
    <xf numFmtId="0" fontId="99" fillId="0" borderId="0" xfId="0" applyFont="1" applyAlignment="1"/>
    <xf numFmtId="14" fontId="99" fillId="0" borderId="0" xfId="0" applyNumberFormat="1" applyFont="1" applyAlignment="1"/>
    <xf numFmtId="0" fontId="99" fillId="0" borderId="0" xfId="0" applyFont="1">
      <alignment vertical="center"/>
    </xf>
    <xf numFmtId="0" fontId="128" fillId="0" borderId="44" xfId="0" applyFont="1" applyBorder="1" applyAlignment="1" applyProtection="1">
      <alignment horizontal="center" vertical="center" wrapText="1"/>
      <protection locked="0"/>
    </xf>
    <xf numFmtId="0" fontId="47" fillId="8" borderId="5" xfId="0" applyFont="1" applyFill="1" applyBorder="1" applyAlignment="1">
      <alignment horizontal="lef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95" fillId="0" borderId="1" xfId="0" applyFont="1" applyBorder="1" applyAlignment="1">
      <alignment horizontal="center"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51">
    <cellStyle name="Comma 2" xfId="23" xr:uid="{00000000-0005-0000-0000-000000000000}"/>
    <cellStyle name="Comma 2 2" xfId="24" xr:uid="{00000000-0005-0000-0000-000001000000}"/>
    <cellStyle name="Comma 2 2 2" xfId="25" xr:uid="{00000000-0005-0000-0000-000002000000}"/>
    <cellStyle name="Comma 2 2 2 2" xfId="26" xr:uid="{00000000-0005-0000-0000-000003000000}"/>
    <cellStyle name="Comma 2 2 3" xfId="27" xr:uid="{00000000-0005-0000-0000-000004000000}"/>
    <cellStyle name="Comma 2 3" xfId="28" xr:uid="{00000000-0005-0000-0000-000005000000}"/>
    <cellStyle name="Comma 2 3 2" xfId="29" xr:uid="{00000000-0005-0000-0000-000006000000}"/>
    <cellStyle name="Comma 2 4" xfId="30" xr:uid="{00000000-0005-0000-0000-000007000000}"/>
    <cellStyle name="Normal 2" xfId="31" xr:uid="{00000000-0005-0000-0000-000008000000}"/>
    <cellStyle name="Normal 2 2 2" xfId="32" xr:uid="{00000000-0005-0000-0000-000009000000}"/>
    <cellStyle name="Normal 2 8" xfId="33" xr:uid="{00000000-0005-0000-0000-00000A000000}"/>
    <cellStyle name="Normal 3" xfId="34" xr:uid="{00000000-0005-0000-0000-00000B000000}"/>
    <cellStyle name="Normal 4" xfId="35" xr:uid="{00000000-0005-0000-0000-00000C000000}"/>
    <cellStyle name="Normal 5" xfId="36" xr:uid="{00000000-0005-0000-0000-00000D000000}"/>
    <cellStyle name="Normal_Shangri-La Offices Rental Schedule by 8 units--elevator060803_Shangri-La Offices - Rental Guideline &amp; Leasing Policy 060913draft 2" xfId="37" xr:uid="{00000000-0005-0000-0000-00000E000000}"/>
    <cellStyle name="百分比" xfId="17" builtinId="5"/>
    <cellStyle name="百分比 2" xfId="14" xr:uid="{00000000-0005-0000-0000-000010000000}"/>
    <cellStyle name="百分比 3" xfId="21" xr:uid="{00000000-0005-0000-0000-000011000000}"/>
    <cellStyle name="百分比 4" xfId="19" xr:uid="{00000000-0005-0000-0000-000012000000}"/>
    <cellStyle name="常规" xfId="0" builtinId="0"/>
    <cellStyle name="常规 10" xfId="38" xr:uid="{00000000-0005-0000-0000-000014000000}"/>
    <cellStyle name="常规 11" xfId="18" xr:uid="{00000000-0005-0000-0000-000015000000}"/>
    <cellStyle name="常规 12" xfId="39" xr:uid="{00000000-0005-0000-0000-000016000000}"/>
    <cellStyle name="常规 13" xfId="40" xr:uid="{00000000-0005-0000-0000-000017000000}"/>
    <cellStyle name="常规 14" xfId="41" xr:uid="{00000000-0005-0000-0000-000018000000}"/>
    <cellStyle name="常规 16" xfId="10" xr:uid="{00000000-0005-0000-0000-000019000000}"/>
    <cellStyle name="常规 2" xfId="1" xr:uid="{00000000-0005-0000-0000-00001A000000}"/>
    <cellStyle name="常规 2 2" xfId="8" xr:uid="{00000000-0005-0000-0000-00001B000000}"/>
    <cellStyle name="常规 2 2 2 2 3" xfId="15" xr:uid="{00000000-0005-0000-0000-00001C000000}"/>
    <cellStyle name="常规 2 3" xfId="20" xr:uid="{00000000-0005-0000-0000-00001D000000}"/>
    <cellStyle name="常规 3" xfId="2" xr:uid="{00000000-0005-0000-0000-00001E000000}"/>
    <cellStyle name="常规 3 2" xfId="3" xr:uid="{00000000-0005-0000-0000-00001F000000}"/>
    <cellStyle name="常规 3 2 2" xfId="42" xr:uid="{00000000-0005-0000-0000-000020000000}"/>
    <cellStyle name="常规 3 3" xfId="43" xr:uid="{00000000-0005-0000-0000-000021000000}"/>
    <cellStyle name="常规 4" xfId="4" xr:uid="{00000000-0005-0000-0000-000022000000}"/>
    <cellStyle name="常规 5" xfId="5" xr:uid="{00000000-0005-0000-0000-000023000000}"/>
    <cellStyle name="常规 6" xfId="6" xr:uid="{00000000-0005-0000-0000-000024000000}"/>
    <cellStyle name="常规 6 2" xfId="9" xr:uid="{00000000-0005-0000-0000-000025000000}"/>
    <cellStyle name="常规 6 2 2" xfId="16" xr:uid="{00000000-0005-0000-0000-000026000000}"/>
    <cellStyle name="常规 6 2 3" xfId="13" xr:uid="{00000000-0005-0000-0000-000027000000}"/>
    <cellStyle name="常规 7" xfId="7" xr:uid="{00000000-0005-0000-0000-000028000000}"/>
    <cellStyle name="常规 8" xfId="11" xr:uid="{00000000-0005-0000-0000-000029000000}"/>
    <cellStyle name="常规 9" xfId="12" xr:uid="{00000000-0005-0000-0000-00002A000000}"/>
    <cellStyle name="常规 9 2" xfId="44" xr:uid="{00000000-0005-0000-0000-00002B000000}"/>
    <cellStyle name="千位分隔 2" xfId="22" xr:uid="{00000000-0005-0000-0000-00002C000000}"/>
    <cellStyle name="千位分隔 2 2" xfId="45" xr:uid="{00000000-0005-0000-0000-00002D000000}"/>
    <cellStyle name="千位分隔 2 2 2" xfId="46" xr:uid="{00000000-0005-0000-0000-00002E000000}"/>
    <cellStyle name="千位分隔 2 3" xfId="47" xr:uid="{00000000-0005-0000-0000-00002F000000}"/>
    <cellStyle name="千位分隔 3" xfId="48" xr:uid="{00000000-0005-0000-0000-000030000000}"/>
    <cellStyle name="千位分隔 3 2" xfId="49" xr:uid="{00000000-0005-0000-0000-000031000000}"/>
    <cellStyle name="千位分隔 4" xfId="50" xr:uid="{00000000-0005-0000-0000-00003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北京市房地产抵押价值预评估</v>
      </c>
    </row>
    <row r="3" spans="1:2">
      <c r="A3" s="1118" t="s">
        <v>523</v>
      </c>
      <c r="B3" s="1119">
        <f>'预评函-封皮'!B40</f>
        <v>0</v>
      </c>
    </row>
    <row r="4" spans="1:2">
      <c r="A4" s="1118" t="s">
        <v>524</v>
      </c>
      <c r="B4" s="1119" t="str">
        <f ca="1">'预评函-封皮'!B46</f>
        <v>郑燚（注册号：1120070131)、崔锴（注册号：1120100036)</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受贵公司委托，我公司对北京市房地产抵押价值进行了预评估。</v>
      </c>
    </row>
    <row r="7" spans="1:2">
      <c r="A7" s="1118" t="s">
        <v>566</v>
      </c>
      <c r="B7" s="1119" t="str">
        <f>'预评函-1'!A7</f>
        <v>估价对象为北京市房地产，为所有。根据《国有土地使用证》[]，估价对象（分摊）出让国有建设用地使用权面积为3862.4平方米，建筑面积为17457.32平方米。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估价对象为北京市房地产,属开发建设的，该项目尚在开发建设中。根据《国有土地使用证》[]，估价对象（分摊）出让国有建设用地使用权面积为3862.4平方米，规划建筑面积为17457.32平方米。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2024年8月22日（评估专业人员实地查勘之日）</v>
      </c>
    </row>
    <row r="13" spans="1:2">
      <c r="A13" s="1118" t="s">
        <v>529</v>
      </c>
      <c r="B13" s="1119" t="str">
        <f>'预评函-1'!A18</f>
        <v>本次估价的“房地产价值”是指在正常市场情况下，在价值时点2024年8月22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6.2" thickBot="1">
      <c r="A18" s="1121" t="s">
        <v>534</v>
      </c>
      <c r="B18" s="1122" t="str">
        <f>'预评函-1'!A24</f>
        <v>本次评估采用的主估价方法为成本法和收益法。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50650</v>
      </c>
    </row>
    <row r="21" spans="1:2">
      <c r="A21" s="1118" t="s">
        <v>537</v>
      </c>
      <c r="B21" s="1119">
        <f ca="1">'预评函-2'!D7</f>
        <v>29014</v>
      </c>
    </row>
    <row r="22" spans="1:2">
      <c r="A22" s="1118" t="s">
        <v>538</v>
      </c>
      <c r="B22" s="1119" t="str">
        <f ca="1">'预评函-2'!D6</f>
        <v>伍亿零陆佰伍拾万元整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50650</v>
      </c>
    </row>
    <row r="31" spans="1:2">
      <c r="A31" s="1118" t="s">
        <v>576</v>
      </c>
      <c r="B31" s="1119">
        <f ca="1">'预评函-2'!D15</f>
        <v>29014</v>
      </c>
    </row>
    <row r="32" spans="1:2">
      <c r="A32" s="1118" t="s">
        <v>543</v>
      </c>
      <c r="B32" s="1119" t="str">
        <f ca="1">'预评函-2'!D14</f>
        <v>伍亿零陆佰伍拾万元整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4.抵押净值</v>
      </c>
    </row>
    <row r="38" spans="1:2">
      <c r="A38" s="1118" t="s">
        <v>597</v>
      </c>
      <c r="B38" s="1119">
        <f ca="1">'预评函-2'!D19</f>
        <v>45512</v>
      </c>
    </row>
    <row r="39" spans="1:2">
      <c r="A39" s="1118" t="s">
        <v>545</v>
      </c>
      <c r="B39" s="1119">
        <f ca="1">'预评函-2'!D21</f>
        <v>26070</v>
      </c>
    </row>
    <row r="40" spans="1:2">
      <c r="A40" s="1118" t="s">
        <v>546</v>
      </c>
      <c r="B40" s="1119" t="str">
        <f ca="1">'预评函-2'!D20</f>
        <v>肆亿伍仟伍佰壹拾贰万元整</v>
      </c>
    </row>
    <row r="41" spans="1:2">
      <c r="A41" s="1118" t="s">
        <v>592</v>
      </c>
      <c r="B41" s="1119" t="str">
        <f>'预评函-3'!A4</f>
        <v>北京市房地产</v>
      </c>
    </row>
    <row r="42" spans="1:2" ht="31.2">
      <c r="A42" s="1118" t="s">
        <v>590</v>
      </c>
      <c r="B42" s="1119" t="str">
        <f>'预评函-3'!B2</f>
        <v>建筑面积</v>
      </c>
    </row>
    <row r="43" spans="1:2">
      <c r="A43" s="1118" t="s">
        <v>591</v>
      </c>
      <c r="B43" s="1119">
        <f>'预评函-3'!B4</f>
        <v>17457.32</v>
      </c>
    </row>
    <row r="44" spans="1:2" ht="31.2">
      <c r="A44" s="1118" t="s">
        <v>575</v>
      </c>
      <c r="B44" s="1119" t="str">
        <f>'预评函-3'!C2</f>
        <v>(分摊)土地面积</v>
      </c>
    </row>
    <row r="45" spans="1:2">
      <c r="A45" s="1118" t="s">
        <v>547</v>
      </c>
      <c r="B45" s="1119">
        <f>'预评函-3'!C4</f>
        <v>3862.4</v>
      </c>
    </row>
    <row r="46" spans="1:2">
      <c r="A46" s="1118" t="s">
        <v>573</v>
      </c>
      <c r="B46" s="1119" t="str">
        <f>'预评函-3'!D2</f>
        <v>出让国有建设用地使用权价值</v>
      </c>
    </row>
    <row r="47" spans="1:2">
      <c r="A47" s="1118" t="s">
        <v>548</v>
      </c>
      <c r="B47" s="1119">
        <f ca="1">'预评函-3'!D4</f>
        <v>35658</v>
      </c>
    </row>
    <row r="48" spans="1:2">
      <c r="A48" s="1118" t="s">
        <v>549</v>
      </c>
      <c r="B48" s="1119">
        <f ca="1">'预评函-3'!E4</f>
        <v>20426</v>
      </c>
    </row>
    <row r="49" spans="1:2">
      <c r="A49" s="1118" t="s">
        <v>550</v>
      </c>
      <c r="B49" s="1119" t="str">
        <f ca="1">'预评函-3'!D5</f>
        <v>叁亿伍仟陆佰伍拾捌万元整</v>
      </c>
    </row>
    <row r="50" spans="1:2">
      <c r="A50" s="1118" t="s">
        <v>574</v>
      </c>
      <c r="B50" s="1119" t="str">
        <f>'预评函-3'!F2</f>
        <v>在建建筑物价值</v>
      </c>
    </row>
    <row r="51" spans="1:2">
      <c r="A51" s="1118" t="s">
        <v>551</v>
      </c>
      <c r="B51" s="1119">
        <f ca="1">'预评函-3'!F4</f>
        <v>14992</v>
      </c>
    </row>
    <row r="52" spans="1:2">
      <c r="A52" s="1118" t="s">
        <v>552</v>
      </c>
      <c r="B52" s="1119">
        <f ca="1">'预评函-3'!G4</f>
        <v>8588</v>
      </c>
    </row>
    <row r="53" spans="1:2">
      <c r="A53" s="1118" t="s">
        <v>580</v>
      </c>
      <c r="B53" s="1119" t="str">
        <f ca="1">'预评函-3'!F5</f>
        <v>壹亿肆仟玖佰玖拾贰万元整</v>
      </c>
    </row>
    <row r="54" spans="1:2">
      <c r="A54" s="1118" t="s">
        <v>598</v>
      </c>
      <c r="B54" s="1119" t="str">
        <f>'预评函-3'!A8</f>
        <v>房地产抵押价值</v>
      </c>
    </row>
    <row r="55" spans="1:2">
      <c r="A55" s="1118" t="s">
        <v>581</v>
      </c>
      <c r="B55" s="1119" t="str">
        <f>'预评函-3'!A10</f>
        <v/>
      </c>
    </row>
    <row r="56" spans="1:2">
      <c r="A56" s="1118" t="s">
        <v>582</v>
      </c>
      <c r="B56" s="1119" t="str">
        <f>'预评函-3'!A12</f>
        <v>抵押净值</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t="str">
        <f>'预评函-4'!A4</f>
        <v>郑燚</v>
      </c>
    </row>
    <row r="71" spans="1:2">
      <c r="A71" s="1118" t="s">
        <v>563</v>
      </c>
      <c r="B71" s="1119">
        <f ca="1">'预评函-4'!B4</f>
        <v>1120070131</v>
      </c>
    </row>
    <row r="72" spans="1:2">
      <c r="A72" s="1118" t="s">
        <v>564</v>
      </c>
      <c r="B72" s="1126" t="str">
        <f>'预评函-4'!A5</f>
        <v>崔锴</v>
      </c>
    </row>
    <row r="73" spans="1:2" s="1114" customFormat="1" ht="16.2" thickBot="1">
      <c r="A73" s="1121" t="s">
        <v>565</v>
      </c>
      <c r="B73" s="1122">
        <f ca="1">'预评函-4'!B5</f>
        <v>1120100036</v>
      </c>
    </row>
    <row r="74" spans="1:2" ht="16.2"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73" t="str">
        <f>项目基本情况!B1</f>
        <v>北京市房地产抵押价值预评估</v>
      </c>
      <c r="C37" s="3173"/>
      <c r="D37" s="3173"/>
      <c r="E37" s="3173"/>
      <c r="F37" s="3173"/>
      <c r="G37" s="3173"/>
      <c r="H37" s="3173"/>
      <c r="I37" s="3173"/>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c r="B46" s="1377" t="str">
        <f ca="1">项目基本情况!K4</f>
        <v>郑燚（注册号：1120070131)、崔锴（注册号：1120100036)</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79" t="s">
        <v>898</v>
      </c>
    </row>
    <row r="3" spans="1:1" ht="17.399999999999999">
      <c r="A3" s="1380" t="str">
        <f>项目基本情况!B5&amp;"："</f>
        <v>：</v>
      </c>
    </row>
    <row r="4" spans="1:1" ht="17.399999999999999">
      <c r="A4" s="1381" t="str">
        <f>"受贵公司委托，我公司对"&amp;项目基本情况!S1&amp;"进行了预评估。"</f>
        <v>受贵公司委托，我公司对北京市房地产抵押价值进行了预评估。</v>
      </c>
    </row>
    <row r="5" spans="1:1" ht="17.399999999999999">
      <c r="A5" s="1382" t="s">
        <v>899</v>
      </c>
    </row>
    <row r="6" spans="1:1" ht="17.399999999999999">
      <c r="A6" s="1383" t="s">
        <v>900</v>
      </c>
    </row>
    <row r="7" spans="1:1" ht="52.2">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估价对象为北京市房地产，为所有。根据《国有土地使用证》[]，估价对象（分摊）出让国有建设用地使用权面积为3862.4平方米，建筑面积为17457.32平方米。</v>
      </c>
    </row>
    <row r="8" spans="1:1" ht="54.6">
      <c r="A8" s="1384" t="s">
        <v>901</v>
      </c>
    </row>
    <row r="9" spans="1:1" ht="17.399999999999999">
      <c r="A9" s="1383" t="s">
        <v>902</v>
      </c>
    </row>
    <row r="10" spans="1:1" ht="52.2">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估价对象为北京市房地产,属开发建设的，该项目尚在开发建设中。根据《国有土地使用证》[]，估价对象（分摊）出让国有建设用地使用权面积为3862.4平方米，规划建筑面积为17457.32平方米。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2024年8月22日（评估专业人员实地查勘之日）</v>
      </c>
    </row>
    <row r="16" spans="1:1" ht="17.399999999999999">
      <c r="A16" s="1380" t="s">
        <v>906</v>
      </c>
    </row>
    <row r="17" spans="1:1" ht="69.599999999999994">
      <c r="A17" s="1381" t="s">
        <v>907</v>
      </c>
    </row>
    <row r="18" spans="1:1" ht="69.59999999999999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22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0" t="s">
        <v>896</v>
      </c>
    </row>
    <row r="24" spans="1:1" ht="17.399999999999999">
      <c r="A24" s="1386" t="str">
        <f>"本次评估采用的主估价方法为"&amp;结果表!K4&amp;"和"&amp;结果表!L4&amp;"。"</f>
        <v>本次评估采用的主估价方法为成本法和收益法。</v>
      </c>
    </row>
    <row r="25" spans="1:1" ht="17.399999999999999">
      <c r="A25" s="1386"/>
    </row>
    <row r="26" spans="1:1" ht="17.399999999999999">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1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8"/>
      <c r="C2" s="3178"/>
      <c r="D2" s="3178"/>
      <c r="E2" s="3178"/>
    </row>
    <row r="3" spans="1:5" ht="17.399999999999999">
      <c r="A3" s="3179" t="str">
        <f>IF(项目基本情况!B9="房地产市场价值","估价结果一览表（市场价值不需“结果表-1”）","估价结果一览表")</f>
        <v>估价结果一览表</v>
      </c>
      <c r="B3" s="3179"/>
      <c r="C3" s="3179"/>
      <c r="D3" s="3179"/>
      <c r="E3" s="3179"/>
    </row>
    <row r="4" spans="1:5" ht="18" thickBot="1">
      <c r="A4" s="1390"/>
      <c r="B4" s="3177" t="s">
        <v>917</v>
      </c>
      <c r="C4" s="3177"/>
      <c r="D4" s="3177"/>
      <c r="E4" s="1390"/>
    </row>
    <row r="5" spans="1:5" ht="16.2" thickTop="1">
      <c r="B5" s="3175" t="s">
        <v>909</v>
      </c>
      <c r="C5" s="1391" t="s">
        <v>910</v>
      </c>
      <c r="D5" s="797">
        <f ca="1">结果表!H101</f>
        <v>50650</v>
      </c>
    </row>
    <row r="6" spans="1:5" ht="15.6">
      <c r="B6" s="3175"/>
      <c r="C6" s="1391" t="s">
        <v>911</v>
      </c>
      <c r="D6" s="797" t="str">
        <f ca="1">NUMBERSTRING(INT(D5*10000),2)&amp;"元整"</f>
        <v>伍亿零陆佰伍拾万元整</v>
      </c>
    </row>
    <row r="7" spans="1:5" ht="15.6">
      <c r="B7" s="3180"/>
      <c r="C7" s="1392" t="s">
        <v>912</v>
      </c>
      <c r="D7" s="798">
        <f ca="1">结果表!H102</f>
        <v>29014</v>
      </c>
    </row>
    <row r="8" spans="1:5" ht="15.6">
      <c r="B8" s="3181" t="str">
        <f>结果表!E103</f>
        <v>2.估价师知悉的法定优先受偿款</v>
      </c>
      <c r="C8" s="1393" t="s">
        <v>913</v>
      </c>
      <c r="D8" s="798">
        <f>结果表!H103</f>
        <v>0</v>
      </c>
    </row>
    <row r="9" spans="1:5" ht="15.6">
      <c r="B9" s="3183"/>
      <c r="C9" s="1391" t="s">
        <v>911</v>
      </c>
      <c r="D9" s="797" t="str">
        <f>NUMBERSTRING(INT(D8*10000),2)&amp;"元整"</f>
        <v>零元整</v>
      </c>
    </row>
    <row r="10" spans="1:5" ht="15.6">
      <c r="B10" s="1394" t="s">
        <v>916</v>
      </c>
      <c r="C10" s="1395" t="s">
        <v>914</v>
      </c>
      <c r="D10" s="799">
        <f>结果表!H104</f>
        <v>0</v>
      </c>
    </row>
    <row r="11" spans="1:5" ht="15.6">
      <c r="B11" s="1394" t="s">
        <v>918</v>
      </c>
      <c r="C11" s="1395" t="s">
        <v>919</v>
      </c>
      <c r="D11" s="799">
        <f>结果表!H105</f>
        <v>0</v>
      </c>
    </row>
    <row r="12" spans="1:5" ht="15.6">
      <c r="B12" s="1394" t="s">
        <v>920</v>
      </c>
      <c r="C12" s="1395" t="s">
        <v>919</v>
      </c>
      <c r="D12" s="799">
        <f>结果表!H106</f>
        <v>0</v>
      </c>
    </row>
    <row r="13" spans="1:5" ht="15.6">
      <c r="B13" s="3174" t="str">
        <f>结果表!E107</f>
        <v>3.房地产抵押价值</v>
      </c>
      <c r="C13" s="1396" t="s">
        <v>910</v>
      </c>
      <c r="D13" s="800">
        <f ca="1">结果表!H107</f>
        <v>50650</v>
      </c>
    </row>
    <row r="14" spans="1:5" ht="15.6">
      <c r="B14" s="3175"/>
      <c r="C14" s="1391" t="s">
        <v>911</v>
      </c>
      <c r="D14" s="797" t="str">
        <f ca="1">NUMBERSTRING(INT(D13*10000),2)&amp;"元整"</f>
        <v>伍亿零陆佰伍拾万元整</v>
      </c>
    </row>
    <row r="15" spans="1:5" ht="15.6">
      <c r="B15" s="3180"/>
      <c r="C15" s="1392" t="s">
        <v>921</v>
      </c>
      <c r="D15" s="806">
        <f ca="1">结果表!H108</f>
        <v>29014</v>
      </c>
    </row>
    <row r="16" spans="1:5" ht="15.6">
      <c r="B16" s="3181" t="str">
        <f>结果表!E109</f>
        <v>——</v>
      </c>
      <c r="C16" s="1396" t="s">
        <v>922</v>
      </c>
      <c r="D16" s="1397" t="str">
        <f>结果表!H109</f>
        <v>——</v>
      </c>
    </row>
    <row r="17" spans="1:5" ht="15.6">
      <c r="B17" s="3182"/>
      <c r="C17" s="1391" t="s">
        <v>923</v>
      </c>
      <c r="D17" s="797" t="e">
        <f>NUMBERSTRING(INT(D16*10000),2)&amp;"元整"</f>
        <v>#VALUE!</v>
      </c>
    </row>
    <row r="18" spans="1:5" ht="15.6">
      <c r="B18" s="3183"/>
      <c r="C18" s="1392" t="s">
        <v>912</v>
      </c>
      <c r="D18" s="806" t="str">
        <f>结果表!H110</f>
        <v>——</v>
      </c>
    </row>
    <row r="19" spans="1:5" ht="15.6">
      <c r="B19" s="3174" t="str">
        <f>结果表!E111</f>
        <v>4.抵押净值</v>
      </c>
      <c r="C19" s="1396" t="s">
        <v>910</v>
      </c>
      <c r="D19" s="798">
        <f ca="1">结果表!H111</f>
        <v>45512</v>
      </c>
    </row>
    <row r="20" spans="1:5" ht="15.6">
      <c r="B20" s="3175"/>
      <c r="C20" s="1391" t="s">
        <v>923</v>
      </c>
      <c r="D20" s="797" t="str">
        <f ca="1">NUMBERSTRING(INT(D19*10000),2)&amp;"元整"</f>
        <v>肆亿伍仟伍佰壹拾贰万元整</v>
      </c>
    </row>
    <row r="21" spans="1:5" ht="16.2" thickBot="1">
      <c r="B21" s="3176"/>
      <c r="C21" s="1398" t="s">
        <v>921</v>
      </c>
      <c r="D21" s="807">
        <f ca="1">结果表!H112</f>
        <v>26070</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91" t="str">
        <f>IF(项目基本情况!B9="房地产市场价值","估价结果一览表","结果表-2")</f>
        <v>结果表-2</v>
      </c>
      <c r="B1" s="3191"/>
      <c r="C1" s="3191"/>
      <c r="D1" s="3191"/>
      <c r="E1" s="3191"/>
      <c r="F1" s="3191"/>
      <c r="G1" s="3191"/>
      <c r="H1" s="3191"/>
      <c r="I1" s="3191"/>
    </row>
    <row r="2" spans="1:9" ht="30" customHeight="1" thickTop="1">
      <c r="A2" s="3192" t="s">
        <v>928</v>
      </c>
      <c r="B2" s="3192" t="s">
        <v>929</v>
      </c>
      <c r="C2" s="3192" t="s">
        <v>930</v>
      </c>
      <c r="D2" s="3192" t="str">
        <f>结果表!D116</f>
        <v>出让国有建设用地使用权价值</v>
      </c>
      <c r="E2" s="3192"/>
      <c r="F2" s="3192" t="str">
        <f>结果表!F116</f>
        <v>在建建筑物价值</v>
      </c>
      <c r="G2" s="3192"/>
      <c r="H2" s="3192" t="str">
        <f>IF(项目基本情况!B9="房地产市场价值","房地产市场价值","房地产价值")</f>
        <v>房地产价值</v>
      </c>
      <c r="I2" s="3192"/>
    </row>
    <row r="3" spans="1:9" ht="15.6">
      <c r="A3" s="3187"/>
      <c r="B3" s="3187"/>
      <c r="C3" s="3187"/>
      <c r="D3" s="801" t="s">
        <v>925</v>
      </c>
      <c r="E3" s="801" t="s">
        <v>931</v>
      </c>
      <c r="F3" s="801" t="s">
        <v>925</v>
      </c>
      <c r="G3" s="801" t="s">
        <v>926</v>
      </c>
      <c r="H3" s="801" t="s">
        <v>925</v>
      </c>
      <c r="I3" s="801" t="s">
        <v>926</v>
      </c>
    </row>
    <row r="4" spans="1:9" ht="15">
      <c r="A4" s="1402" t="str">
        <f>项目基本情况!S2</f>
        <v>北京市房地产</v>
      </c>
      <c r="B4" s="801">
        <f>项目基本情况!C17</f>
        <v>17457.32</v>
      </c>
      <c r="C4" s="801">
        <f>项目基本情况!C18</f>
        <v>3862.4</v>
      </c>
      <c r="D4" s="801">
        <f ca="1">结果表!D118</f>
        <v>35658</v>
      </c>
      <c r="E4" s="801">
        <f ca="1">结果表!E118</f>
        <v>20426</v>
      </c>
      <c r="F4" s="801">
        <f ca="1">结果表!F118</f>
        <v>14992</v>
      </c>
      <c r="G4" s="801">
        <f ca="1">结果表!G118</f>
        <v>8588</v>
      </c>
      <c r="H4" s="801">
        <f ca="1">结果表!H118</f>
        <v>50650</v>
      </c>
      <c r="I4" s="801">
        <f ca="1">结果表!I118</f>
        <v>29014</v>
      </c>
    </row>
    <row r="5" spans="1:9" ht="30" customHeight="1">
      <c r="A5" s="3187" t="s">
        <v>927</v>
      </c>
      <c r="B5" s="3187"/>
      <c r="C5" s="3187"/>
      <c r="D5" s="3187" t="str">
        <f ca="1">结果表!D119</f>
        <v>叁亿伍仟陆佰伍拾捌万元整</v>
      </c>
      <c r="E5" s="3187"/>
      <c r="F5" s="3187" t="str">
        <f ca="1">结果表!F119</f>
        <v>壹亿肆仟玖佰玖拾贰万元整</v>
      </c>
      <c r="G5" s="3187"/>
      <c r="H5" s="3187" t="str">
        <f ca="1">结果表!H119</f>
        <v>伍亿零陆佰伍拾万元整</v>
      </c>
      <c r="I5" s="3187"/>
    </row>
    <row r="6" spans="1:9" ht="15.6">
      <c r="A6" s="3186" t="str">
        <f>结果表!A120</f>
        <v>估价师知悉的法定优先受偿款</v>
      </c>
      <c r="B6" s="3186"/>
      <c r="C6" s="3186"/>
      <c r="D6" s="3186">
        <f>结果表!D120</f>
        <v>0</v>
      </c>
      <c r="E6" s="3186"/>
      <c r="F6" s="3186"/>
      <c r="G6" s="3186"/>
      <c r="H6" s="3186"/>
      <c r="I6" s="3186"/>
    </row>
    <row r="7" spans="1:9" ht="15">
      <c r="A7" s="3187" t="s">
        <v>927</v>
      </c>
      <c r="B7" s="3187"/>
      <c r="C7" s="3187"/>
      <c r="D7" s="3188" t="str">
        <f>结果表!D121</f>
        <v>零元整</v>
      </c>
      <c r="E7" s="3189"/>
      <c r="F7" s="3189"/>
      <c r="G7" s="3189"/>
      <c r="H7" s="3189"/>
      <c r="I7" s="3190"/>
    </row>
    <row r="8" spans="1:9" ht="15.6">
      <c r="A8" s="3186" t="str">
        <f>结果表!A122</f>
        <v>房地产抵押价值</v>
      </c>
      <c r="B8" s="3186"/>
      <c r="C8" s="3186"/>
      <c r="D8" s="3186">
        <f ca="1">结果表!D122</f>
        <v>50650</v>
      </c>
      <c r="E8" s="3186"/>
      <c r="F8" s="3186"/>
      <c r="G8" s="3186"/>
      <c r="H8" s="3186"/>
      <c r="I8" s="3186"/>
    </row>
    <row r="9" spans="1:9" ht="15">
      <c r="A9" s="3187" t="s">
        <v>927</v>
      </c>
      <c r="B9" s="3187"/>
      <c r="C9" s="3187"/>
      <c r="D9" s="3187" t="str">
        <f ca="1">结果表!D123</f>
        <v>伍亿零陆佰伍拾万元整</v>
      </c>
      <c r="E9" s="3187"/>
      <c r="F9" s="3187"/>
      <c r="G9" s="3187"/>
      <c r="H9" s="3187"/>
      <c r="I9" s="3187"/>
    </row>
    <row r="10" spans="1:9" ht="15.6">
      <c r="A10" s="3186" t="str">
        <f>结果表!A124</f>
        <v/>
      </c>
      <c r="B10" s="3186"/>
      <c r="C10" s="3186"/>
      <c r="D10" s="3186" t="str">
        <f>结果表!D124</f>
        <v>——</v>
      </c>
      <c r="E10" s="3186"/>
      <c r="F10" s="3186"/>
      <c r="G10" s="3186"/>
      <c r="H10" s="3186"/>
      <c r="I10" s="3186"/>
    </row>
    <row r="11" spans="1:9" ht="15">
      <c r="A11" s="3187" t="s">
        <v>927</v>
      </c>
      <c r="B11" s="3187"/>
      <c r="C11" s="3187"/>
      <c r="D11" s="3187" t="e">
        <f>结果表!D125</f>
        <v>#VALUE!</v>
      </c>
      <c r="E11" s="3187"/>
      <c r="F11" s="3187"/>
      <c r="G11" s="3187"/>
      <c r="H11" s="3187"/>
      <c r="I11" s="3187"/>
    </row>
    <row r="12" spans="1:9" ht="15.6">
      <c r="A12" s="3186" t="str">
        <f>结果表!A126</f>
        <v>抵押净值</v>
      </c>
      <c r="B12" s="3186"/>
      <c r="C12" s="3186"/>
      <c r="D12" s="3186">
        <f ca="1">结果表!D126</f>
        <v>45512</v>
      </c>
      <c r="E12" s="3186"/>
      <c r="F12" s="3186"/>
      <c r="G12" s="3186"/>
      <c r="H12" s="3186"/>
      <c r="I12" s="3186"/>
    </row>
    <row r="13" spans="1:9" ht="15.6" thickBot="1">
      <c r="A13" s="3184" t="s">
        <v>927</v>
      </c>
      <c r="B13" s="3184"/>
      <c r="C13" s="3184"/>
      <c r="D13" s="3184" t="str">
        <f ca="1">结果表!D127</f>
        <v>肆亿伍仟伍佰壹拾贰万元整</v>
      </c>
      <c r="E13" s="3184"/>
      <c r="F13" s="3184"/>
      <c r="G13" s="3184"/>
      <c r="H13" s="3184"/>
      <c r="I13" s="3184"/>
    </row>
    <row r="14" spans="1:9" ht="14.4" thickTop="1">
      <c r="A14" s="3185" t="s">
        <v>932</v>
      </c>
      <c r="B14" s="3185"/>
      <c r="C14" s="3185"/>
      <c r="D14" s="3185"/>
      <c r="E14" s="3185"/>
      <c r="F14" s="3185"/>
      <c r="G14" s="3185"/>
      <c r="H14" s="3185"/>
      <c r="I14" s="3185"/>
    </row>
    <row r="16" spans="1:9" ht="17.399999999999999">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9" t="s">
        <v>949</v>
      </c>
      <c r="B1" s="3199"/>
      <c r="C1" s="3199"/>
      <c r="D1" s="3199"/>
    </row>
    <row r="2" spans="1:4" ht="17.399999999999999">
      <c r="A2" s="3200" t="s">
        <v>933</v>
      </c>
      <c r="B2" s="3200"/>
      <c r="C2" s="3200"/>
      <c r="D2" s="3200"/>
    </row>
    <row r="3" spans="1:4" ht="17.399999999999999">
      <c r="A3" s="1406" t="s">
        <v>934</v>
      </c>
      <c r="B3" s="1406" t="s">
        <v>935</v>
      </c>
      <c r="C3" s="1406" t="s">
        <v>936</v>
      </c>
      <c r="D3" s="1406" t="s">
        <v>937</v>
      </c>
    </row>
    <row r="4" spans="1:4" ht="56.25" customHeight="1">
      <c r="A4" s="1407" t="str">
        <f>项目基本情况!B4</f>
        <v>郑燚</v>
      </c>
      <c r="B4" s="1408">
        <f ca="1">项目基本情况!C4</f>
        <v>1120070131</v>
      </c>
      <c r="C4" s="1409"/>
      <c r="D4" s="1410" t="s">
        <v>938</v>
      </c>
    </row>
    <row r="5" spans="1:4" ht="56.25" customHeight="1">
      <c r="A5" s="1407" t="str">
        <f>项目基本情况!D4</f>
        <v>崔锴</v>
      </c>
      <c r="B5" s="1408">
        <f ca="1">项目基本情况!E4</f>
        <v>1120100036</v>
      </c>
      <c r="C5" s="1411"/>
      <c r="D5" s="1410" t="s">
        <v>938</v>
      </c>
    </row>
    <row r="6" spans="1:4" ht="17.399999999999999">
      <c r="A6" s="3200" t="s">
        <v>939</v>
      </c>
      <c r="B6" s="3200"/>
      <c r="C6" s="3200"/>
      <c r="D6" s="3200"/>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201" t="s">
        <v>942</v>
      </c>
      <c r="B11" s="3193"/>
      <c r="C11" s="3193"/>
      <c r="D11" s="3193"/>
    </row>
    <row r="12" spans="1:4" ht="15.6">
      <c r="A12" s="31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8"/>
      <c r="C12" s="3198"/>
      <c r="D12" s="3198"/>
    </row>
    <row r="13" spans="1:4" ht="30" customHeight="1">
      <c r="A13" s="31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8"/>
      <c r="C13" s="3198"/>
      <c r="D13" s="3198"/>
    </row>
    <row r="14" spans="1:4" ht="15.75" customHeight="1">
      <c r="A14" s="3193" t="str">
        <f>IF(项目基本情况!B8="抵押","4.本次评估估价师所知悉的法定优先受偿款情况说明如下：","——")</f>
        <v>4.本次评估估价师所知悉的法定优先受偿款情况说明如下：</v>
      </c>
      <c r="B14" s="3198"/>
      <c r="C14" s="3198"/>
      <c r="D14" s="3198"/>
    </row>
    <row r="15" spans="1:4" ht="42" customHeight="1">
      <c r="A15" s="31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3"/>
      <c r="C15" s="3193"/>
      <c r="D15" s="3193"/>
    </row>
    <row r="16" spans="1:4" ht="30" customHeight="1">
      <c r="A16" s="3195" t="s">
        <v>943</v>
      </c>
      <c r="B16" s="3195"/>
      <c r="C16" s="3195"/>
      <c r="D16" s="3195"/>
    </row>
    <row r="17" spans="1:4" ht="144" customHeight="1">
      <c r="A17" s="3195" t="s">
        <v>944</v>
      </c>
      <c r="B17" s="3195"/>
      <c r="C17" s="3195"/>
      <c r="D17" s="3195"/>
    </row>
    <row r="18" spans="1:4" ht="15.75" customHeight="1">
      <c r="A18" s="3193" t="str">
        <f>IF(项目基本情况!B8="抵押",结果表!K120,"——")</f>
        <v>故，本次评估不存在估价师知悉的法定优先受偿款</v>
      </c>
      <c r="B18" s="3193"/>
      <c r="C18" s="3193"/>
      <c r="D18" s="3193"/>
    </row>
    <row r="19" spans="1:4" ht="46.5" customHeight="1">
      <c r="A19" s="31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3"/>
      <c r="C19" s="3193"/>
      <c r="D19" s="3193"/>
    </row>
    <row r="20" spans="1:4" ht="57.75" customHeight="1">
      <c r="A20" s="31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3"/>
      <c r="C20" s="3193"/>
      <c r="D20" s="3193"/>
    </row>
    <row r="21" spans="1:4" ht="57.75" customHeight="1">
      <c r="A21" s="31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6"/>
      <c r="C21" s="3196"/>
      <c r="D21" s="3196"/>
    </row>
    <row r="22" spans="1:4" ht="18.75" customHeight="1">
      <c r="A22" s="3197" t="s">
        <v>945</v>
      </c>
      <c r="B22" s="3197"/>
      <c r="C22" s="3197"/>
      <c r="D22" s="3197"/>
    </row>
    <row r="23" spans="1:4">
      <c r="A23" s="1414"/>
      <c r="B23" s="459"/>
      <c r="C23" s="459"/>
      <c r="D23" s="459"/>
    </row>
    <row r="24" spans="1:4">
      <c r="A24" s="1414"/>
      <c r="B24" s="459"/>
      <c r="C24" s="459"/>
      <c r="D24" s="459"/>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194">
        <v>42551</v>
      </c>
      <c r="D31" s="31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207" t="s">
        <v>956</v>
      </c>
      <c r="B15" s="3202" t="s">
        <v>109</v>
      </c>
      <c r="C15" s="3203"/>
    </row>
    <row r="16" spans="1:7" ht="14.4">
      <c r="A16" s="3208"/>
      <c r="B16" s="3202" t="s">
        <v>42</v>
      </c>
      <c r="C16" s="3203"/>
    </row>
    <row r="17" spans="1:3" ht="14.4">
      <c r="A17" s="3208"/>
      <c r="B17" s="3205" t="s">
        <v>957</v>
      </c>
      <c r="C17" s="1428" t="s">
        <v>956</v>
      </c>
    </row>
    <row r="18" spans="1:3" ht="14.4">
      <c r="A18" s="3208"/>
      <c r="B18" s="3205"/>
      <c r="C18" s="1428" t="s">
        <v>958</v>
      </c>
    </row>
    <row r="19" spans="1:3" ht="14.4">
      <c r="A19" s="3208"/>
      <c r="B19" s="3205"/>
      <c r="C19" s="1428" t="s">
        <v>959</v>
      </c>
    </row>
    <row r="20" spans="1:3" ht="14.4">
      <c r="A20" s="3209"/>
      <c r="B20" s="3204" t="s">
        <v>960</v>
      </c>
      <c r="C20" s="3203"/>
    </row>
    <row r="21" spans="1:3" ht="14.4">
      <c r="A21" s="1429" t="s">
        <v>961</v>
      </c>
      <c r="B21" s="1430"/>
      <c r="C21" s="1431"/>
    </row>
    <row r="22" spans="1:3" ht="14.4">
      <c r="A22" s="3206" t="s">
        <v>962</v>
      </c>
      <c r="B22" s="3204" t="s">
        <v>963</v>
      </c>
      <c r="C22" s="3203"/>
    </row>
    <row r="23" spans="1:3" ht="14.4">
      <c r="A23" s="3206"/>
      <c r="B23" s="3204" t="s">
        <v>964</v>
      </c>
      <c r="C23" s="3203"/>
    </row>
    <row r="24" spans="1:3" ht="14.4">
      <c r="A24" s="3206"/>
      <c r="B24" s="3204" t="s">
        <v>965</v>
      </c>
      <c r="C24" s="3203"/>
    </row>
    <row r="25" spans="1:3" ht="14.4">
      <c r="A25" s="3206"/>
      <c r="B25" s="3205" t="s">
        <v>966</v>
      </c>
      <c r="C25" s="1428" t="s">
        <v>967</v>
      </c>
    </row>
    <row r="26" spans="1:3" ht="14.4">
      <c r="A26" s="3206"/>
      <c r="B26" s="3205"/>
      <c r="C26" s="1428" t="s">
        <v>968</v>
      </c>
    </row>
    <row r="27" spans="1:3" ht="14.4">
      <c r="A27" s="3206"/>
      <c r="B27" s="3205"/>
      <c r="C27" s="1428" t="s">
        <v>969</v>
      </c>
    </row>
    <row r="28" spans="1:3" ht="14.4">
      <c r="A28" s="3206"/>
      <c r="B28" s="3205"/>
      <c r="C28" s="1428" t="s">
        <v>970</v>
      </c>
    </row>
    <row r="29" spans="1:3" ht="14.4">
      <c r="A29" s="3206"/>
      <c r="B29" s="3205"/>
      <c r="C29" s="1428" t="s">
        <v>971</v>
      </c>
    </row>
    <row r="30" spans="1:3" ht="14.4">
      <c r="A30" s="3206"/>
      <c r="B30" s="3205"/>
      <c r="C30" s="1428" t="s">
        <v>972</v>
      </c>
    </row>
    <row r="31" spans="1:3" ht="14.4">
      <c r="A31" s="3206"/>
      <c r="B31" s="3205"/>
      <c r="C31" s="1428" t="s">
        <v>973</v>
      </c>
    </row>
    <row r="32" spans="1:3" ht="14.4">
      <c r="A32" s="3206"/>
      <c r="B32" s="3205"/>
      <c r="C32" s="1428" t="s">
        <v>974</v>
      </c>
    </row>
    <row r="33" spans="1:3" ht="14.4">
      <c r="A33" s="3206"/>
      <c r="B33" s="3205"/>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45663</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t="str">
        <f ca="1">IF(C9&lt;B2,"已过期",1120060040)</f>
        <v>已过期</v>
      </c>
      <c r="C9" s="2166">
        <v>45592</v>
      </c>
      <c r="D9" s="2162" t="str">
        <f t="shared" ca="1" si="0"/>
        <v>陈颖（注册号：已过期）</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2437</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10" t="s">
        <v>2160</v>
      </c>
      <c r="B17" s="3210"/>
      <c r="C17" s="3210"/>
      <c r="D17" s="3210"/>
      <c r="E17" s="3210"/>
      <c r="F17" s="3210"/>
      <c r="G17" s="3210"/>
      <c r="H17" s="3210"/>
    </row>
    <row r="18" spans="1:8" ht="24" customHeight="1">
      <c r="A18" s="3211" t="s">
        <v>2161</v>
      </c>
      <c r="B18" s="3211"/>
      <c r="C18" s="3211"/>
      <c r="D18" s="2159"/>
      <c r="E18" s="3212" t="s">
        <v>2162</v>
      </c>
      <c r="F18" s="3211"/>
      <c r="G18" s="3211"/>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0" workbookViewId="0">
      <selection activeCell="I2" sqref="I2:I15"/>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3351</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3337</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3338</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3339</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3340</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3341</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3342</v>
      </c>
    </row>
    <row r="8" spans="1:23">
      <c r="A8" s="1440" t="s">
        <v>1026</v>
      </c>
      <c r="B8" s="1440" t="s">
        <v>1027</v>
      </c>
      <c r="C8" s="1441" t="s">
        <v>319</v>
      </c>
      <c r="F8" s="1442" t="s">
        <v>1028</v>
      </c>
      <c r="H8" s="1442" t="s">
        <v>2577</v>
      </c>
      <c r="I8" s="1442" t="s">
        <v>3343</v>
      </c>
    </row>
    <row r="9" spans="1:23">
      <c r="A9" s="1440" t="s">
        <v>1029</v>
      </c>
      <c r="B9" s="1440" t="s">
        <v>1030</v>
      </c>
      <c r="C9" s="1441" t="s">
        <v>320</v>
      </c>
      <c r="F9" s="1442" t="s">
        <v>1031</v>
      </c>
      <c r="H9" s="1442"/>
      <c r="I9" s="1444" t="s">
        <v>3344</v>
      </c>
    </row>
    <row r="10" spans="1:23">
      <c r="A10" s="1440" t="s">
        <v>1032</v>
      </c>
      <c r="B10" s="1440" t="s">
        <v>1033</v>
      </c>
      <c r="C10" s="1441" t="s">
        <v>321</v>
      </c>
      <c r="F10" s="1442" t="s">
        <v>2578</v>
      </c>
      <c r="I10" s="1444" t="s">
        <v>3345</v>
      </c>
    </row>
    <row r="11" spans="1:23">
      <c r="A11" s="1440" t="s">
        <v>1034</v>
      </c>
      <c r="B11" s="1440" t="s">
        <v>1035</v>
      </c>
      <c r="C11" s="1441" t="s">
        <v>322</v>
      </c>
      <c r="F11" s="1442" t="s">
        <v>13</v>
      </c>
      <c r="I11" s="1444" t="s">
        <v>3346</v>
      </c>
    </row>
    <row r="12" spans="1:23">
      <c r="A12" s="1440" t="s">
        <v>1036</v>
      </c>
      <c r="B12" s="1440" t="s">
        <v>1037</v>
      </c>
      <c r="C12" s="1441" t="s">
        <v>323</v>
      </c>
      <c r="I12" s="1444" t="s">
        <v>3347</v>
      </c>
    </row>
    <row r="13" spans="1:23">
      <c r="A13" s="1440" t="s">
        <v>1038</v>
      </c>
      <c r="B13" s="1440" t="s">
        <v>1039</v>
      </c>
      <c r="C13" s="1441" t="s">
        <v>324</v>
      </c>
      <c r="I13" s="1444" t="s">
        <v>3348</v>
      </c>
    </row>
    <row r="14" spans="1:23">
      <c r="A14" s="1440" t="s">
        <v>1040</v>
      </c>
      <c r="B14" s="1440" t="s">
        <v>1041</v>
      </c>
      <c r="C14" s="1442" t="s">
        <v>13</v>
      </c>
      <c r="I14" s="1444" t="s">
        <v>3349</v>
      </c>
    </row>
    <row r="15" spans="1:23">
      <c r="A15" s="1440" t="s">
        <v>1042</v>
      </c>
      <c r="B15" s="1440" t="s">
        <v>1043</v>
      </c>
      <c r="C15" s="1441"/>
      <c r="I15" s="1444" t="s">
        <v>3350</v>
      </c>
    </row>
    <row r="16" spans="1:23">
      <c r="A16" s="1440" t="s">
        <v>1044</v>
      </c>
      <c r="B16" s="1440" t="s">
        <v>312</v>
      </c>
      <c r="C16" s="1441"/>
    </row>
    <row r="17" spans="1:3">
      <c r="A17" s="1440" t="s">
        <v>1045</v>
      </c>
      <c r="B17" s="1440" t="s">
        <v>2291</v>
      </c>
      <c r="C17" s="1441"/>
    </row>
    <row r="18" spans="1:3">
      <c r="A18" s="1440" t="s">
        <v>1046</v>
      </c>
      <c r="B18" s="1440" t="s">
        <v>2433</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13"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3"/>
      <c r="B54" s="1446" t="s">
        <v>385</v>
      </c>
      <c r="C54" s="1444" t="s">
        <v>583</v>
      </c>
    </row>
    <row r="55" spans="1:4">
      <c r="A55" s="3213"/>
      <c r="B55" s="1446" t="s">
        <v>386</v>
      </c>
      <c r="C55" s="1444" t="s">
        <v>584</v>
      </c>
    </row>
    <row r="56" spans="1:4">
      <c r="A56" s="3213"/>
      <c r="B56" s="1446" t="s">
        <v>387</v>
      </c>
      <c r="C56" s="1444" t="s">
        <v>588</v>
      </c>
    </row>
    <row r="57" spans="1:4">
      <c r="A57" s="3213"/>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22" workbookViewId="0">
      <selection activeCell="C50" sqref="C50"/>
    </sheetView>
  </sheetViews>
  <sheetFormatPr defaultColWidth="15.21875" defaultRowHeight="14.4"/>
  <cols>
    <col min="1" max="7" width="15.21875" style="2758"/>
    <col min="8" max="8" width="5.44140625" style="2758" customWidth="1"/>
    <col min="9" max="13" width="9.44140625" style="2799" customWidth="1"/>
    <col min="14" max="18" width="9.44140625" style="2758" customWidth="1"/>
    <col min="19" max="16384" width="15.21875" style="2758"/>
  </cols>
  <sheetData>
    <row r="1" spans="1:18">
      <c r="A1" s="2755" t="s">
        <v>2500</v>
      </c>
      <c r="B1" s="2756"/>
      <c r="C1" s="2756"/>
      <c r="D1" s="2756"/>
      <c r="E1" s="2756"/>
      <c r="F1" s="2757"/>
      <c r="I1" s="3134" t="s">
        <v>2593</v>
      </c>
      <c r="J1" s="2782"/>
      <c r="K1" s="2782"/>
      <c r="L1" s="2782"/>
      <c r="M1" s="2782"/>
      <c r="N1" s="2967"/>
      <c r="O1" s="2967"/>
      <c r="P1" s="2967"/>
      <c r="Q1" s="2967"/>
      <c r="R1" s="2967"/>
    </row>
    <row r="2" spans="1:18">
      <c r="A2" s="2759"/>
      <c r="B2" s="2760"/>
      <c r="C2" s="2760"/>
      <c r="D2" s="2760"/>
      <c r="E2" s="2760"/>
      <c r="F2" s="2761"/>
      <c r="I2" s="3214" t="s">
        <v>2580</v>
      </c>
      <c r="J2" s="3214"/>
      <c r="K2" s="3214"/>
      <c r="L2" s="3214"/>
      <c r="M2" s="3214"/>
      <c r="N2" s="3214"/>
      <c r="O2" s="3214"/>
      <c r="P2" s="3214"/>
      <c r="Q2" s="3214"/>
      <c r="R2" s="3214"/>
    </row>
    <row r="3" spans="1:18">
      <c r="A3" s="2762" t="s">
        <v>2501</v>
      </c>
      <c r="B3" s="2763">
        <f>项目基本情况!D3</f>
        <v>45526</v>
      </c>
      <c r="C3" s="2765"/>
      <c r="D3" s="2765"/>
      <c r="E3" s="2765"/>
      <c r="F3" s="2761"/>
      <c r="I3" s="2777"/>
      <c r="J3" s="2777" t="s">
        <v>2584</v>
      </c>
      <c r="K3" s="2777" t="s">
        <v>2585</v>
      </c>
      <c r="L3" s="2777" t="s">
        <v>2586</v>
      </c>
      <c r="M3" s="2777" t="s">
        <v>2587</v>
      </c>
      <c r="N3" s="3135" t="s">
        <v>2588</v>
      </c>
      <c r="O3" s="3135" t="s">
        <v>2589</v>
      </c>
      <c r="P3" s="3135" t="s">
        <v>2590</v>
      </c>
      <c r="Q3" s="3135" t="s">
        <v>2591</v>
      </c>
      <c r="R3" s="3135" t="s">
        <v>2592</v>
      </c>
    </row>
    <row r="4" spans="1:18">
      <c r="A4" s="2762" t="s">
        <v>2502</v>
      </c>
      <c r="B4" s="2765" t="s">
        <v>2503</v>
      </c>
      <c r="C4" s="2765" t="s">
        <v>2504</v>
      </c>
      <c r="D4" s="2765" t="s">
        <v>2505</v>
      </c>
      <c r="E4" s="2765" t="s">
        <v>2506</v>
      </c>
      <c r="F4" s="2761"/>
      <c r="I4" s="2777" t="s">
        <v>2581</v>
      </c>
      <c r="J4" s="2777">
        <v>80</v>
      </c>
      <c r="K4" s="2777">
        <v>70</v>
      </c>
      <c r="L4" s="2777">
        <v>20</v>
      </c>
      <c r="M4" s="2777">
        <v>30</v>
      </c>
      <c r="N4" s="2765">
        <v>45</v>
      </c>
      <c r="O4" s="2765">
        <v>60</v>
      </c>
      <c r="P4" s="2765">
        <v>50</v>
      </c>
      <c r="Q4" s="2765">
        <v>20</v>
      </c>
      <c r="R4" s="2765">
        <v>375</v>
      </c>
    </row>
    <row r="5" spans="1:18">
      <c r="A5" s="2766">
        <v>40</v>
      </c>
      <c r="B5" s="2763">
        <v>46375</v>
      </c>
      <c r="C5" s="2765">
        <f>ROUNDDOWN(MIN((B5-B3)/365,A5),2)</f>
        <v>2.3199999999999998</v>
      </c>
      <c r="D5" s="2767">
        <f>IF(ISERROR(ROUND(POWER(1+E5,A5-C5)*(POWER(1+E5,C5)-1)/(POWER(1+E5,A5)-1),3)),0,ROUND(POWER(1+E5,A5-C5)*(POWER(1+E5,C5)-1)/(POWER(1+E5,A5)-1),4))</f>
        <v>0.1099</v>
      </c>
      <c r="E5" s="2768">
        <v>0.04</v>
      </c>
      <c r="F5" s="2761"/>
      <c r="I5" s="2777" t="s">
        <v>2582</v>
      </c>
      <c r="J5" s="2777">
        <v>70</v>
      </c>
      <c r="K5" s="2777">
        <v>60</v>
      </c>
      <c r="L5" s="2777">
        <v>15</v>
      </c>
      <c r="M5" s="2777">
        <v>25</v>
      </c>
      <c r="N5" s="2765">
        <v>40</v>
      </c>
      <c r="O5" s="2765">
        <v>50</v>
      </c>
      <c r="P5" s="2765">
        <v>40</v>
      </c>
      <c r="Q5" s="2765">
        <v>15</v>
      </c>
      <c r="R5" s="2765">
        <v>315</v>
      </c>
    </row>
    <row r="6" spans="1:18">
      <c r="A6" s="2766">
        <v>50</v>
      </c>
      <c r="B6" s="2763">
        <v>50028</v>
      </c>
      <c r="C6" s="2765">
        <f>ROUNDDOWN(MIN((B6-B3)/365,A6),2)</f>
        <v>12.33</v>
      </c>
      <c r="D6" s="2767">
        <f>IF(ISERROR(ROUND(POWER(1+E6,A6-C6)*(POWER(1+E6,C6)-1)/(POWER(1+E6,A6)-1),3)),0,ROUND(POWER(1+E6,A6-C6)*(POWER(1+E6,C6)-1)/(POWER(1+E6,A6)-1),4))</f>
        <v>0.44619999999999999</v>
      </c>
      <c r="E6" s="2768">
        <v>0.04</v>
      </c>
      <c r="F6" s="2761"/>
      <c r="I6" s="2777" t="s">
        <v>2583</v>
      </c>
      <c r="J6" s="2777">
        <v>60</v>
      </c>
      <c r="K6" s="2777">
        <v>50</v>
      </c>
      <c r="L6" s="2777">
        <v>10</v>
      </c>
      <c r="M6" s="2777">
        <v>20</v>
      </c>
      <c r="N6" s="2765">
        <v>35</v>
      </c>
      <c r="O6" s="2765">
        <v>40</v>
      </c>
      <c r="P6" s="2765">
        <v>30</v>
      </c>
      <c r="Q6" s="2765">
        <v>10</v>
      </c>
      <c r="R6" s="2765">
        <v>255</v>
      </c>
    </row>
    <row r="7" spans="1:18">
      <c r="A7" s="2766">
        <v>70</v>
      </c>
      <c r="B7" s="2763">
        <v>57333</v>
      </c>
      <c r="C7" s="2765">
        <f>ROUNDDOWN(MIN((B7-B3)/365,A7),2)</f>
        <v>32.340000000000003</v>
      </c>
      <c r="D7" s="2767">
        <f>IF(ISERROR(ROUND(POWER(1+E7,A7-C7)*(POWER(1+E7,C7)-1)/(POWER(1+E7,A7)-1),3)),0,ROUND(POWER(1+E7,A7-C7)*(POWER(1+E7,C7)-1)/(POWER(1+E7,A7)-1),4))</f>
        <v>0.76800000000000002</v>
      </c>
      <c r="E7" s="2768">
        <v>0.04</v>
      </c>
      <c r="F7" s="2761"/>
    </row>
    <row r="8" spans="1:18">
      <c r="A8" s="2759"/>
      <c r="B8" s="2760"/>
      <c r="C8" s="2760"/>
      <c r="D8" s="2760"/>
      <c r="E8" s="2760"/>
      <c r="F8" s="2761"/>
    </row>
    <row r="9" spans="1:18">
      <c r="A9" s="2762" t="s">
        <v>2507</v>
      </c>
      <c r="B9" s="2765"/>
      <c r="C9" s="2765"/>
      <c r="D9" s="2765"/>
      <c r="E9" s="2765"/>
      <c r="F9" s="2769"/>
    </row>
    <row r="10" spans="1:18">
      <c r="A10" s="2762" t="s">
        <v>2508</v>
      </c>
      <c r="B10" s="2765"/>
      <c r="C10" s="2765"/>
      <c r="D10" s="2765" t="s">
        <v>2506</v>
      </c>
      <c r="E10" s="2765"/>
      <c r="F10" s="2769" t="s">
        <v>2505</v>
      </c>
    </row>
    <row r="11" spans="1:18">
      <c r="A11" s="2762" t="s">
        <v>2509</v>
      </c>
      <c r="B11" s="2770">
        <v>70</v>
      </c>
      <c r="C11" s="2765" t="s">
        <v>2510</v>
      </c>
      <c r="D11" s="2770">
        <v>4.4999999999999998E-2</v>
      </c>
      <c r="E11" s="2765" t="s">
        <v>2511</v>
      </c>
      <c r="F11" s="2771">
        <f>ROUND(1-(1/(POWER(1+D11,B11))),4)</f>
        <v>0.95409999999999995</v>
      </c>
    </row>
    <row r="12" spans="1:18">
      <c r="A12" s="2762" t="s">
        <v>2512</v>
      </c>
      <c r="B12" s="2770">
        <v>40</v>
      </c>
      <c r="C12" s="2765" t="s">
        <v>2513</v>
      </c>
      <c r="D12" s="2770">
        <v>4.4999999999999998E-2</v>
      </c>
      <c r="E12" s="2765" t="s">
        <v>2514</v>
      </c>
      <c r="F12" s="2771">
        <f>ROUND(1-(1/(POWER(1+D12,B12))),4)</f>
        <v>0.82809999999999995</v>
      </c>
    </row>
    <row r="13" spans="1:18">
      <c r="A13" s="2762" t="s">
        <v>2515</v>
      </c>
      <c r="B13" s="2765"/>
      <c r="C13" s="2765"/>
      <c r="D13" s="2760"/>
      <c r="E13" s="2760"/>
      <c r="F13" s="2761"/>
    </row>
    <row r="14" spans="1:18">
      <c r="A14" s="2762" t="s">
        <v>2516</v>
      </c>
      <c r="B14" s="2770">
        <v>5000</v>
      </c>
      <c r="C14" s="2764"/>
      <c r="D14" s="2760"/>
      <c r="E14" s="2760"/>
      <c r="F14" s="2761"/>
    </row>
    <row r="15" spans="1:18">
      <c r="A15" s="2762" t="s">
        <v>2517</v>
      </c>
      <c r="B15" s="2765">
        <f>ROUND(B14*F12/F11,2)</f>
        <v>4339.6899999999996</v>
      </c>
      <c r="C15" s="2765">
        <f>ROUND(F12/F11,4)</f>
        <v>0.8679</v>
      </c>
      <c r="D15" s="2760"/>
      <c r="E15" s="2760"/>
      <c r="F15" s="2761"/>
    </row>
    <row r="16" spans="1:18">
      <c r="A16" s="2762" t="s">
        <v>2518</v>
      </c>
      <c r="B16" s="2765"/>
      <c r="C16" s="2765"/>
      <c r="D16" s="2760"/>
      <c r="E16" s="2760"/>
      <c r="F16" s="2761"/>
    </row>
    <row r="17" spans="1:13">
      <c r="A17" s="2762" t="s">
        <v>2517</v>
      </c>
      <c r="B17" s="2770">
        <v>4810</v>
      </c>
      <c r="C17" s="2764"/>
      <c r="D17" s="2760"/>
      <c r="E17" s="2760"/>
      <c r="F17" s="2761"/>
    </row>
    <row r="18" spans="1:13" ht="15" thickBot="1">
      <c r="A18" s="2772" t="s">
        <v>2516</v>
      </c>
      <c r="B18" s="2773">
        <f>ROUND(B17*F11/F12,2)</f>
        <v>5541.87</v>
      </c>
      <c r="C18" s="2773">
        <f>ROUND(F11/F12,4)</f>
        <v>1.1521999999999999</v>
      </c>
      <c r="D18" s="2774"/>
      <c r="E18" s="2774"/>
      <c r="F18" s="2775"/>
    </row>
    <row r="19" spans="1:13" ht="15" thickBot="1"/>
    <row r="20" spans="1:13" s="2808" customFormat="1" ht="15" thickTop="1">
      <c r="A20" s="2805" t="s">
        <v>2519</v>
      </c>
      <c r="B20" s="2806"/>
      <c r="C20" s="2806"/>
      <c r="D20" s="2806"/>
      <c r="E20" s="2806"/>
      <c r="F20" s="2806"/>
      <c r="G20" s="2807"/>
      <c r="I20" s="2809" t="s">
        <v>2564</v>
      </c>
      <c r="J20" s="2809" t="s">
        <v>2569</v>
      </c>
      <c r="K20" s="2809"/>
      <c r="L20" s="2809"/>
      <c r="M20" s="2809"/>
    </row>
    <row r="21" spans="1:13">
      <c r="A21" s="2776"/>
      <c r="B21" s="2777" t="s">
        <v>2520</v>
      </c>
      <c r="C21" s="2777" t="s">
        <v>2521</v>
      </c>
      <c r="D21" s="2777" t="s">
        <v>2522</v>
      </c>
      <c r="E21" s="2777" t="s">
        <v>2523</v>
      </c>
      <c r="F21" s="2777" t="s">
        <v>2524</v>
      </c>
      <c r="G21" s="2778" t="s">
        <v>2525</v>
      </c>
      <c r="I21" s="2799">
        <v>5</v>
      </c>
      <c r="J21" s="2799">
        <v>54.2</v>
      </c>
    </row>
    <row r="22" spans="1:13">
      <c r="A22" s="2776" t="s">
        <v>2526</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2527</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2567</v>
      </c>
      <c r="M23" s="2799" t="s">
        <v>2568</v>
      </c>
    </row>
    <row r="24" spans="1:13">
      <c r="A24" s="2776" t="s">
        <v>2528</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2566</v>
      </c>
      <c r="M24" s="2799">
        <v>10</v>
      </c>
    </row>
    <row r="25" spans="1:13">
      <c r="A25" s="2776" t="s">
        <v>2529</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2570</v>
      </c>
      <c r="M25" s="2799">
        <v>8</v>
      </c>
    </row>
    <row r="26" spans="1:13">
      <c r="A26" s="2781"/>
      <c r="B26" s="2782"/>
      <c r="C26" s="2782"/>
      <c r="D26" s="2782"/>
      <c r="E26" s="2782"/>
      <c r="F26" s="2782"/>
      <c r="G26" s="2783"/>
      <c r="I26" s="2799">
        <v>30</v>
      </c>
      <c r="J26" s="2799">
        <v>90.5</v>
      </c>
      <c r="K26" s="2799">
        <f t="shared" si="2"/>
        <v>4.2000000000000028</v>
      </c>
      <c r="L26" s="2799" t="s">
        <v>2571</v>
      </c>
      <c r="M26" s="2799">
        <v>5</v>
      </c>
    </row>
    <row r="27" spans="1:13">
      <c r="A27" s="2781" t="s">
        <v>2530</v>
      </c>
      <c r="B27" s="2782"/>
      <c r="C27" s="2782"/>
      <c r="D27" s="2782"/>
      <c r="E27" s="2782"/>
      <c r="F27" s="2782"/>
      <c r="G27" s="2783"/>
      <c r="I27" s="2799">
        <v>35</v>
      </c>
      <c r="J27" s="2799">
        <v>93.8</v>
      </c>
      <c r="K27" s="2799">
        <f t="shared" si="2"/>
        <v>3.2999999999999972</v>
      </c>
      <c r="L27" s="2799" t="s">
        <v>2572</v>
      </c>
      <c r="M27" s="2799">
        <v>3</v>
      </c>
    </row>
    <row r="28" spans="1:13">
      <c r="A28" s="2781" t="s">
        <v>2531</v>
      </c>
      <c r="B28" s="2782"/>
      <c r="C28" s="2782"/>
      <c r="D28" s="2782"/>
      <c r="E28" s="2782"/>
      <c r="F28" s="2782"/>
      <c r="G28" s="2783"/>
      <c r="I28" s="2799">
        <v>40</v>
      </c>
      <c r="J28" s="2799">
        <v>96.4</v>
      </c>
      <c r="K28" s="2799">
        <f t="shared" si="2"/>
        <v>2.6000000000000085</v>
      </c>
      <c r="L28" s="2799" t="s">
        <v>2573</v>
      </c>
      <c r="M28" s="2799">
        <v>2</v>
      </c>
    </row>
    <row r="29" spans="1:13">
      <c r="A29" s="2781" t="s">
        <v>2532</v>
      </c>
      <c r="B29" s="2782"/>
      <c r="C29" s="2782"/>
      <c r="D29" s="2782"/>
      <c r="E29" s="2782"/>
      <c r="F29" s="2782"/>
      <c r="G29" s="2783"/>
      <c r="I29" s="2799">
        <v>45</v>
      </c>
      <c r="J29" s="2799">
        <v>98.4</v>
      </c>
      <c r="K29" s="2799">
        <f t="shared" si="2"/>
        <v>2</v>
      </c>
    </row>
    <row r="30" spans="1:13">
      <c r="A30" s="2781" t="s">
        <v>2533</v>
      </c>
      <c r="B30" s="2782"/>
      <c r="C30" s="2782"/>
      <c r="D30" s="2782"/>
      <c r="E30" s="2782"/>
      <c r="F30" s="2782"/>
      <c r="G30" s="2783"/>
      <c r="I30" s="2799">
        <v>50</v>
      </c>
      <c r="J30" s="2799">
        <v>100</v>
      </c>
      <c r="K30" s="2799">
        <f t="shared" si="2"/>
        <v>1.5999999999999943</v>
      </c>
    </row>
    <row r="31" spans="1:13">
      <c r="A31" s="2781" t="s">
        <v>2534</v>
      </c>
      <c r="B31" s="2782"/>
      <c r="C31" s="2782"/>
      <c r="D31" s="2782"/>
      <c r="E31" s="2782"/>
      <c r="F31" s="2782"/>
      <c r="G31" s="2783"/>
      <c r="I31" s="2799" t="s">
        <v>2565</v>
      </c>
    </row>
    <row r="32" spans="1:13">
      <c r="A32" s="2781" t="s">
        <v>2535</v>
      </c>
      <c r="B32" s="2782"/>
      <c r="C32" s="2782"/>
      <c r="D32" s="2782"/>
      <c r="E32" s="2782"/>
      <c r="F32" s="2782"/>
      <c r="G32" s="2783"/>
    </row>
    <row r="33" spans="1:13">
      <c r="A33" s="2781" t="s">
        <v>2536</v>
      </c>
      <c r="B33" s="2782"/>
      <c r="C33" s="2782"/>
      <c r="D33" s="2782"/>
      <c r="E33" s="2782"/>
      <c r="F33" s="2782"/>
      <c r="G33" s="2783"/>
      <c r="I33" s="2799" t="s">
        <v>2564</v>
      </c>
      <c r="J33" s="2799" t="s">
        <v>2574</v>
      </c>
    </row>
    <row r="34" spans="1:13">
      <c r="A34" s="2781" t="s">
        <v>2537</v>
      </c>
      <c r="B34" s="2782"/>
      <c r="C34" s="2782"/>
      <c r="D34" s="2782"/>
      <c r="E34" s="2782"/>
      <c r="F34" s="2782"/>
      <c r="G34" s="2783"/>
      <c r="I34" s="2799">
        <v>5</v>
      </c>
      <c r="J34" s="2799">
        <v>55.1</v>
      </c>
    </row>
    <row r="35" spans="1:13">
      <c r="A35" s="2781" t="s">
        <v>2538</v>
      </c>
      <c r="B35" s="2782"/>
      <c r="C35" s="2782"/>
      <c r="D35" s="2782"/>
      <c r="E35" s="2782"/>
      <c r="F35" s="2782"/>
      <c r="G35" s="2783"/>
      <c r="I35" s="2799">
        <v>10</v>
      </c>
      <c r="J35" s="2799">
        <v>67</v>
      </c>
      <c r="K35" s="2799">
        <f>J35-J34</f>
        <v>11.899999999999999</v>
      </c>
    </row>
    <row r="36" spans="1:13">
      <c r="A36" s="2781" t="s">
        <v>2539</v>
      </c>
      <c r="B36" s="2782"/>
      <c r="C36" s="2782"/>
      <c r="D36" s="2782"/>
      <c r="E36" s="2782"/>
      <c r="F36" s="2782"/>
      <c r="G36" s="2783"/>
      <c r="I36" s="2799">
        <v>15</v>
      </c>
      <c r="J36" s="2799">
        <v>76.3</v>
      </c>
      <c r="K36" s="2799">
        <f t="shared" ref="K36:K41" si="3">J36-J35</f>
        <v>9.2999999999999972</v>
      </c>
      <c r="L36" s="2799" t="s">
        <v>2567</v>
      </c>
      <c r="M36" s="2799" t="s">
        <v>2568</v>
      </c>
    </row>
    <row r="37" spans="1:13">
      <c r="A37" s="2781" t="s">
        <v>2540</v>
      </c>
      <c r="B37" s="2782"/>
      <c r="C37" s="2782"/>
      <c r="D37" s="2782"/>
      <c r="E37" s="2782"/>
      <c r="F37" s="2782"/>
      <c r="G37" s="2783"/>
      <c r="I37" s="2799">
        <v>20</v>
      </c>
      <c r="J37" s="2799">
        <v>83.6</v>
      </c>
      <c r="K37" s="2799">
        <f t="shared" si="3"/>
        <v>7.2999999999999972</v>
      </c>
      <c r="L37" s="2799" t="s">
        <v>2566</v>
      </c>
      <c r="M37" s="2799">
        <v>10</v>
      </c>
    </row>
    <row r="38" spans="1:13">
      <c r="A38" s="2781" t="s">
        <v>2541</v>
      </c>
      <c r="B38" s="2782"/>
      <c r="C38" s="2782"/>
      <c r="D38" s="2782"/>
      <c r="E38" s="2782"/>
      <c r="F38" s="2782"/>
      <c r="G38" s="2783"/>
      <c r="I38" s="2799">
        <v>25</v>
      </c>
      <c r="J38" s="2799">
        <v>89.3</v>
      </c>
      <c r="K38" s="2799">
        <f t="shared" si="3"/>
        <v>5.7000000000000028</v>
      </c>
      <c r="L38" s="2799" t="s">
        <v>2570</v>
      </c>
      <c r="M38" s="2799">
        <v>8</v>
      </c>
    </row>
    <row r="39" spans="1:13">
      <c r="A39" s="2781"/>
      <c r="B39" s="2782"/>
      <c r="C39" s="2782"/>
      <c r="D39" s="2782"/>
      <c r="E39" s="2782"/>
      <c r="F39" s="2782"/>
      <c r="G39" s="2783"/>
      <c r="I39" s="2799">
        <v>30</v>
      </c>
      <c r="J39" s="2799">
        <v>93.8</v>
      </c>
      <c r="K39" s="2799">
        <f t="shared" si="3"/>
        <v>4.5</v>
      </c>
      <c r="L39" s="2799" t="s">
        <v>2571</v>
      </c>
      <c r="M39" s="2799">
        <v>6</v>
      </c>
    </row>
    <row r="40" spans="1:13">
      <c r="A40" s="2784" t="s">
        <v>2542</v>
      </c>
      <c r="B40" s="2785"/>
      <c r="C40" s="2785"/>
      <c r="D40" s="2785"/>
      <c r="E40" s="2785"/>
      <c r="F40" s="2785"/>
      <c r="G40" s="2786"/>
      <c r="I40" s="2799">
        <v>35</v>
      </c>
      <c r="J40" s="2799">
        <v>97.2</v>
      </c>
      <c r="K40" s="2799">
        <f t="shared" si="3"/>
        <v>3.4000000000000057</v>
      </c>
      <c r="L40" s="2799" t="s">
        <v>2572</v>
      </c>
      <c r="M40" s="2799">
        <v>3</v>
      </c>
    </row>
    <row r="41" spans="1:13">
      <c r="A41" s="2787" t="s">
        <v>2543</v>
      </c>
      <c r="B41" s="2788" t="s">
        <v>2544</v>
      </c>
      <c r="C41" s="2789" t="s">
        <v>2545</v>
      </c>
      <c r="D41" s="2789" t="s">
        <v>2546</v>
      </c>
      <c r="E41" s="2790"/>
      <c r="F41" s="2791"/>
      <c r="G41" s="2792"/>
      <c r="I41" s="2799">
        <v>40</v>
      </c>
      <c r="J41" s="2799">
        <v>100</v>
      </c>
      <c r="K41" s="2799">
        <f t="shared" si="3"/>
        <v>2.7999999999999972</v>
      </c>
    </row>
    <row r="42" spans="1:13">
      <c r="A42" s="2787" t="s">
        <v>2547</v>
      </c>
      <c r="B42" s="2788" t="s">
        <v>2548</v>
      </c>
      <c r="C42" s="2789" t="s">
        <v>2549</v>
      </c>
      <c r="D42" s="2793" t="s">
        <v>2550</v>
      </c>
      <c r="E42" s="2785" t="s">
        <v>2551</v>
      </c>
      <c r="F42" s="2785"/>
      <c r="G42" s="2786"/>
    </row>
    <row r="43" spans="1:13">
      <c r="A43" s="2787" t="s">
        <v>2552</v>
      </c>
      <c r="B43" s="2788" t="s">
        <v>2553</v>
      </c>
      <c r="C43" s="2789" t="s">
        <v>2554</v>
      </c>
      <c r="D43" s="2789" t="s">
        <v>2555</v>
      </c>
      <c r="E43" s="2790" t="s">
        <v>2556</v>
      </c>
      <c r="F43" s="2791"/>
      <c r="G43" s="2792"/>
      <c r="I43" s="2799" t="s">
        <v>2564</v>
      </c>
      <c r="J43" s="2799" t="s">
        <v>2575</v>
      </c>
    </row>
    <row r="44" spans="1:13">
      <c r="A44" s="2787" t="s">
        <v>2557</v>
      </c>
      <c r="B44" s="2788" t="s">
        <v>2558</v>
      </c>
      <c r="C44" s="2789" t="s">
        <v>2559</v>
      </c>
      <c r="D44" s="2793">
        <v>0.5</v>
      </c>
      <c r="E44" s="2790" t="s">
        <v>2560</v>
      </c>
      <c r="F44" s="2791"/>
      <c r="G44" s="2792"/>
      <c r="I44" s="2799">
        <v>30</v>
      </c>
      <c r="J44" s="2799">
        <v>81.7</v>
      </c>
    </row>
    <row r="45" spans="1:13" ht="15" thickBot="1">
      <c r="A45" s="2794" t="s">
        <v>2561</v>
      </c>
      <c r="B45" s="2795" t="s">
        <v>2548</v>
      </c>
      <c r="C45" s="2796" t="s">
        <v>2548</v>
      </c>
      <c r="D45" s="2796" t="s">
        <v>2562</v>
      </c>
      <c r="E45" s="2797" t="s">
        <v>2563</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E4" sqref="E4"/>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2168</v>
      </c>
      <c r="B1" s="3222" t="str">
        <f>IF(B10="北京市","北京市",C10)&amp;F10&amp;IF(结果表!G1="在建","出让国有建设用地使用权及在建建筑物",IF(结果表!G1="土地","出让国有建设用地使用权",))&amp;B9&amp;"预评估"</f>
        <v>北京市房地产抵押价值预评估</v>
      </c>
      <c r="C1" s="3223"/>
      <c r="D1" s="3223"/>
      <c r="E1" s="3223"/>
      <c r="F1" s="3223"/>
      <c r="G1" s="3223"/>
      <c r="H1" s="3223"/>
      <c r="I1" s="3224"/>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北京市房地产抵押价值</v>
      </c>
      <c r="T1" s="1617"/>
      <c r="U1" s="1617"/>
      <c r="V1" s="1617"/>
      <c r="W1" s="1617"/>
      <c r="X1" s="1617"/>
      <c r="Y1" s="1617"/>
      <c r="Z1" s="1617"/>
      <c r="AA1" s="1617"/>
      <c r="AB1" s="1617"/>
    </row>
    <row r="2" spans="1:30">
      <c r="A2" s="2181" t="s">
        <v>2169</v>
      </c>
      <c r="B2" s="122"/>
      <c r="D2" s="2447"/>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4">
        <v>45526</v>
      </c>
      <c r="C3" s="2185" t="s">
        <v>2171</v>
      </c>
      <c r="D3" s="2184">
        <f>B3</f>
        <v>45526</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8" thickBot="1">
      <c r="A4" s="1027" t="s">
        <v>2172</v>
      </c>
      <c r="B4" s="2186" t="s">
        <v>3593</v>
      </c>
      <c r="C4" s="2187">
        <f ca="1">SUMIF(注册房地产估价师,B4,估价师及机构信息!B3:B24)</f>
        <v>1120070131</v>
      </c>
      <c r="D4" s="2186" t="s">
        <v>3594</v>
      </c>
      <c r="E4" s="2187">
        <f ca="1">SUMIF(注册房地产估价师,D4,估价师及机构信息!B3:B24)</f>
        <v>1120100036</v>
      </c>
      <c r="F4" s="2186"/>
      <c r="G4" s="2187">
        <f>SUMIF(注册房地产估价师,F4,估价师及机构信息!B3:B24)</f>
        <v>0</v>
      </c>
      <c r="H4" s="2186"/>
      <c r="I4" s="2187">
        <f>SUMIF(注册房地产估价师,H4,估价师及机构信息!B3:B24)</f>
        <v>0</v>
      </c>
      <c r="J4" s="2244"/>
      <c r="K4" s="2188" t="str">
        <f ca="1">CONCATENATE(B4,"（注册号：",C4,")、",D4,"（注册号：",E4,")")</f>
        <v>郑燚（注册号：1120070131)、崔锴（注册号：1120100036)</v>
      </c>
      <c r="L4" s="2183"/>
      <c r="M4" s="2183"/>
      <c r="N4" s="2181"/>
      <c r="O4" s="1465"/>
      <c r="P4" s="2181"/>
      <c r="Q4" s="2181"/>
      <c r="R4" s="2181"/>
      <c r="S4" s="1560"/>
      <c r="T4" s="1617"/>
      <c r="U4" s="1617"/>
      <c r="V4" s="1617"/>
      <c r="W4" s="1617"/>
      <c r="X4" s="1617"/>
      <c r="Y4" s="1617"/>
      <c r="Z4" s="1617"/>
      <c r="AA4" s="1617"/>
      <c r="AB4" s="1617"/>
    </row>
    <row r="5" spans="1:30" ht="13.8"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3416</v>
      </c>
      <c r="C8" s="2200"/>
      <c r="D8" s="3225" t="s">
        <v>2177</v>
      </c>
      <c r="E8" s="2201" t="s">
        <v>3417</v>
      </c>
      <c r="F8" s="2202"/>
      <c r="G8" s="2441"/>
      <c r="H8" s="2441"/>
      <c r="I8" s="2441"/>
      <c r="J8" s="2244"/>
      <c r="K8" s="2399"/>
      <c r="L8" s="2398"/>
      <c r="M8" s="2398"/>
      <c r="N8" s="2244"/>
      <c r="O8" s="1669"/>
      <c r="P8" s="2244"/>
      <c r="Q8" s="2244"/>
      <c r="R8" s="2244"/>
    </row>
    <row r="9" spans="1:30" ht="13.8" thickBot="1">
      <c r="A9" s="2203" t="s">
        <v>2178</v>
      </c>
      <c r="B9" s="2204" t="s">
        <v>3417</v>
      </c>
      <c r="C9" s="2205"/>
      <c r="D9" s="3226"/>
      <c r="E9" s="2204" t="s">
        <v>587</v>
      </c>
      <c r="F9" s="2206"/>
      <c r="G9" s="2442"/>
      <c r="H9" s="2442"/>
      <c r="I9" s="2442"/>
      <c r="J9" s="2244"/>
      <c r="K9" s="2401"/>
      <c r="L9" s="2398"/>
      <c r="M9" s="2398"/>
      <c r="N9" s="2244"/>
      <c r="O9" s="1669"/>
      <c r="P9" s="2244"/>
      <c r="Q9" s="2244"/>
      <c r="R9" s="2244"/>
    </row>
    <row r="10" spans="1:30" ht="13.8" thickTop="1">
      <c r="A10" s="2207" t="s">
        <v>2179</v>
      </c>
      <c r="B10" s="2208" t="s">
        <v>3414</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3415</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2576</v>
      </c>
      <c r="J12" s="2802"/>
      <c r="K12" s="2398"/>
      <c r="L12" s="2398"/>
      <c r="M12" s="2244"/>
      <c r="N12" s="1669"/>
      <c r="O12" s="2244"/>
      <c r="P12" s="2244"/>
      <c r="Q12" s="2244"/>
      <c r="AD12" s="1617"/>
    </row>
    <row r="13" spans="1:30">
      <c r="A13" s="3121" t="s">
        <v>3332</v>
      </c>
      <c r="B13" s="2217" t="s">
        <v>2190</v>
      </c>
      <c r="C13" s="803"/>
      <c r="D13" s="803">
        <v>50739</v>
      </c>
      <c r="E13" s="803">
        <v>54392</v>
      </c>
      <c r="F13" s="803">
        <v>54392</v>
      </c>
      <c r="G13" s="803"/>
      <c r="H13" s="803"/>
      <c r="I13" s="803"/>
      <c r="J13" s="2802"/>
      <c r="K13" s="2398"/>
      <c r="L13" s="2398"/>
      <c r="M13" s="2244"/>
      <c r="N13" s="1669"/>
      <c r="O13" s="2244"/>
      <c r="P13" s="2244"/>
      <c r="Q13" s="2244"/>
      <c r="AD13" s="1617"/>
    </row>
    <row r="14" spans="1:30">
      <c r="A14" s="1018"/>
      <c r="B14" s="2217" t="s">
        <v>2191</v>
      </c>
      <c r="C14" s="2218"/>
      <c r="D14" s="2218">
        <v>40</v>
      </c>
      <c r="E14" s="2218">
        <v>50</v>
      </c>
      <c r="F14" s="2218">
        <v>50</v>
      </c>
      <c r="G14" s="2218"/>
      <c r="H14" s="2218"/>
      <c r="I14" s="2218"/>
      <c r="J14" s="2803"/>
      <c r="K14" s="2398"/>
      <c r="L14" s="2398"/>
      <c r="M14" s="2244"/>
      <c r="N14" s="1669"/>
      <c r="O14" s="2244"/>
      <c r="P14" s="2244"/>
      <c r="Q14" s="2244"/>
      <c r="AD14" s="1617"/>
    </row>
    <row r="15" spans="1:30">
      <c r="A15" s="312"/>
      <c r="B15" s="2219" t="s">
        <v>2192</v>
      </c>
      <c r="C15" s="2220" t="str">
        <f>IF(A13="出让",IF(C13="","",ROUNDDOWN(MIN((C13-$D$3)/365,C14),2)),C14)</f>
        <v/>
      </c>
      <c r="D15" s="2220">
        <f>IF(A13="出让",IF(D13="","",ROUNDDOWN(MIN((D13-$D$3)/365,D14),2)),D14)</f>
        <v>14.28</v>
      </c>
      <c r="E15" s="2220">
        <f>IF(A13="出让",IF(E13="","",ROUNDDOWN(MIN((E13-$D$3)/365,E14),2)),E14)</f>
        <v>24.29</v>
      </c>
      <c r="F15" s="2220">
        <f>IF(A13="出让",IF(F13="","",ROUNDDOWN(MIN((F13-$D$3)/365,F14),2)),F14)</f>
        <v>24.29</v>
      </c>
      <c r="G15" s="2220" t="str">
        <f>IF(A13="出让",IF(G13="","",ROUNDDOWN(MIN((G13-$D$3)/365,G14),2)),G14)</f>
        <v/>
      </c>
      <c r="H15" s="2220" t="str">
        <f>IF(A13="出让",IF(H13="","",ROUNDDOWN(MIN((H13-$D$3)/365,H14),2)),H14)</f>
        <v/>
      </c>
      <c r="I15" s="2220" t="str">
        <f>IF(A13="出让",IF(I13="","",ROUNDDOWN(MIN((I13-$D$3)/365,I14),2)),I14)</f>
        <v/>
      </c>
      <c r="J15" s="2804"/>
      <c r="K15" s="1669"/>
      <c r="L15" s="1669"/>
      <c r="M15" s="2244"/>
      <c r="N15" s="1669"/>
      <c r="O15" s="2244"/>
      <c r="P15" s="2244"/>
      <c r="Q15" s="2244"/>
      <c r="AD15" s="1617"/>
    </row>
    <row r="16" spans="1:30">
      <c r="A16" s="2210" t="s">
        <v>2193</v>
      </c>
      <c r="B16" s="3232"/>
      <c r="C16" s="3233"/>
      <c r="D16" s="3234"/>
      <c r="E16" s="2221" t="s">
        <v>2194</v>
      </c>
      <c r="F16" s="3235"/>
      <c r="G16" s="3236"/>
      <c r="H16" s="3236"/>
      <c r="I16" s="3237"/>
      <c r="J16" s="2244"/>
      <c r="K16" s="2402"/>
      <c r="L16" s="1669"/>
      <c r="M16" s="1669"/>
      <c r="N16" s="2244"/>
      <c r="O16" s="1669"/>
      <c r="P16" s="2244"/>
      <c r="Q16" s="2244"/>
      <c r="R16" s="2244"/>
    </row>
    <row r="17" spans="1:28">
      <c r="A17" s="305" t="s">
        <v>2195</v>
      </c>
      <c r="B17" s="294" t="s">
        <v>2196</v>
      </c>
      <c r="C17" s="8">
        <f>'数据-汇总表'!E3</f>
        <v>17457.32</v>
      </c>
      <c r="D17" s="1255" t="s">
        <v>2197</v>
      </c>
      <c r="E17" s="3238" t="s">
        <v>2198</v>
      </c>
      <c r="F17" s="3239"/>
      <c r="G17" s="3239"/>
      <c r="H17" s="3239"/>
      <c r="I17" s="3240"/>
      <c r="J17" s="2244"/>
      <c r="K17" s="2403"/>
      <c r="L17" s="1669"/>
      <c r="M17" s="1669"/>
      <c r="N17" s="2244"/>
      <c r="O17" s="1669"/>
      <c r="P17" s="2244"/>
      <c r="Q17" s="2244"/>
      <c r="R17" s="2244"/>
      <c r="S17" s="2244"/>
      <c r="T17" s="2244"/>
      <c r="U17" s="2244"/>
      <c r="V17" s="2244"/>
    </row>
    <row r="18" spans="1:28" ht="24.6" thickBot="1">
      <c r="A18" s="2222" t="s">
        <v>2199</v>
      </c>
      <c r="B18" s="1027" t="s">
        <v>2200</v>
      </c>
      <c r="C18" s="2223">
        <f>'数据-汇总表'!D3</f>
        <v>3862.4</v>
      </c>
      <c r="D18" s="1029" t="s">
        <v>2201</v>
      </c>
      <c r="E18" s="3241" t="s">
        <v>2202</v>
      </c>
      <c r="F18" s="3242"/>
      <c r="G18" s="3242"/>
      <c r="H18" s="3242"/>
      <c r="I18" s="3243"/>
      <c r="J18" s="2244"/>
      <c r="K18" s="2403"/>
      <c r="L18" s="1669"/>
      <c r="M18" s="1669"/>
      <c r="N18" s="2244"/>
      <c r="O18" s="1669"/>
      <c r="P18" s="2244"/>
      <c r="Q18" s="2244"/>
      <c r="R18" s="2244"/>
      <c r="S18" s="2244"/>
      <c r="T18" s="2244"/>
      <c r="U18" s="2244"/>
      <c r="V18" s="2244"/>
    </row>
    <row r="19" spans="1:28" ht="37.200000000000003" thickTop="1" thickBot="1">
      <c r="A19" s="319" t="s">
        <v>1055</v>
      </c>
      <c r="B19" s="299" t="s">
        <v>2203</v>
      </c>
      <c r="C19" s="1454"/>
      <c r="D19" s="1455" t="s">
        <v>2204</v>
      </c>
      <c r="E19" s="1456"/>
      <c r="F19" s="1457" t="str">
        <f>IF(AND(C19="是",E19="否"),"是否提供他项权证或相关说明","")</f>
        <v/>
      </c>
      <c r="G19" s="1458"/>
      <c r="H19" s="2441"/>
      <c r="I19" s="2441"/>
      <c r="J19" s="2244"/>
      <c r="K19" s="2401"/>
      <c r="L19" s="2398"/>
      <c r="M19" s="2398"/>
      <c r="N19" s="2244"/>
      <c r="O19" s="1669"/>
      <c r="P19" s="2244"/>
      <c r="Q19" s="2244"/>
      <c r="R19" s="2244"/>
      <c r="S19" s="2244"/>
      <c r="T19" s="2244"/>
      <c r="U19" s="2244"/>
      <c r="V19" s="2244"/>
    </row>
    <row r="20" spans="1:28">
      <c r="A20" s="2416" t="s">
        <v>2205</v>
      </c>
      <c r="B20" s="3228" t="s">
        <v>2206</v>
      </c>
      <c r="C20" s="3229"/>
      <c r="D20" s="3230" t="s">
        <v>2207</v>
      </c>
      <c r="E20" s="3231"/>
      <c r="F20" s="2429" t="s">
        <v>1056</v>
      </c>
      <c r="G20" s="2441"/>
      <c r="H20" s="2441"/>
      <c r="I20" s="2441"/>
      <c r="J20" s="2244"/>
      <c r="K20" s="3227"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36.6" thickBot="1">
      <c r="A21" s="2416"/>
      <c r="B21" s="2417" t="s">
        <v>2209</v>
      </c>
      <c r="C21" s="2295" t="s">
        <v>1057</v>
      </c>
      <c r="D21" s="1459" t="s">
        <v>2210</v>
      </c>
      <c r="E21" s="2418" t="s">
        <v>1057</v>
      </c>
      <c r="F21" s="2430"/>
      <c r="G21" s="2441"/>
      <c r="H21" s="2441"/>
      <c r="I21" s="2441"/>
      <c r="J21" s="2244"/>
      <c r="K21" s="3227"/>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36.6" thickBot="1">
      <c r="A22" s="2416"/>
      <c r="B22" s="2419" t="s">
        <v>2211</v>
      </c>
      <c r="C22" s="2295" t="s">
        <v>1058</v>
      </c>
      <c r="D22" s="2441"/>
      <c r="E22" s="2441"/>
      <c r="F22" s="2441"/>
      <c r="G22" s="2441"/>
      <c r="H22" s="2441"/>
      <c r="I22" s="2441"/>
      <c r="J22" s="2244"/>
      <c r="K22" s="3227"/>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8" thickTop="1">
      <c r="A27" s="3216"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16"/>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16"/>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17"/>
      <c r="B30" s="294" t="s">
        <v>2218</v>
      </c>
      <c r="C30" s="3218"/>
      <c r="D30" s="3219"/>
      <c r="E30" s="2441"/>
      <c r="F30" s="2441"/>
      <c r="G30" s="2441"/>
      <c r="H30" s="2441"/>
      <c r="I30" s="2441"/>
      <c r="J30" s="2244"/>
      <c r="K30" s="2401"/>
      <c r="L30" s="2398"/>
      <c r="M30" s="2398"/>
      <c r="N30" s="2244"/>
      <c r="O30" s="1669"/>
      <c r="P30" s="2244"/>
      <c r="Q30" s="2244"/>
      <c r="R30" s="2244"/>
      <c r="S30" s="2244"/>
      <c r="T30" s="2244"/>
      <c r="U30" s="2244"/>
      <c r="V30" s="2244"/>
    </row>
    <row r="31" spans="1:28">
      <c r="A31" s="3220" t="s">
        <v>2219</v>
      </c>
      <c r="B31" s="2230"/>
      <c r="C31" s="12" t="str">
        <f>IF(B31="现房","成新及维护状况正常否",IF(B31="在建","工程状态是否正常",IF(B31="土地","是否闲置","-")))</f>
        <v>-</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221"/>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221"/>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15" t="s">
        <v>2228</v>
      </c>
      <c r="T34" s="315" t="str">
        <f>NUMBERSTRING(7-K34,1)&amp;"通"</f>
        <v>七通</v>
      </c>
      <c r="U34" s="2244"/>
      <c r="V34" s="2244"/>
    </row>
    <row r="35" spans="1:30">
      <c r="A35" s="2235"/>
      <c r="B35" s="3215" t="s">
        <v>2229</v>
      </c>
      <c r="C35" s="3215"/>
      <c r="D35" s="3215"/>
      <c r="E35" s="3215"/>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5"/>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2579</v>
      </c>
      <c r="G36" s="2441"/>
      <c r="H36" s="2441"/>
      <c r="I36" s="2441"/>
      <c r="J36" s="2244"/>
      <c r="K36" s="2401"/>
      <c r="L36" s="2398"/>
      <c r="M36" s="2398"/>
      <c r="N36" s="2244"/>
      <c r="O36" s="1669"/>
      <c r="P36" s="2244"/>
      <c r="Q36" s="2244"/>
      <c r="R36" s="2244"/>
      <c r="S36" s="2244"/>
      <c r="T36" s="2244"/>
      <c r="U36" s="2244"/>
      <c r="V36" s="2244"/>
    </row>
    <row r="37" spans="1:30">
      <c r="A37" s="2414" t="s">
        <v>2230</v>
      </c>
      <c r="B37" s="2236" t="s">
        <v>296</v>
      </c>
      <c r="C37" s="2236" t="s">
        <v>296</v>
      </c>
      <c r="D37" s="2236"/>
      <c r="E37" s="2236"/>
      <c r="F37" s="2236"/>
      <c r="G37" s="2441"/>
      <c r="H37" s="2441"/>
      <c r="I37" s="2441"/>
      <c r="J37" s="2244"/>
      <c r="K37" s="2401"/>
      <c r="L37" s="2398"/>
      <c r="M37" s="2398"/>
      <c r="N37" s="2244"/>
      <c r="O37" s="1669"/>
      <c r="P37" s="2244"/>
      <c r="Q37" s="2244"/>
      <c r="R37" s="2244"/>
      <c r="S37" s="2244"/>
      <c r="T37" s="2244"/>
      <c r="U37" s="2244"/>
      <c r="V37" s="2244"/>
    </row>
    <row r="38" spans="1:30" ht="13.8" thickBot="1">
      <c r="A38" s="2415" t="s">
        <v>2231</v>
      </c>
      <c r="B38" s="2237" t="s">
        <v>169</v>
      </c>
      <c r="C38" s="2237" t="s">
        <v>169</v>
      </c>
      <c r="D38" s="2237"/>
      <c r="E38" s="2237"/>
      <c r="F38" s="2237"/>
      <c r="G38" s="2442"/>
      <c r="H38" s="2442"/>
      <c r="I38" s="2442"/>
      <c r="J38" s="2244"/>
      <c r="K38" s="2401"/>
      <c r="L38" s="2398"/>
      <c r="M38" s="2398"/>
      <c r="N38" s="2244"/>
      <c r="O38" s="1669"/>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f>面积取值!D3+面积取值!D4</f>
        <v>3862.4000000000005</v>
      </c>
      <c r="B3" s="11">
        <f>IF(C3="否",G5-AT5,G5)</f>
        <v>17457.32</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17457.32</v>
      </c>
      <c r="H5" s="13">
        <f t="shared" ref="H5:AT5" si="0">SUM(H13:H656)</f>
        <v>17457.32</v>
      </c>
      <c r="I5" s="13">
        <f t="shared" si="0"/>
        <v>9577.27</v>
      </c>
      <c r="J5" s="13">
        <f t="shared" si="0"/>
        <v>0</v>
      </c>
      <c r="K5" s="13">
        <f t="shared" si="0"/>
        <v>7880.05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17457.32</v>
      </c>
      <c r="BA5" s="15">
        <f t="shared" si="1"/>
        <v>17457.32</v>
      </c>
      <c r="BB5" s="15">
        <f t="shared" si="1"/>
        <v>9577.27</v>
      </c>
      <c r="BC5" s="15">
        <f t="shared" si="1"/>
        <v>7880.05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3862.3999999999996</v>
      </c>
      <c r="F6" s="13" t="s">
        <v>0</v>
      </c>
      <c r="G6" s="13" t="s">
        <v>1</v>
      </c>
      <c r="H6" s="17">
        <f>SUMIF(I$12:AB$12,"总值",I6:AB6)</f>
        <v>3862.3999999999996</v>
      </c>
      <c r="I6" s="13">
        <f t="shared" ref="I6:AB6" si="2">ROUND($A$3*I5/$B$3,2)</f>
        <v>2118.9499999999998</v>
      </c>
      <c r="J6" s="13">
        <f t="shared" si="2"/>
        <v>0</v>
      </c>
      <c r="K6" s="13">
        <f t="shared" si="2"/>
        <v>1743.45</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3862.4</v>
      </c>
      <c r="AZ6" s="13" t="s">
        <v>2</v>
      </c>
      <c r="BA6" s="13">
        <f>ROUND($AY$6*BA5/$AZ$5,2)</f>
        <v>3862.4</v>
      </c>
      <c r="BB6" s="13">
        <f>ROUND($AY$6*BB5/$AZ$5,2)</f>
        <v>2118.9499999999998</v>
      </c>
      <c r="BC6" s="13">
        <f t="shared" ref="BC6:BH6" si="4">ROUND($AY$6*BC5/$AZ$5,2)</f>
        <v>1743.45</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7"/>
      <c r="H9" s="1489" t="s">
        <v>1091</v>
      </c>
      <c r="I9" s="1490" t="s">
        <v>3419</v>
      </c>
      <c r="J9" s="761"/>
      <c r="K9" s="1490" t="s">
        <v>3420</v>
      </c>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3.2">
      <c r="A10" s="1481"/>
      <c r="B10" s="1481"/>
      <c r="C10" s="1481"/>
      <c r="D10" s="1481"/>
      <c r="E10" s="1481"/>
      <c r="F10" s="1481"/>
      <c r="G10" s="1007"/>
      <c r="H10" s="25"/>
      <c r="I10" s="1490" t="s">
        <v>21</v>
      </c>
      <c r="J10" s="761"/>
      <c r="K10" s="1490" t="s">
        <v>21</v>
      </c>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办公</v>
      </c>
      <c r="BC11" s="1486" t="str">
        <f>K10</f>
        <v>办公</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8"/>
      <c r="B13" s="628"/>
      <c r="C13" s="2243" t="str">
        <f>面积取值!B24</f>
        <v>1层</v>
      </c>
      <c r="D13" s="1512" t="s">
        <v>3418</v>
      </c>
      <c r="E13" s="13">
        <f>IF($C$3="是",ROUND($A$3*G13/$B$3,2),ROUND($A$3*(G13-AT13)/$B$3,2))</f>
        <v>1025.75</v>
      </c>
      <c r="F13" s="29"/>
      <c r="G13" s="30">
        <f>H13+AC13+AT13</f>
        <v>4636.1900000000005</v>
      </c>
      <c r="H13" s="17">
        <f>SUMIF(I$12:AB$12,"总值",I13:AB13)</f>
        <v>4636.1900000000005</v>
      </c>
      <c r="I13" s="1513">
        <f>面积取值!C24</f>
        <v>4636.1900000000005</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t="str">
        <f t="shared" si="6"/>
        <v>1层</v>
      </c>
      <c r="AY13" s="1259">
        <f>ROUND($AY$6*AZ13/$AZ$5,2)</f>
        <v>1025.75</v>
      </c>
      <c r="AZ13" s="13">
        <f>BA13+BL13</f>
        <v>4636.1900000000005</v>
      </c>
      <c r="BA13" s="13">
        <f>SUM(BB13:BK13)</f>
        <v>4636.1900000000005</v>
      </c>
      <c r="BB13" s="13">
        <f>IF($D13="是",I13-J13,0)</f>
        <v>4636.1900000000005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8"/>
      <c r="B14" s="628"/>
      <c r="C14" s="2243" t="str">
        <f>面积取值!B25</f>
        <v>2层</v>
      </c>
      <c r="D14" s="1512" t="s">
        <v>3418</v>
      </c>
      <c r="E14" s="13">
        <f>IF($C$3="是",ROUND($A$3*G14/$B$3,2),ROUND($A$3*(G14-AT14)/$B$3,2))</f>
        <v>546.6</v>
      </c>
      <c r="F14" s="29"/>
      <c r="G14" s="30">
        <f>H14+AC14+AT14</f>
        <v>2470.54</v>
      </c>
      <c r="H14" s="17">
        <f>SUMIF(I$12:AB$12,"总值",I14:AB14)</f>
        <v>2470.54</v>
      </c>
      <c r="I14" s="1513">
        <f>面积取值!C25</f>
        <v>2470.54</v>
      </c>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t="str">
        <f t="shared" si="6"/>
        <v>2层</v>
      </c>
      <c r="AY14" s="1259">
        <f>ROUND($AY$6*AZ14/$AZ$5,2)</f>
        <v>546.6</v>
      </c>
      <c r="AZ14" s="13">
        <f>BA14+BL14</f>
        <v>2470.54</v>
      </c>
      <c r="BA14" s="13">
        <f>SUM(BB14:BK14)</f>
        <v>2470.54</v>
      </c>
      <c r="BB14" s="13">
        <f>IF($D14="是",I14-J14,0)</f>
        <v>2470.54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8"/>
      <c r="B15" s="628"/>
      <c r="C15" s="2243" t="str">
        <f>面积取值!B26</f>
        <v>3层</v>
      </c>
      <c r="D15" s="1512" t="s">
        <v>3418</v>
      </c>
      <c r="E15" s="13">
        <f>IF($C$3="是",ROUND($A$3*G15/$B$3,2),ROUND($A$3*(G15-AT15)/$B$3,2))</f>
        <v>546.6</v>
      </c>
      <c r="F15" s="29"/>
      <c r="G15" s="30">
        <f>H15+AC15+AT15</f>
        <v>2470.54</v>
      </c>
      <c r="H15" s="17">
        <f>SUMIF(I$12:AB$12,"总值",I15:AB15)</f>
        <v>2470.54</v>
      </c>
      <c r="I15" s="1513">
        <f>面积取值!C26</f>
        <v>2470.54</v>
      </c>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t="str">
        <f t="shared" si="6"/>
        <v>3层</v>
      </c>
      <c r="AY15" s="1259">
        <f>ROUND($AY$6*AZ15/$AZ$5,2)</f>
        <v>546.6</v>
      </c>
      <c r="AZ15" s="13">
        <f>BA15+BL15</f>
        <v>2470.54</v>
      </c>
      <c r="BA15" s="13">
        <f>SUM(BB15:BK15)</f>
        <v>2470.54</v>
      </c>
      <c r="BB15" s="13">
        <f>IF($D15="是",I15-J15,0)</f>
        <v>2470.54</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3.2">
      <c r="A16" s="628"/>
      <c r="B16" s="628"/>
      <c r="C16" s="2243" t="str">
        <f>面积取值!B27</f>
        <v>-1层</v>
      </c>
      <c r="D16" s="1512" t="s">
        <v>3418</v>
      </c>
      <c r="E16" s="13">
        <f>IF($C$3="是",ROUND($A$3*G16/$B$3,2),ROUND($A$3*(G16-AT16)/$B$3,2))</f>
        <v>1257.56</v>
      </c>
      <c r="F16" s="29"/>
      <c r="G16" s="30">
        <f>H16+AC16+AT16</f>
        <v>5683.93</v>
      </c>
      <c r="H16" s="17">
        <f>SUMIF(I$12:AB$12,"总值",I16:AB16)</f>
        <v>5683.93</v>
      </c>
      <c r="I16" s="1513"/>
      <c r="J16" s="1513"/>
      <c r="K16" s="1513">
        <f>面积取值!C27</f>
        <v>5683.93</v>
      </c>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t="str">
        <f t="shared" si="6"/>
        <v>-1层</v>
      </c>
      <c r="AY16" s="1259">
        <f>ROUND($AY$6*AZ16/$AZ$5,2)</f>
        <v>1257.56</v>
      </c>
      <c r="AZ16" s="13">
        <f>BA16+BL16</f>
        <v>5683.93</v>
      </c>
      <c r="BA16" s="13">
        <f>SUM(BB16:BK16)</f>
        <v>5683.93</v>
      </c>
      <c r="BB16" s="13">
        <f>IF($D16="是",I16-J16,0)</f>
        <v>0</v>
      </c>
      <c r="BC16" s="13">
        <f>IF($D16="是",K16-L16,0)</f>
        <v>5683.93</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3.2">
      <c r="A17" s="628"/>
      <c r="B17" s="628"/>
      <c r="C17" s="2243" t="str">
        <f>面积取值!B28</f>
        <v>-2层</v>
      </c>
      <c r="D17" s="1512" t="s">
        <v>3418</v>
      </c>
      <c r="E17" s="13">
        <f>IF($C$3="是",ROUND($A$3*G17/$B$3,2),ROUND($A$3*(G17-AT17)/$B$3,2))</f>
        <v>485.89</v>
      </c>
      <c r="F17" s="29"/>
      <c r="G17" s="30">
        <f>H17+AC17+AT17</f>
        <v>2196.12</v>
      </c>
      <c r="H17" s="17">
        <f>SUMIF(I$12:AB$12,"总值",I17:AB17)</f>
        <v>2196.12</v>
      </c>
      <c r="I17" s="1513"/>
      <c r="J17" s="1513"/>
      <c r="K17" s="1513">
        <f>面积取值!C28</f>
        <v>2196.12</v>
      </c>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t="str">
        <f t="shared" si="6"/>
        <v>-2层</v>
      </c>
      <c r="AY17" s="1259">
        <f>ROUND($AY$6*AZ17/$AZ$5,2)</f>
        <v>485.89</v>
      </c>
      <c r="AZ17" s="13">
        <f>BA17+BL17</f>
        <v>2196.12</v>
      </c>
      <c r="BA17" s="13">
        <f>SUM(BB17:BK17)</f>
        <v>2196.12</v>
      </c>
      <c r="BB17" s="13">
        <f>IF($D17="是",I17-J17,0)</f>
        <v>0</v>
      </c>
      <c r="BC17" s="13">
        <f>IF($D17="是",K17-L17,0)</f>
        <v>2196.12</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2243"/>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2"/>
  <sheetViews>
    <sheetView topLeftCell="A7" workbookViewId="0">
      <selection activeCell="D3" sqref="D3:D4"/>
    </sheetView>
  </sheetViews>
  <sheetFormatPr defaultRowHeight="14.4"/>
  <cols>
    <col min="1" max="2" width="10.88671875" customWidth="1"/>
    <col min="3" max="4" width="13.44140625" customWidth="1"/>
    <col min="5" max="5" width="10.77734375" customWidth="1"/>
    <col min="6" max="6" width="9.21875" customWidth="1"/>
    <col min="7" max="7" width="10.21875" customWidth="1"/>
    <col min="8" max="8" width="11.6640625" bestFit="1" customWidth="1"/>
  </cols>
  <sheetData>
    <row r="1" spans="1:8">
      <c r="A1" s="1420" t="s">
        <v>3383</v>
      </c>
      <c r="F1" s="2813"/>
      <c r="G1" s="2813"/>
    </row>
    <row r="2" spans="1:8">
      <c r="A2" s="1428"/>
      <c r="B2" s="1428" t="s">
        <v>3383</v>
      </c>
      <c r="C2" s="3152"/>
      <c r="D2" s="1428" t="s">
        <v>3385</v>
      </c>
      <c r="E2" s="1428" t="s">
        <v>3389</v>
      </c>
      <c r="F2" s="2813"/>
      <c r="G2" s="3145" t="s">
        <v>3407</v>
      </c>
      <c r="H2" s="3145" t="s">
        <v>3409</v>
      </c>
    </row>
    <row r="3" spans="1:8">
      <c r="A3" s="3148">
        <v>1</v>
      </c>
      <c r="B3" s="1428" t="s">
        <v>3388</v>
      </c>
      <c r="C3" s="1428" t="s">
        <v>3384</v>
      </c>
      <c r="D3" s="3148">
        <v>1268.1400000000001</v>
      </c>
      <c r="E3" s="3148">
        <v>5731.73</v>
      </c>
      <c r="F3" s="2813"/>
      <c r="G3" s="3145" t="s">
        <v>3386</v>
      </c>
      <c r="H3" s="3146">
        <v>54392</v>
      </c>
    </row>
    <row r="4" spans="1:8">
      <c r="A4" s="3148">
        <v>2</v>
      </c>
      <c r="B4" s="1428" t="s">
        <v>3387</v>
      </c>
      <c r="C4" s="1428" t="s">
        <v>3384</v>
      </c>
      <c r="D4" s="3148">
        <v>2594.2600000000002</v>
      </c>
      <c r="E4" s="3148">
        <v>11725.6</v>
      </c>
      <c r="F4" s="2813"/>
      <c r="G4" s="2813"/>
    </row>
    <row r="5" spans="1:8">
      <c r="A5" s="2813"/>
      <c r="B5" s="2813"/>
      <c r="C5" s="2813"/>
      <c r="D5" s="2813"/>
      <c r="E5" s="2813"/>
      <c r="F5" s="2813"/>
      <c r="G5" s="2813"/>
    </row>
    <row r="6" spans="1:8">
      <c r="A6" s="2813"/>
      <c r="B6" s="2813"/>
      <c r="C6" s="2813"/>
      <c r="D6" s="2813"/>
      <c r="E6" s="2813"/>
      <c r="F6" s="2813"/>
      <c r="G6" s="2813"/>
    </row>
    <row r="7" spans="1:8">
      <c r="A7" s="2813"/>
      <c r="B7" s="2813"/>
      <c r="C7" s="2813"/>
      <c r="D7" s="2813"/>
      <c r="E7" s="2813"/>
      <c r="F7" s="2813"/>
      <c r="G7" s="2813"/>
    </row>
    <row r="8" spans="1:8">
      <c r="A8" s="1420" t="s">
        <v>3391</v>
      </c>
      <c r="B8" s="1420" t="s">
        <v>3392</v>
      </c>
      <c r="C8" s="1420" t="s">
        <v>3394</v>
      </c>
      <c r="D8" s="1420" t="s">
        <v>3396</v>
      </c>
      <c r="E8" s="2813"/>
      <c r="F8" s="2813"/>
      <c r="G8" s="2813"/>
    </row>
    <row r="9" spans="1:8">
      <c r="A9" s="3244" t="s">
        <v>3390</v>
      </c>
      <c r="B9" s="3147" t="s">
        <v>3393</v>
      </c>
      <c r="C9" s="1428" t="s">
        <v>3395</v>
      </c>
      <c r="D9" s="3148">
        <v>117</v>
      </c>
      <c r="E9" s="3165">
        <v>2336.59</v>
      </c>
      <c r="F9" s="2813"/>
      <c r="G9" s="2813"/>
    </row>
    <row r="10" spans="1:8">
      <c r="A10" s="3244"/>
      <c r="B10" s="3147" t="s">
        <v>3397</v>
      </c>
      <c r="C10" s="3148"/>
      <c r="D10" s="3148">
        <v>144</v>
      </c>
      <c r="E10" s="3148">
        <v>2885.39</v>
      </c>
    </row>
    <row r="11" spans="1:8">
      <c r="A11" s="3244"/>
      <c r="B11" s="3149"/>
      <c r="C11" s="3148"/>
      <c r="D11" s="3148"/>
      <c r="E11" s="3148">
        <v>509.75</v>
      </c>
    </row>
    <row r="12" spans="1:8" s="3151" customFormat="1">
      <c r="A12" s="3244"/>
      <c r="B12" s="3150" t="s">
        <v>3398</v>
      </c>
      <c r="C12" s="3150"/>
      <c r="D12" s="3150"/>
      <c r="E12" s="3150">
        <f>SUM(E9:E11)</f>
        <v>5731.73</v>
      </c>
    </row>
    <row r="13" spans="1:8">
      <c r="A13" s="3244" t="s">
        <v>3403</v>
      </c>
      <c r="B13" s="3147" t="s">
        <v>3399</v>
      </c>
      <c r="C13" s="1428" t="s">
        <v>3395</v>
      </c>
      <c r="D13" s="3148">
        <v>153</v>
      </c>
      <c r="E13" s="3148">
        <v>2299.6</v>
      </c>
    </row>
    <row r="14" spans="1:8">
      <c r="A14" s="3244"/>
      <c r="B14" s="3147" t="s">
        <v>3399</v>
      </c>
      <c r="C14" s="1428" t="s">
        <v>3400</v>
      </c>
      <c r="D14" s="3148">
        <v>165</v>
      </c>
      <c r="E14" s="3148">
        <v>2470.54</v>
      </c>
    </row>
    <row r="15" spans="1:8">
      <c r="A15" s="3244"/>
      <c r="B15" s="3147" t="s">
        <v>3399</v>
      </c>
      <c r="C15" s="1428" t="s">
        <v>3401</v>
      </c>
      <c r="D15" s="3148">
        <v>165</v>
      </c>
      <c r="E15" s="3148">
        <v>2470.54</v>
      </c>
    </row>
    <row r="16" spans="1:8">
      <c r="A16" s="3244"/>
      <c r="B16" s="3147" t="s">
        <v>3397</v>
      </c>
      <c r="C16" s="3148"/>
      <c r="D16" s="3148">
        <v>150</v>
      </c>
      <c r="E16" s="3148">
        <v>2288.79</v>
      </c>
    </row>
    <row r="17" spans="1:8">
      <c r="A17" s="3244"/>
      <c r="B17" s="3147" t="s">
        <v>3402</v>
      </c>
      <c r="C17" s="3148"/>
      <c r="D17" s="3148">
        <v>147</v>
      </c>
      <c r="E17" s="3148">
        <v>2196.12</v>
      </c>
      <c r="G17">
        <f>E12</f>
        <v>5731.73</v>
      </c>
    </row>
    <row r="18" spans="1:8" s="3151" customFormat="1">
      <c r="A18" s="3244"/>
      <c r="B18" s="3150" t="s">
        <v>3398</v>
      </c>
      <c r="C18" s="3150"/>
      <c r="D18" s="3150"/>
      <c r="E18" s="3150">
        <f>SUM(E13:E17)</f>
        <v>11725.59</v>
      </c>
      <c r="G18" s="3151">
        <v>11725.6</v>
      </c>
      <c r="H18" s="3151">
        <f>E18-G18</f>
        <v>-1.0000000000218279E-2</v>
      </c>
    </row>
    <row r="19" spans="1:8">
      <c r="G19">
        <f>G17+G18</f>
        <v>17457.330000000002</v>
      </c>
    </row>
    <row r="22" spans="1:8">
      <c r="D22" s="3154" t="s">
        <v>3410</v>
      </c>
    </row>
    <row r="23" spans="1:8">
      <c r="B23" s="3144"/>
      <c r="C23" s="1428" t="s">
        <v>3389</v>
      </c>
      <c r="D23" s="3153" t="s">
        <v>3406</v>
      </c>
      <c r="E23" s="1428" t="s">
        <v>3412</v>
      </c>
      <c r="F23" s="1428" t="s">
        <v>3411</v>
      </c>
      <c r="G23" s="1428"/>
    </row>
    <row r="24" spans="1:8">
      <c r="B24" s="3147" t="s">
        <v>3395</v>
      </c>
      <c r="C24" s="1428">
        <f>E9+E13</f>
        <v>4636.1900000000005</v>
      </c>
      <c r="D24" s="3153">
        <v>5578.72</v>
      </c>
      <c r="E24" s="1428">
        <v>8.7200000000000006</v>
      </c>
      <c r="F24" s="1428">
        <v>1</v>
      </c>
      <c r="G24" s="1428">
        <f>E24</f>
        <v>8.7200000000000006</v>
      </c>
    </row>
    <row r="25" spans="1:8">
      <c r="B25" s="3147" t="s">
        <v>3400</v>
      </c>
      <c r="C25" s="1428">
        <f>E14</f>
        <v>2470.54</v>
      </c>
      <c r="D25" s="3153">
        <v>2008.35</v>
      </c>
      <c r="E25" s="1428">
        <v>5.05</v>
      </c>
      <c r="F25" s="1428">
        <v>0.7</v>
      </c>
      <c r="G25" s="1428">
        <f>$G$24*F25</f>
        <v>6.1040000000000001</v>
      </c>
    </row>
    <row r="26" spans="1:8">
      <c r="B26" s="3147" t="s">
        <v>3401</v>
      </c>
      <c r="C26" s="1428">
        <f>E15</f>
        <v>2470.54</v>
      </c>
      <c r="D26" s="3153">
        <v>3221.55</v>
      </c>
      <c r="E26" s="1428">
        <v>4.04</v>
      </c>
      <c r="F26" s="1428">
        <v>0.6</v>
      </c>
      <c r="G26" s="1428">
        <f>$G$24*F26</f>
        <v>5.2320000000000002</v>
      </c>
    </row>
    <row r="27" spans="1:8">
      <c r="B27" s="3147" t="s">
        <v>3404</v>
      </c>
      <c r="C27" s="1428">
        <f>E10+E16+E11</f>
        <v>5683.93</v>
      </c>
      <c r="D27" s="3153">
        <v>5455.72</v>
      </c>
      <c r="E27" s="1428">
        <v>4.5999999999999996</v>
      </c>
      <c r="F27" s="1428">
        <v>0.5</v>
      </c>
      <c r="G27" s="1428">
        <f>$G$24*F27</f>
        <v>4.3600000000000003</v>
      </c>
    </row>
    <row r="28" spans="1:8">
      <c r="B28" s="3147" t="s">
        <v>3405</v>
      </c>
      <c r="C28" s="1428">
        <f>E17</f>
        <v>2196.12</v>
      </c>
      <c r="D28" s="3153" t="s">
        <v>3413</v>
      </c>
      <c r="E28" s="1428">
        <f>G17</f>
        <v>5731.73</v>
      </c>
      <c r="F28" s="1428">
        <f>H17</f>
        <v>0</v>
      </c>
      <c r="G28" s="1428">
        <v>1</v>
      </c>
    </row>
    <row r="29" spans="1:8">
      <c r="B29" s="3147"/>
      <c r="C29" s="1428">
        <f>SUM(C24:C28)</f>
        <v>17457.32</v>
      </c>
      <c r="D29" s="3153">
        <f>SUM(D24:D28)</f>
        <v>16264.34</v>
      </c>
      <c r="E29" s="1428"/>
      <c r="F29" s="1428">
        <f>SUM(F24:F28)</f>
        <v>2.8</v>
      </c>
      <c r="G29" s="3167">
        <f>SUMPRODUCT(G24:G28,C24:C28)/C29</f>
        <v>5.4654249930688108</v>
      </c>
    </row>
    <row r="31" spans="1:8">
      <c r="D31" s="1404" t="s">
        <v>3413</v>
      </c>
      <c r="E31">
        <f>C28/40</f>
        <v>54.902999999999999</v>
      </c>
      <c r="F31">
        <v>1000</v>
      </c>
      <c r="G31">
        <f>E31*F31*12/365/C28</f>
        <v>0.82191780821917815</v>
      </c>
    </row>
    <row r="34" spans="2:8" s="3155" customFormat="1"/>
    <row r="35" spans="2:8" s="3155" customFormat="1">
      <c r="B35" s="3155" t="s">
        <v>3435</v>
      </c>
    </row>
    <row r="36" spans="2:8" s="3155" customFormat="1">
      <c r="B36" s="3156"/>
      <c r="C36" s="3157" t="s">
        <v>3436</v>
      </c>
      <c r="D36" s="3157" t="s">
        <v>3437</v>
      </c>
      <c r="E36" s="3157" t="s">
        <v>3438</v>
      </c>
      <c r="F36" s="3156"/>
      <c r="G36" s="3158" t="s">
        <v>3439</v>
      </c>
    </row>
    <row r="37" spans="2:8" s="3155" customFormat="1">
      <c r="B37" s="3159" t="s">
        <v>3440</v>
      </c>
      <c r="C37" s="3160">
        <f>C38+C39</f>
        <v>17457.32</v>
      </c>
      <c r="D37" s="3160">
        <f>E37/C37</f>
        <v>3538.1957253461587</v>
      </c>
      <c r="E37" s="3160">
        <f>E38+E39</f>
        <v>61767415</v>
      </c>
      <c r="F37" s="3156"/>
      <c r="G37" s="3161">
        <v>1</v>
      </c>
    </row>
    <row r="38" spans="2:8" s="3155" customFormat="1">
      <c r="B38" s="3157" t="s">
        <v>3419</v>
      </c>
      <c r="C38" s="3162">
        <f>C24+C25+C26</f>
        <v>9577.27</v>
      </c>
      <c r="D38" s="3156">
        <v>2500</v>
      </c>
      <c r="E38" s="3156">
        <f>D38*C38</f>
        <v>23943175</v>
      </c>
      <c r="F38" s="3156"/>
      <c r="G38" s="3156"/>
    </row>
    <row r="39" spans="2:8" s="3155" customFormat="1">
      <c r="B39" s="3157" t="s">
        <v>3420</v>
      </c>
      <c r="C39" s="3162">
        <f>C27+C28</f>
        <v>7880.05</v>
      </c>
      <c r="D39" s="3156">
        <v>4800</v>
      </c>
      <c r="E39" s="3156">
        <f t="shared" ref="E39:E42" si="0">D39*C39</f>
        <v>37824240</v>
      </c>
      <c r="F39" s="3156"/>
      <c r="G39" s="3156"/>
    </row>
    <row r="40" spans="2:8" s="3155" customFormat="1">
      <c r="B40" s="3159" t="s">
        <v>3441</v>
      </c>
      <c r="C40" s="3160">
        <f>C37</f>
        <v>17457.32</v>
      </c>
      <c r="D40" s="3160">
        <v>1000</v>
      </c>
      <c r="E40" s="3160">
        <f t="shared" si="0"/>
        <v>17457320</v>
      </c>
      <c r="F40" s="3156"/>
      <c r="G40" s="3161">
        <v>1</v>
      </c>
    </row>
    <row r="41" spans="2:8" s="3155" customFormat="1">
      <c r="B41" s="3159" t="s">
        <v>3442</v>
      </c>
      <c r="C41" s="3160">
        <f>C37</f>
        <v>17457.32</v>
      </c>
      <c r="D41" s="3160">
        <v>1500</v>
      </c>
      <c r="E41" s="3160">
        <f t="shared" si="0"/>
        <v>26185980</v>
      </c>
      <c r="F41" s="3156"/>
      <c r="G41" s="3161">
        <v>1</v>
      </c>
    </row>
    <row r="42" spans="2:8" s="3155" customFormat="1">
      <c r="B42" s="3159" t="s">
        <v>3443</v>
      </c>
      <c r="C42" s="3160">
        <v>0</v>
      </c>
      <c r="D42" s="3160">
        <f>D39</f>
        <v>4800</v>
      </c>
      <c r="E42" s="3160">
        <f t="shared" si="0"/>
        <v>0</v>
      </c>
      <c r="F42" s="3156"/>
      <c r="G42" s="3156"/>
    </row>
    <row r="43" spans="2:8" s="3155" customFormat="1">
      <c r="B43" s="3157" t="s">
        <v>3444</v>
      </c>
      <c r="C43" s="3156">
        <f>C37</f>
        <v>17457.32</v>
      </c>
      <c r="D43" s="3156">
        <f>E43/C43</f>
        <v>6038.1957253461587</v>
      </c>
      <c r="E43" s="3156">
        <f>E37+E40+E41+E42</f>
        <v>105410715</v>
      </c>
      <c r="F43" s="3156"/>
      <c r="G43" s="3159">
        <f>(G37*E37+G40*E40+G41*E41)/E43</f>
        <v>1</v>
      </c>
    </row>
    <row r="44" spans="2:8" s="3155" customFormat="1"/>
    <row r="45" spans="2:8" s="3155" customFormat="1"/>
    <row r="46" spans="2:8" s="3155" customFormat="1"/>
    <row r="47" spans="2:8" s="3155" customFormat="1">
      <c r="B47" s="3155" t="s">
        <v>3422</v>
      </c>
    </row>
    <row r="48" spans="2:8" s="3155" customFormat="1">
      <c r="B48" s="3156"/>
      <c r="C48" s="3157" t="s">
        <v>3445</v>
      </c>
      <c r="D48" s="3157"/>
      <c r="E48" s="3157" t="s">
        <v>3446</v>
      </c>
      <c r="F48" s="3157" t="s">
        <v>3427</v>
      </c>
      <c r="G48" s="3157" t="s">
        <v>3447</v>
      </c>
      <c r="H48" s="3158" t="s">
        <v>3422</v>
      </c>
    </row>
    <row r="49" spans="2:8" s="3155" customFormat="1">
      <c r="B49" s="3159" t="s">
        <v>3448</v>
      </c>
      <c r="C49" s="3160">
        <v>1998</v>
      </c>
      <c r="D49" s="3160">
        <v>2024</v>
      </c>
      <c r="E49" s="3160">
        <v>50</v>
      </c>
      <c r="F49" s="3156">
        <v>60</v>
      </c>
      <c r="G49" s="3156">
        <v>0</v>
      </c>
      <c r="H49" s="3163">
        <f>ROUND((1-G49)-(D49-C49)/F49,2)</f>
        <v>0.56999999999999995</v>
      </c>
    </row>
    <row r="50" spans="2:8" s="3155" customFormat="1">
      <c r="B50" s="3157" t="s">
        <v>3449</v>
      </c>
      <c r="C50" s="3162"/>
      <c r="D50" s="3156"/>
      <c r="E50" s="3156"/>
      <c r="F50" s="3156"/>
      <c r="G50" s="3156"/>
      <c r="H50" s="3161">
        <v>0.85</v>
      </c>
    </row>
    <row r="51" spans="2:8" s="3155" customFormat="1">
      <c r="B51" s="3157"/>
      <c r="C51" s="3156"/>
      <c r="D51" s="3156"/>
      <c r="E51" s="3156"/>
      <c r="F51" s="3156"/>
      <c r="G51" s="3156"/>
      <c r="H51" s="3164">
        <f>ROUND((H50+H49)/2,2)</f>
        <v>0.71</v>
      </c>
    </row>
    <row r="52" spans="2:8" s="3155" customFormat="1"/>
  </sheetData>
  <mergeCells count="2">
    <mergeCell ref="A9:A12"/>
    <mergeCell ref="A13:A18"/>
  </mergeCells>
  <phoneticPr fontId="134" type="noConversion"/>
  <pageMargins left="0.7" right="0.7" top="0.75" bottom="0.75" header="0.3" footer="0.3"/>
  <ignoredErrors>
    <ignoredError sqref="C27"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8"/>
  <sheetViews>
    <sheetView view="pageBreakPreview" zoomScale="70" zoomScaleNormal="100" zoomScaleSheetLayoutView="70" workbookViewId="0">
      <selection activeCell="D3" sqref="D3"/>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1"/>
      <c r="C1" s="1071"/>
      <c r="D1" s="1071"/>
      <c r="E1" s="1071"/>
      <c r="F1" s="1071"/>
      <c r="G1" s="1071"/>
      <c r="H1" s="1071"/>
      <c r="I1" s="1071"/>
      <c r="J1" s="1071"/>
      <c r="K1" s="1071"/>
      <c r="L1" s="1071"/>
      <c r="M1" s="1071"/>
      <c r="N1" s="1071"/>
      <c r="O1" s="1071"/>
      <c r="P1" s="1071"/>
    </row>
    <row r="2" spans="1:16" ht="14.4">
      <c r="A2" s="3254" t="s">
        <v>1131</v>
      </c>
      <c r="B2" s="3254"/>
      <c r="C2" s="3254"/>
      <c r="D2" s="748" t="s">
        <v>1107</v>
      </c>
      <c r="E2" s="1522" t="s">
        <v>1108</v>
      </c>
      <c r="F2" s="2438"/>
      <c r="G2" s="2431"/>
      <c r="H2" s="2432"/>
      <c r="I2" s="2145" t="s">
        <v>1132</v>
      </c>
      <c r="J2" s="2438"/>
      <c r="K2" s="2438"/>
      <c r="L2" s="2438"/>
      <c r="M2" s="2438"/>
      <c r="N2" s="2439"/>
      <c r="O2" s="2438"/>
      <c r="P2" s="2438"/>
    </row>
    <row r="3" spans="1:16" ht="15" thickBot="1">
      <c r="A3" s="3255" t="s">
        <v>1105</v>
      </c>
      <c r="B3" s="3255"/>
      <c r="C3" s="3255"/>
      <c r="D3" s="41">
        <f>'数据-基础表'!AY6</f>
        <v>3862.4</v>
      </c>
      <c r="E3" s="41">
        <f>'数据-基础表'!AZ5</f>
        <v>17457.32</v>
      </c>
      <c r="F3" s="2438"/>
      <c r="G3" s="42"/>
      <c r="H3" s="43" t="s">
        <v>1106</v>
      </c>
      <c r="I3" s="802">
        <f>ROUND('数据-基础表'!B3/'数据-基础表'!A3,2)</f>
        <v>4.5199999999999996</v>
      </c>
      <c r="J3" s="2438"/>
      <c r="K3" s="2438"/>
      <c r="L3" s="2438"/>
      <c r="M3" s="2438"/>
      <c r="N3" s="2439"/>
      <c r="O3" s="2438"/>
      <c r="P3" s="2438"/>
    </row>
    <row r="4" spans="1:16" ht="14.4">
      <c r="A4" s="3256"/>
      <c r="B4" s="3257"/>
      <c r="C4" s="3258"/>
      <c r="D4" s="1523" t="s">
        <v>1107</v>
      </c>
      <c r="E4" s="1524" t="s">
        <v>1108</v>
      </c>
      <c r="F4" s="2438"/>
      <c r="G4" s="2433" t="s">
        <v>1133</v>
      </c>
      <c r="H4" s="43" t="s">
        <v>1113</v>
      </c>
      <c r="I4" s="802">
        <f>ROUND(SUMIF('数据-基础表'!I9:AS9,"地上",'数据-基础表'!I5:AS5)/'数据-基础表'!A3,2)</f>
        <v>2.48</v>
      </c>
      <c r="J4" s="2438"/>
      <c r="K4" s="2438"/>
      <c r="L4" s="2438"/>
      <c r="M4" s="2438"/>
      <c r="N4" s="2439"/>
      <c r="O4" s="2438"/>
      <c r="P4" s="2438"/>
    </row>
    <row r="5" spans="1:16" ht="14.4">
      <c r="A5" s="42" t="s">
        <v>1109</v>
      </c>
      <c r="B5" s="3259" t="s">
        <v>1110</v>
      </c>
      <c r="C5" s="3259"/>
      <c r="D5" s="43">
        <f>ROUND($D$3*E5/$E$3,2)</f>
        <v>0</v>
      </c>
      <c r="E5" s="44">
        <f>SUMIF('数据-基础表'!$11:$11,"住宅",'数据-基础表'!$5:$5)</f>
        <v>0</v>
      </c>
      <c r="F5" s="2438"/>
      <c r="G5" s="42"/>
      <c r="H5" s="43" t="s">
        <v>1106</v>
      </c>
      <c r="I5" s="802">
        <f>ROUND(E31/D31,2)</f>
        <v>4.5199999999999996</v>
      </c>
      <c r="J5" s="2438"/>
      <c r="K5" s="2438"/>
      <c r="L5" s="2438"/>
      <c r="M5" s="2438"/>
      <c r="N5" s="2438"/>
      <c r="O5" s="2438"/>
      <c r="P5" s="2438"/>
    </row>
    <row r="6" spans="1:16" ht="15" thickBot="1">
      <c r="A6" s="1526"/>
      <c r="B6" s="3259" t="s">
        <v>1111</v>
      </c>
      <c r="C6" s="3259"/>
      <c r="D6" s="43">
        <f>ROUND($D$3*E6/$E$3,2)</f>
        <v>3862.4</v>
      </c>
      <c r="E6" s="44">
        <f>E3-E5</f>
        <v>17457.32</v>
      </c>
      <c r="F6" s="2438"/>
      <c r="G6" s="1528" t="s">
        <v>1112</v>
      </c>
      <c r="H6" s="45" t="s">
        <v>1113</v>
      </c>
      <c r="I6" s="2434">
        <f>ROUND(F31/D31,2)</f>
        <v>2.48</v>
      </c>
      <c r="J6" s="2438"/>
      <c r="K6" s="2438"/>
      <c r="L6" s="2438"/>
      <c r="M6" s="2438"/>
      <c r="N6" s="2438"/>
      <c r="O6" s="2438"/>
      <c r="P6" s="2438"/>
    </row>
    <row r="7" spans="1:16" ht="15" thickBot="1">
      <c r="A7" s="3251"/>
      <c r="B7" s="3252"/>
      <c r="C7" s="3253"/>
      <c r="D7" s="1523" t="s">
        <v>1107</v>
      </c>
      <c r="E7" s="1527" t="s">
        <v>1114</v>
      </c>
      <c r="F7" s="2438"/>
      <c r="G7" s="2435" t="s">
        <v>1115</v>
      </c>
      <c r="H7" s="95"/>
      <c r="I7" s="2436">
        <f>I6</f>
        <v>2.48</v>
      </c>
      <c r="J7" s="2438"/>
      <c r="K7" s="2438"/>
      <c r="L7" s="2438"/>
      <c r="M7" s="2438"/>
      <c r="N7" s="2438"/>
      <c r="O7" s="2438"/>
      <c r="P7" s="2438"/>
    </row>
    <row r="8" spans="1:16" ht="14.4">
      <c r="A8" s="42" t="s">
        <v>1116</v>
      </c>
      <c r="B8" s="45" t="s">
        <v>1117</v>
      </c>
      <c r="C8" s="43" t="s">
        <v>1118</v>
      </c>
      <c r="D8" s="43">
        <f t="shared" ref="D8:D15" si="0">ROUND($D$3*E8/$E$3,2)</f>
        <v>2118.9499999999998</v>
      </c>
      <c r="E8" s="46">
        <f>SUMIF('数据-基础表'!BB10:BK10,"地上",'数据-基础表'!BB5:BK5)</f>
        <v>9577.27</v>
      </c>
      <c r="F8" s="2438"/>
      <c r="G8" s="2438"/>
      <c r="H8" s="2438"/>
      <c r="I8" s="2438"/>
      <c r="J8" s="2438"/>
      <c r="K8" s="2438"/>
      <c r="L8" s="2438"/>
      <c r="M8" s="2438"/>
      <c r="N8" s="2438"/>
      <c r="O8" s="2438"/>
      <c r="P8" s="2438"/>
    </row>
    <row r="9" spans="1:16" ht="14.4">
      <c r="A9" s="1528"/>
      <c r="B9" s="1529"/>
      <c r="C9" s="43" t="s">
        <v>1119</v>
      </c>
      <c r="D9" s="43">
        <f t="shared" si="0"/>
        <v>0</v>
      </c>
      <c r="E9" s="47">
        <v>0</v>
      </c>
      <c r="F9" s="2438"/>
      <c r="G9" s="2438"/>
      <c r="H9" s="2438"/>
      <c r="I9" s="2438"/>
      <c r="J9" s="2438"/>
      <c r="K9" s="2438"/>
      <c r="L9" s="2438"/>
      <c r="M9" s="2438"/>
      <c r="N9" s="2438"/>
      <c r="O9" s="2438"/>
      <c r="P9" s="2438"/>
    </row>
    <row r="10" spans="1:16" ht="14.4">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8"/>
      <c r="B11" s="1529"/>
      <c r="C11" s="43" t="s">
        <v>1120</v>
      </c>
      <c r="D11" s="43">
        <f t="shared" si="0"/>
        <v>1743.45</v>
      </c>
      <c r="E11" s="46">
        <f>SUMPRODUCT(('数据-基础表'!BB10:BK10="地下")*('数据-基础表'!BB11:BK11="办公")*('数据-基础表'!BB5:BK5))+'数据-基础表'!BP5</f>
        <v>7880.05</v>
      </c>
      <c r="F11" s="2438"/>
      <c r="G11" s="2438"/>
      <c r="H11" s="2438"/>
      <c r="I11" s="2438"/>
      <c r="J11" s="2438"/>
      <c r="K11" s="2438"/>
      <c r="L11" s="2438"/>
      <c r="M11" s="2438"/>
      <c r="N11" s="2438"/>
      <c r="O11" s="2438"/>
      <c r="P11" s="2438"/>
    </row>
    <row r="12" spans="1:16" ht="14.4">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6"/>
      <c r="B16" s="1529"/>
      <c r="C16" s="45" t="s">
        <v>1123</v>
      </c>
      <c r="D16" s="45">
        <f>SUM(D8:D15)</f>
        <v>3862.3999999999996</v>
      </c>
      <c r="E16" s="48">
        <f>SUM(E8:E15)</f>
        <v>17457.32</v>
      </c>
      <c r="F16" s="2438"/>
      <c r="G16" s="2438"/>
      <c r="H16" s="1530" t="s">
        <v>1135</v>
      </c>
      <c r="I16" s="1531"/>
      <c r="J16" s="1071"/>
      <c r="K16" s="3248" t="s">
        <v>1135</v>
      </c>
      <c r="L16" s="3249"/>
      <c r="M16" s="3249"/>
      <c r="N16" s="3249"/>
      <c r="O16" s="3249"/>
      <c r="P16" s="3250"/>
    </row>
    <row r="17" spans="1:19" ht="14.4">
      <c r="A17" s="1532" t="s">
        <v>1136</v>
      </c>
      <c r="B17" s="1533" t="s">
        <v>1137</v>
      </c>
      <c r="C17" s="1534" t="s">
        <v>1138</v>
      </c>
      <c r="D17" s="1535" t="s">
        <v>1126</v>
      </c>
      <c r="E17" s="1536" t="s">
        <v>1127</v>
      </c>
      <c r="F17" s="1537"/>
      <c r="G17" s="1538"/>
      <c r="H17" s="1539" t="s">
        <v>1139</v>
      </c>
      <c r="I17" s="1540" t="s">
        <v>1124</v>
      </c>
      <c r="J17" s="1071"/>
      <c r="K17" s="3245" t="s">
        <v>1140</v>
      </c>
      <c r="L17" s="3246"/>
      <c r="M17" s="3247"/>
      <c r="N17" s="3245" t="s">
        <v>1141</v>
      </c>
      <c r="O17" s="3246"/>
      <c r="P17" s="3247"/>
      <c r="R17" s="769" t="s">
        <v>1142</v>
      </c>
      <c r="S17" s="54"/>
    </row>
    <row r="18" spans="1:19" ht="14.4">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ht="14.4">
      <c r="A19" s="1548"/>
      <c r="B19" s="45" t="s">
        <v>1125</v>
      </c>
      <c r="C19" s="3115" t="s">
        <v>3421</v>
      </c>
      <c r="D19" s="43">
        <f>ROUND($D$3*E19/$E$3,2)</f>
        <v>3862.4</v>
      </c>
      <c r="E19" s="51">
        <f t="shared" ref="E19:E26" si="1">SUM(F19:G19)</f>
        <v>17457.32</v>
      </c>
      <c r="F19" s="2557">
        <f>'数据-基础表'!I5</f>
        <v>9577.27</v>
      </c>
      <c r="G19" s="1242">
        <f>'数据-基础表'!K5</f>
        <v>7880.05</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3862.4</v>
      </c>
      <c r="S19" s="51">
        <f t="shared" si="5"/>
        <v>17457.32</v>
      </c>
    </row>
    <row r="20" spans="1:19" ht="14.4">
      <c r="A20" s="1548"/>
      <c r="B20" s="45" t="s">
        <v>1153</v>
      </c>
      <c r="C20" s="3115"/>
      <c r="D20" s="43">
        <f t="shared" ref="D20:D26" si="6">ROUND($D$3*E20/$E$3,2)</f>
        <v>0</v>
      </c>
      <c r="E20" s="51">
        <f t="shared" si="1"/>
        <v>0</v>
      </c>
      <c r="F20" s="2557"/>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ht="14.4">
      <c r="A21" s="1548"/>
      <c r="B21" s="45" t="s">
        <v>1153</v>
      </c>
      <c r="C21" s="3115"/>
      <c r="D21" s="43">
        <f t="shared" si="6"/>
        <v>0</v>
      </c>
      <c r="E21" s="51">
        <f t="shared" si="1"/>
        <v>0</v>
      </c>
      <c r="F21" s="2557"/>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ht="14.4">
      <c r="A22" s="1548"/>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ht="14.4">
      <c r="A23" s="1548"/>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ht="14.4">
      <c r="A24" s="1548"/>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ht="14.4">
      <c r="A25" s="1548"/>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2">
        <f>SUM(D19:D26)</f>
        <v>3862.4</v>
      </c>
      <c r="E27" s="1073">
        <f>IF(SUM(E19:E26)='数据-基础表'!BA5,SUM(E19:E26),IF(F27="地上面积有误","面积有误","地下面积有误"))</f>
        <v>17457.32</v>
      </c>
      <c r="F27" s="1072">
        <f>IF(SUM(F19:F26)=E8,SUM(F19:F26),"地上面积有误")</f>
        <v>9577.27</v>
      </c>
      <c r="G27" s="1074">
        <f>SUM(G19:G26)</f>
        <v>7880.05</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3862.4</v>
      </c>
      <c r="S27" s="43">
        <f>IF(SUM(S19:S26)=$E$3,SUM(S19:S26),SUM(S19:S26)&amp;"误差"&amp;ROUND(SUM(S19:S26)-E3,2))</f>
        <v>17457.32</v>
      </c>
    </row>
    <row r="28" spans="1:19" ht="14.4">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8"/>
      <c r="B30" s="45"/>
      <c r="C30" s="1555"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6"/>
      <c r="B31" s="96"/>
      <c r="C31" s="785" t="s">
        <v>1158</v>
      </c>
      <c r="D31" s="643">
        <f>D27+D30</f>
        <v>3862.4</v>
      </c>
      <c r="E31" s="643">
        <f>E27+E30</f>
        <v>17457.32</v>
      </c>
      <c r="F31" s="644">
        <f>F27+F30</f>
        <v>9577.27</v>
      </c>
      <c r="G31" s="645">
        <f>G27+G30</f>
        <v>7880.05</v>
      </c>
      <c r="H31" s="2438"/>
      <c r="I31" s="2438"/>
      <c r="J31" s="2438"/>
      <c r="K31" s="2438"/>
      <c r="L31" s="2438"/>
      <c r="M31" s="2438"/>
      <c r="N31" s="2438"/>
      <c r="O31" s="2438"/>
      <c r="P31" s="2438"/>
    </row>
    <row r="32" spans="1:19" ht="14.4">
      <c r="A32" s="1525"/>
      <c r="B32" s="1525" t="s">
        <v>1159</v>
      </c>
      <c r="C32" s="1525"/>
      <c r="D32" s="1525"/>
      <c r="E32" s="990">
        <f>SUMIF(C19:C26,"*住宅*",E19:E26)</f>
        <v>0</v>
      </c>
      <c r="F32" s="1525"/>
      <c r="G32" s="1525"/>
      <c r="H32" s="2438"/>
      <c r="I32" s="2438"/>
      <c r="J32" s="2438"/>
      <c r="K32" s="2438"/>
      <c r="L32" s="2438"/>
      <c r="M32" s="2438"/>
      <c r="N32" s="2438"/>
      <c r="O32" s="2438"/>
      <c r="P32" s="2438"/>
    </row>
    <row r="33" spans="4:8">
      <c r="D33" s="1557"/>
    </row>
    <row r="35" spans="4:8">
      <c r="F35" s="1521">
        <v>4</v>
      </c>
      <c r="G35" s="1521">
        <v>2</v>
      </c>
      <c r="H35" s="1521">
        <v>0.6</v>
      </c>
    </row>
    <row r="36" spans="4:8">
      <c r="E36" s="1521">
        <f>F36+G36+H36</f>
        <v>50994.612000000001</v>
      </c>
      <c r="F36" s="1521">
        <f>F35*F31</f>
        <v>38309.08</v>
      </c>
      <c r="G36" s="1521">
        <f>G35*G38</f>
        <v>11367.86</v>
      </c>
      <c r="H36" s="1521">
        <f>H35*H38</f>
        <v>1317.6719999999998</v>
      </c>
    </row>
    <row r="38" spans="4:8">
      <c r="G38" s="1521">
        <f>面积取值!C27</f>
        <v>5683.93</v>
      </c>
      <c r="H38" s="1521">
        <f>面积取值!C28</f>
        <v>2196.12</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9" sqref="B39"/>
    </sheetView>
  </sheetViews>
  <sheetFormatPr defaultColWidth="9"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7.4414062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9" style="122"/>
    <col min="68" max="16384" width="9" style="1560"/>
  </cols>
  <sheetData>
    <row r="1" spans="1:67" ht="18"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0" customFormat="1" ht="15" thickBot="1">
      <c r="A2" s="1561" t="s">
        <v>1161</v>
      </c>
      <c r="B2" s="984">
        <f>项目基本情况!D3</f>
        <v>45526</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3422</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3.8">
      <c r="A6" s="1585" t="str">
        <f>'数据-汇总表'!C19</f>
        <v>综合</v>
      </c>
      <c r="B6" s="1586" t="str">
        <f>IF(A6=0,"","经营性")</f>
        <v>经营性</v>
      </c>
      <c r="C6" s="1587" t="s">
        <v>21</v>
      </c>
      <c r="D6" s="805">
        <f>SUMIF(项目基本情况!C$12:I$12,C6,项目基本情况!C$14:I$14)</f>
        <v>50</v>
      </c>
      <c r="E6" s="804">
        <f>IF(B6="","",SUMIF(项目基本情况!C$12:I$12,C6,项目基本情况!C$13:I$13))</f>
        <v>54392</v>
      </c>
      <c r="F6" s="61">
        <f>SUMIF(项目基本情况!C$12:I$12,C6,项目基本情况!C$15:I$15)</f>
        <v>24.29</v>
      </c>
      <c r="G6" s="62">
        <f>IF(ISERROR(ROUND(POWER(1+H6,D6-F6)*(POWER(1+H6,F6)-1)/(POWER(1+H6,D6)-1),3)),0,ROUND(POWER(1+H6,D6-F6)*(POWER(1+H6,F6)-1)/(POWER(1+H6,D6)-1),3))</f>
        <v>0.76100000000000001</v>
      </c>
      <c r="H6" s="691">
        <v>0.05</v>
      </c>
      <c r="I6" s="691">
        <v>5.5E-2</v>
      </c>
      <c r="J6" s="63">
        <v>7.0000000000000007E-2</v>
      </c>
      <c r="K6" s="970">
        <f>SUMIF('数据-汇总表'!C$19:C$33,A6,'数据-汇总表'!E$19:E$33)</f>
        <v>17457.32</v>
      </c>
      <c r="L6" s="692">
        <v>6500</v>
      </c>
      <c r="M6" s="64">
        <f t="shared" ref="M6:M14" si="0">ROUND(K6*L6/10000,0)</f>
        <v>11347</v>
      </c>
      <c r="N6" s="690">
        <v>0.8</v>
      </c>
      <c r="O6" s="64" t="str">
        <f>IF($N$5="成新度","——",ROUND(M6*N6,0))</f>
        <v>——</v>
      </c>
      <c r="P6" s="65" t="str">
        <f>IF($N$5="成新度","——",M6-O6)</f>
        <v>——</v>
      </c>
      <c r="Q6" s="693">
        <v>0.2</v>
      </c>
      <c r="R6" s="66">
        <f ca="1">SUMIF('数据-汇总表'!C$19:C$33,A6,'数据-汇总表'!R$19:R$27)</f>
        <v>3862.4</v>
      </c>
      <c r="S6" s="49">
        <f>IF('数据-汇总表'!$I$17="按面积比例",SUMIF('数据-汇总表'!C$19:C$33,A6,'数据-汇总表'!K$19:K$33),SUMIF('数据-汇总表'!C$19:C$33,A6,'数据-汇总表'!N$19:N$33))</f>
        <v>0</v>
      </c>
      <c r="T6" s="1092">
        <f>ROUND($L$14*S6/10000,0)</f>
        <v>0</v>
      </c>
      <c r="U6" s="3126">
        <v>7</v>
      </c>
      <c r="V6" s="67">
        <v>0.02</v>
      </c>
      <c r="W6" s="67">
        <v>7.0000000000000007E-2</v>
      </c>
      <c r="X6" s="979"/>
      <c r="Y6" s="68">
        <f>N6</f>
        <v>0.8</v>
      </c>
      <c r="Z6" s="69"/>
      <c r="AA6" s="63"/>
      <c r="AB6" s="63"/>
      <c r="AC6" s="979"/>
      <c r="AD6" s="70"/>
      <c r="AE6" s="980">
        <f ca="1">IF(AN6="",0,SUMIF(INDIRECT("'"&amp;AN6&amp;"'"&amp;"!E:E"),$AE$5,INDIRECT("'"&amp;AN6&amp;"'"&amp;"!F:F")))</f>
        <v>24.29</v>
      </c>
      <c r="AF6" s="74"/>
      <c r="AG6" s="130">
        <f>IF(AF6="",0,AE6-AF6)</f>
        <v>0</v>
      </c>
      <c r="AH6" s="71"/>
      <c r="AI6" s="73">
        <v>365</v>
      </c>
      <c r="AJ6" s="74"/>
      <c r="AK6" s="75">
        <v>5.0000000000000001E-3</v>
      </c>
      <c r="AL6" s="76">
        <v>1E-3</v>
      </c>
      <c r="AM6" s="77">
        <v>5.0000000000000001E-3</v>
      </c>
      <c r="AN6" s="1588" t="s">
        <v>3423</v>
      </c>
      <c r="AO6" s="50">
        <f ca="1">SUMIF(INDIRECT("'"&amp;AN6&amp;"'"&amp;"!A:A"),"总价",INDIRECT("'"&amp;AN6&amp;"'"&amp;"!B:B"))</f>
        <v>54401</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8"/>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8"/>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3"/>
      <c r="D16" s="1593"/>
      <c r="E16" s="82"/>
      <c r="F16" s="82"/>
      <c r="G16" s="83">
        <f>ROUND(SUMPRODUCT(G6:G13,K6:K13)/SUMPRODUCT((G6:G13&gt;0)*(K6:K13)),3)</f>
        <v>0.76100000000000001</v>
      </c>
      <c r="H16" s="84">
        <f>ROUND(SUMPRODUCT(H6:H13,K6:K13)/SUMPRODUCT((H6:H13&gt;0)*(K6:K13)),3)</f>
        <v>0.05</v>
      </c>
      <c r="I16" s="85"/>
      <c r="J16" s="85"/>
      <c r="K16" s="86">
        <f>SUM(K6:K15)</f>
        <v>17457.32</v>
      </c>
      <c r="L16" s="87">
        <f>ROUND(M16*10000/SUM(K6:K14),0)</f>
        <v>6500</v>
      </c>
      <c r="M16" s="87">
        <f>SUM(M6:M14)</f>
        <v>11347</v>
      </c>
      <c r="N16" s="88">
        <f>ROUND(SUMPRODUCT(M6:M14,N6:N14)/M16,3)</f>
        <v>0.8</v>
      </c>
      <c r="O16" s="87">
        <f>SUM(O6:O14)</f>
        <v>0</v>
      </c>
      <c r="P16" s="87">
        <f>SUM(P6:P14)</f>
        <v>0</v>
      </c>
      <c r="Q16" s="89">
        <f>ROUND(SUMPRODUCT(Q6:Q13,K6:K13)/SUMPRODUCT((Q6:Q13&gt;0)*(K6:K13)),2)</f>
        <v>0.2</v>
      </c>
      <c r="R16" s="974">
        <f ca="1">SUM(R6:R13)</f>
        <v>3862.4</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4">
      <c r="A19" s="1595" t="s">
        <v>1211</v>
      </c>
      <c r="B19" s="97">
        <v>0</v>
      </c>
      <c r="C19" s="2560" t="s">
        <v>2301</v>
      </c>
      <c r="D19" s="2451"/>
      <c r="E19" s="2438"/>
      <c r="F19" s="2438"/>
      <c r="G19" s="2438"/>
      <c r="H19" s="2438"/>
      <c r="I19" s="2438"/>
      <c r="J19" s="2438"/>
      <c r="K19" s="2449"/>
      <c r="L19" s="2449"/>
      <c r="M19" s="2448"/>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4">
      <c r="A20" s="1596" t="s">
        <v>1212</v>
      </c>
      <c r="B20" s="98">
        <v>2.5</v>
      </c>
      <c r="C20" s="2561" t="s">
        <v>2299</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4">
      <c r="A21" s="1597" t="s">
        <v>1213</v>
      </c>
      <c r="B21" s="98">
        <f>B20</f>
        <v>2.5</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4">
      <c r="A22" s="1596" t="s">
        <v>1214</v>
      </c>
      <c r="B22" s="99">
        <f>B19+B20</f>
        <v>2.5</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4">
      <c r="A23" s="1597" t="s">
        <v>1215</v>
      </c>
      <c r="B23" s="99">
        <f>B19+B21</f>
        <v>2.5</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8"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4.4" thickBot="1">
      <c r="A25" s="1448"/>
      <c r="B25" s="1541"/>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1" t="s">
        <v>1217</v>
      </c>
      <c r="B26" s="1599"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8.8">
      <c r="A27" s="1600" t="s">
        <v>1220</v>
      </c>
      <c r="B27" s="101"/>
      <c r="C27" s="2562" t="s">
        <v>2303</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8.8">
      <c r="A28" s="1601"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9.4" thickBot="1">
      <c r="A29" s="1602" t="s">
        <v>1222</v>
      </c>
      <c r="B29" s="105">
        <f>ROUND(B28*K16/10000,0)</f>
        <v>349</v>
      </c>
      <c r="C29" s="2563" t="s">
        <v>2292</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8.8">
      <c r="A30" s="1603"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8.8">
      <c r="A31" s="1601"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9.4" thickBot="1">
      <c r="A32" s="1604" t="s">
        <v>1225</v>
      </c>
      <c r="B32" s="639"/>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4">
      <c r="A33" s="1600" t="s">
        <v>1226</v>
      </c>
      <c r="B33" s="640">
        <v>0.05</v>
      </c>
      <c r="C33" s="2564" t="s">
        <v>3381</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4">
      <c r="A34" s="1601" t="s">
        <v>1227</v>
      </c>
      <c r="B34" s="106">
        <v>0</v>
      </c>
      <c r="C34" s="2564" t="s">
        <v>2293</v>
      </c>
      <c r="D34" s="2459" t="s">
        <v>2300</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4">
      <c r="A35" s="1601" t="s">
        <v>1228</v>
      </c>
      <c r="B35" s="103">
        <v>200</v>
      </c>
      <c r="C35" s="2564" t="s">
        <v>2294</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2" t="s">
        <v>1229</v>
      </c>
      <c r="B36" s="107">
        <v>0.02</v>
      </c>
      <c r="C36" s="2564" t="s">
        <v>3382</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4">
      <c r="A37" s="1603" t="s">
        <v>1230</v>
      </c>
      <c r="B37" s="108">
        <v>2.5000000000000001E-2</v>
      </c>
      <c r="C37" s="2564" t="s">
        <v>2295</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4">
      <c r="A38" s="1601" t="s">
        <v>1231</v>
      </c>
      <c r="B38" s="106">
        <v>2.5000000000000001E-2</v>
      </c>
      <c r="C38" s="2564" t="s">
        <v>2295</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4">
      <c r="A39" s="1604"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4.4" thickBot="1">
      <c r="A40" s="2573" t="s">
        <v>2310</v>
      </c>
      <c r="B40" s="1015">
        <f ca="1">IF(A40="利息：取LPR",存贷款利率!G1,存贷款利率!G1+C40)</f>
        <v>3.3500000000000002E-2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4">
      <c r="A41" s="1600"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4">
      <c r="A42" s="1605"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4">
      <c r="A43" s="1605"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4">
      <c r="A44" s="1606" t="s">
        <v>1236</v>
      </c>
      <c r="B44" s="112">
        <v>7.0000000000000007E-2</v>
      </c>
      <c r="C44" s="2564" t="s">
        <v>2304</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4">
      <c r="A45" s="1606" t="s">
        <v>1237</v>
      </c>
      <c r="B45" s="110">
        <v>0.03</v>
      </c>
      <c r="C45" s="2563" t="s">
        <v>2296</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4">
      <c r="A46" s="1606" t="s">
        <v>1238</v>
      </c>
      <c r="B46" s="110">
        <v>0.02</v>
      </c>
      <c r="C46" s="2563" t="s">
        <v>2297</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7" t="s">
        <v>1239</v>
      </c>
      <c r="B47" s="113"/>
      <c r="C47" s="2566" t="s">
        <v>2305</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4">
      <c r="A48" s="1608" t="s">
        <v>1240</v>
      </c>
      <c r="B48" s="114">
        <v>0.03</v>
      </c>
      <c r="C48" s="2563" t="s">
        <v>2296</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4" t="s">
        <v>1241</v>
      </c>
      <c r="B49" s="110">
        <v>5.0000000000000001E-4</v>
      </c>
      <c r="C49" s="2563" t="s">
        <v>2298</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4">
      <c r="A50" s="1609"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2"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4">
      <c r="A52" s="1609" t="s">
        <v>1244</v>
      </c>
      <c r="B52" s="117">
        <f>SUMIF(A54:A63,B53,B54:B63)</f>
        <v>18</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8.8">
      <c r="A53" s="1601" t="s">
        <v>1245</v>
      </c>
      <c r="B53" s="1610" t="s">
        <v>296</v>
      </c>
      <c r="C53" s="2439" t="s">
        <v>1246</v>
      </c>
      <c r="D53" s="2565" t="s">
        <v>2302</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4">
      <c r="A54" s="1611" t="s">
        <v>1247</v>
      </c>
      <c r="B54" s="72">
        <v>30</v>
      </c>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4">
      <c r="A55" s="1611" t="s">
        <v>1248</v>
      </c>
      <c r="B55" s="72">
        <v>24</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4">
      <c r="A56" s="1611" t="s">
        <v>1249</v>
      </c>
      <c r="B56" s="72">
        <v>18</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4">
      <c r="A57" s="1611" t="s">
        <v>1250</v>
      </c>
      <c r="B57" s="72">
        <v>12</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4">
      <c r="A58" s="1611" t="s">
        <v>1251</v>
      </c>
      <c r="B58" s="72">
        <v>3</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4">
      <c r="A59" s="1611"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4">
      <c r="A60" s="1611"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4">
      <c r="A61" s="1611"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4">
      <c r="A62" s="1611"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2"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8" sqref="I8"/>
    </sheetView>
  </sheetViews>
  <sheetFormatPr defaultColWidth="9" defaultRowHeight="13.8"/>
  <cols>
    <col min="1" max="1" width="9.44140625" style="1521"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1"/>
  </cols>
  <sheetData>
    <row r="1" spans="1:29" s="2258" customFormat="1" ht="18" thickBot="1">
      <c r="A1" s="3260" t="s">
        <v>2284</v>
      </c>
      <c r="B1" s="3261"/>
      <c r="C1" s="3261"/>
      <c r="D1" s="3261"/>
      <c r="E1" s="3261"/>
      <c r="F1" s="3261"/>
      <c r="G1" s="3261"/>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2280</v>
      </c>
      <c r="D2" s="1594"/>
      <c r="E2" s="2259"/>
      <c r="F2" s="2262"/>
      <c r="G2" s="2261" t="s">
        <v>2281</v>
      </c>
      <c r="H2" s="751"/>
      <c r="I2" s="751"/>
      <c r="J2" s="751"/>
      <c r="K2" s="751"/>
      <c r="L2" s="751"/>
      <c r="M2" s="751"/>
      <c r="N2" s="751"/>
      <c r="O2" s="751"/>
      <c r="P2" s="751"/>
      <c r="Q2" s="751"/>
    </row>
    <row r="3" spans="1:29" ht="39.6">
      <c r="A3" s="2246" t="s">
        <v>2282</v>
      </c>
      <c r="B3" s="2263" t="s">
        <v>2252</v>
      </c>
      <c r="C3" s="2264"/>
      <c r="D3" s="2265"/>
      <c r="E3" s="2247" t="s">
        <v>2282</v>
      </c>
      <c r="F3" s="2266" t="s">
        <v>2253</v>
      </c>
      <c r="G3" s="2267" t="s">
        <v>2283</v>
      </c>
      <c r="H3" s="751"/>
      <c r="I3" s="751"/>
      <c r="J3" s="751"/>
      <c r="K3" s="751"/>
      <c r="L3" s="751"/>
      <c r="M3" s="751"/>
      <c r="N3" s="751"/>
      <c r="O3" s="751"/>
      <c r="P3" s="751"/>
      <c r="Q3" s="751"/>
    </row>
    <row r="4" spans="1:29" ht="36">
      <c r="A4" s="2247"/>
      <c r="B4" s="315" t="s">
        <v>2254</v>
      </c>
      <c r="C4" s="2268"/>
      <c r="D4" s="2265"/>
      <c r="E4" s="2269"/>
      <c r="F4" s="1280" t="s">
        <v>2255</v>
      </c>
      <c r="G4" s="2270" t="s">
        <v>2256</v>
      </c>
      <c r="H4" s="751"/>
      <c r="I4" s="751"/>
      <c r="J4" s="751"/>
      <c r="K4" s="751"/>
      <c r="L4" s="751"/>
      <c r="M4" s="751"/>
      <c r="N4" s="751"/>
      <c r="O4" s="751"/>
      <c r="P4" s="751"/>
      <c r="Q4" s="751"/>
    </row>
    <row r="5" spans="1:29" ht="37.200000000000003">
      <c r="A5" s="2247"/>
      <c r="B5" s="315" t="s">
        <v>2257</v>
      </c>
      <c r="C5" s="2268" t="s">
        <v>2258</v>
      </c>
      <c r="D5" s="2265"/>
      <c r="E5" s="2269"/>
      <c r="F5" s="315" t="s">
        <v>2259</v>
      </c>
      <c r="G5" s="2270" t="s">
        <v>2260</v>
      </c>
      <c r="H5" s="751"/>
      <c r="I5" s="751"/>
      <c r="J5" s="751"/>
      <c r="K5" s="751"/>
      <c r="L5" s="751"/>
      <c r="M5" s="751"/>
      <c r="N5" s="751"/>
      <c r="O5" s="751"/>
      <c r="P5" s="751"/>
      <c r="Q5" s="751"/>
    </row>
    <row r="6" spans="1:29" ht="48">
      <c r="A6" s="2247"/>
      <c r="B6" s="315" t="s">
        <v>2261</v>
      </c>
      <c r="C6" s="2270" t="s">
        <v>2256</v>
      </c>
      <c r="D6" s="2265"/>
      <c r="E6" s="2269"/>
      <c r="F6" s="315" t="s">
        <v>2262</v>
      </c>
      <c r="G6" s="2270" t="s">
        <v>2263</v>
      </c>
      <c r="H6" s="751"/>
      <c r="I6" s="751"/>
      <c r="J6" s="751"/>
      <c r="K6" s="751"/>
      <c r="L6" s="751"/>
      <c r="M6" s="751"/>
      <c r="N6" s="751"/>
      <c r="O6" s="751"/>
      <c r="P6" s="751"/>
      <c r="Q6" s="751"/>
    </row>
    <row r="7" spans="1:29" ht="36.6" thickBot="1">
      <c r="A7" s="2247"/>
      <c r="B7" s="315" t="s">
        <v>2259</v>
      </c>
      <c r="C7" s="2270" t="s">
        <v>2260</v>
      </c>
      <c r="D7" s="2244"/>
      <c r="E7" s="2271"/>
      <c r="F7" s="2272" t="s">
        <v>2264</v>
      </c>
      <c r="G7" s="2273" t="s">
        <v>2265</v>
      </c>
      <c r="H7" s="751"/>
      <c r="I7" s="751"/>
      <c r="J7" s="751"/>
      <c r="K7" s="751"/>
      <c r="L7" s="751"/>
      <c r="M7" s="751"/>
      <c r="N7" s="751"/>
      <c r="O7" s="751"/>
      <c r="P7" s="751"/>
      <c r="Q7" s="751"/>
    </row>
    <row r="8" spans="1:29" ht="24">
      <c r="A8" s="2247"/>
      <c r="B8" s="315" t="s">
        <v>2262</v>
      </c>
      <c r="C8" s="2270" t="s">
        <v>2263</v>
      </c>
      <c r="D8" s="2244"/>
      <c r="E8" s="2244"/>
      <c r="F8" s="121"/>
      <c r="G8" s="121"/>
      <c r="H8" s="751"/>
      <c r="I8" s="751"/>
      <c r="J8" s="751"/>
      <c r="K8" s="751"/>
      <c r="L8" s="751"/>
      <c r="M8" s="751"/>
      <c r="N8" s="751"/>
      <c r="O8" s="751"/>
      <c r="P8" s="751"/>
      <c r="Q8" s="751"/>
    </row>
    <row r="9" spans="1:29" ht="24">
      <c r="A9" s="2247"/>
      <c r="B9" s="315" t="s">
        <v>2266</v>
      </c>
      <c r="C9" s="2268" t="s">
        <v>2267</v>
      </c>
      <c r="D9" s="2265"/>
      <c r="E9" s="2244"/>
      <c r="F9" s="121"/>
      <c r="G9" s="121"/>
      <c r="H9" s="751"/>
      <c r="I9" s="751"/>
      <c r="J9" s="751"/>
      <c r="K9" s="751"/>
      <c r="L9" s="751"/>
      <c r="M9" s="751"/>
      <c r="N9" s="751"/>
      <c r="O9" s="751"/>
      <c r="P9" s="751"/>
      <c r="Q9" s="751"/>
    </row>
    <row r="10" spans="1:29" ht="14.4" thickBot="1">
      <c r="A10" s="2248"/>
      <c r="B10" s="2274" t="s">
        <v>2268</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2285</v>
      </c>
      <c r="B13" s="2279"/>
      <c r="C13" s="2279"/>
      <c r="D13" s="2278"/>
      <c r="E13" s="2279"/>
      <c r="F13" s="2279"/>
      <c r="G13" s="2279"/>
    </row>
    <row r="14" spans="1:29" ht="14.4" thickBot="1">
      <c r="A14" s="2284"/>
      <c r="B14" s="2284"/>
      <c r="C14" s="2285" t="s">
        <v>2269</v>
      </c>
      <c r="D14" s="2265"/>
      <c r="E14" s="2286"/>
      <c r="F14" s="2286"/>
      <c r="G14" s="2261" t="s">
        <v>2270</v>
      </c>
    </row>
    <row r="15" spans="1:29" ht="39.6">
      <c r="A15" s="2249" t="s">
        <v>2271</v>
      </c>
      <c r="B15" s="2287" t="s">
        <v>2252</v>
      </c>
      <c r="C15" s="2288">
        <f>C3</f>
        <v>0</v>
      </c>
      <c r="D15" s="2265"/>
      <c r="E15" s="2250" t="s">
        <v>2272</v>
      </c>
      <c r="F15" s="2287" t="s">
        <v>2273</v>
      </c>
      <c r="G15" s="2289" t="str">
        <f>G3</f>
        <v>估价对象位于XX开发区，园区建设成熟度XX，产业集聚程度XX</v>
      </c>
    </row>
    <row r="16" spans="1:29" ht="39.6">
      <c r="A16" s="2251"/>
      <c r="B16" s="2290" t="s">
        <v>2254</v>
      </c>
      <c r="C16" s="2291">
        <f>C4</f>
        <v>0</v>
      </c>
      <c r="D16" s="2265"/>
      <c r="E16" s="2252"/>
      <c r="F16" s="2292" t="s">
        <v>2255</v>
      </c>
      <c r="G16" s="2293" t="str">
        <f>G4</f>
        <v>估价对象周边道路状况、公共交通通达情况、停车便捷程度，综合评价交通便捷度较好</v>
      </c>
    </row>
    <row r="17" spans="1:17" ht="39.6">
      <c r="A17" s="2251"/>
      <c r="B17" s="2290" t="s">
        <v>2257</v>
      </c>
      <c r="C17" s="2291" t="str">
        <f>C5</f>
        <v>估价对象位于XX商圈，周边办公楼项目较多，入驻率高，办公集聚程度较好</v>
      </c>
      <c r="D17" s="2244"/>
      <c r="E17" s="2252"/>
      <c r="F17" s="2292" t="s">
        <v>2274</v>
      </c>
      <c r="G17" s="2294"/>
    </row>
    <row r="18" spans="1:17" ht="52.8">
      <c r="A18" s="2251"/>
      <c r="B18" s="2292" t="s">
        <v>2261</v>
      </c>
      <c r="C18" s="2293" t="str">
        <f>C6</f>
        <v>估价对象周边道路状况、公共交通通达情况、停车便捷程度，综合评价交通便捷度较好</v>
      </c>
      <c r="D18" s="2244"/>
      <c r="E18" s="2252"/>
      <c r="F18" s="2292" t="s">
        <v>2264</v>
      </c>
      <c r="G18" s="2293" t="str">
        <f>G7</f>
        <v>该园区内是否有污染型企业，绿化情况，卫生条件，整体环境状况判断</v>
      </c>
    </row>
    <row r="19" spans="1:17" ht="26.4">
      <c r="A19" s="2251"/>
      <c r="B19" s="2292" t="s">
        <v>2275</v>
      </c>
      <c r="C19" s="2294"/>
      <c r="D19" s="2265"/>
      <c r="E19" s="2252"/>
      <c r="F19" s="315" t="s">
        <v>2259</v>
      </c>
      <c r="G19" s="2293" t="str">
        <f>G5</f>
        <v>估价对象所在区域公共配套设施齐备情况</v>
      </c>
    </row>
    <row r="20" spans="1:17" ht="26.4">
      <c r="A20" s="2251"/>
      <c r="B20" s="2292" t="s">
        <v>2276</v>
      </c>
      <c r="C20" s="2291" t="str">
        <f>C9</f>
        <v>区域自然环境：；人文环境；综合评价环境状况一般</v>
      </c>
      <c r="D20" s="2244"/>
      <c r="E20" s="2252"/>
      <c r="F20" s="315" t="s">
        <v>2262</v>
      </c>
      <c r="G20" s="2293" t="str">
        <f>G6</f>
        <v>估价对象所在区域基础设施水平</v>
      </c>
    </row>
    <row r="21" spans="1:17" ht="26.4">
      <c r="A21" s="2251"/>
      <c r="B21" s="315" t="s">
        <v>2259</v>
      </c>
      <c r="C21" s="2293" t="str">
        <f>C7</f>
        <v>估价对象所在区域公共配套设施齐备情况</v>
      </c>
      <c r="D21" s="2265"/>
      <c r="E21" s="2252"/>
      <c r="F21" s="2292" t="s">
        <v>2277</v>
      </c>
      <c r="G21" s="2295"/>
    </row>
    <row r="22" spans="1:17" ht="13.5" customHeight="1">
      <c r="A22" s="2251"/>
      <c r="B22" s="315" t="s">
        <v>2262</v>
      </c>
      <c r="C22" s="2293" t="str">
        <f>C8</f>
        <v>估价对象所在区域基础设施水平</v>
      </c>
      <c r="D22" s="2265"/>
      <c r="E22" s="2252"/>
      <c r="F22" s="2292" t="s">
        <v>2268</v>
      </c>
      <c r="G22" s="2294"/>
    </row>
    <row r="23" spans="1:17" s="751" customFormat="1" ht="14.4" thickBot="1">
      <c r="A23" s="2251"/>
      <c r="B23" s="2292" t="s">
        <v>2277</v>
      </c>
      <c r="C23" s="2295"/>
      <c r="D23" s="1613"/>
      <c r="E23" s="2253"/>
      <c r="F23" s="2296" t="s">
        <v>2278</v>
      </c>
      <c r="G23" s="2297"/>
      <c r="H23" s="2276"/>
      <c r="I23" s="2276"/>
      <c r="J23" s="2276"/>
      <c r="K23" s="2276"/>
      <c r="L23" s="2276"/>
      <c r="M23" s="2276"/>
      <c r="N23" s="2276"/>
      <c r="O23" s="2276"/>
      <c r="P23" s="2276"/>
      <c r="Q23" s="2276"/>
    </row>
    <row r="24" spans="1:17" s="751" customFormat="1" ht="14.4" thickBot="1">
      <c r="A24" s="2254"/>
      <c r="B24" s="2296" t="s">
        <v>2279</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G38" sqref="G38"/>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17457.32</v>
      </c>
      <c r="C1" s="2461"/>
      <c r="D1" s="2461"/>
      <c r="E1" s="2461"/>
      <c r="F1" s="2461"/>
      <c r="G1" s="2462"/>
      <c r="H1" s="2462"/>
      <c r="I1" s="2462"/>
      <c r="J1" s="2462"/>
      <c r="K1" s="2462"/>
    </row>
    <row r="2" spans="1:11" ht="16.2">
      <c r="A2" s="2299" t="s">
        <v>653</v>
      </c>
      <c r="B2" s="2299">
        <f>SUM(C14:C23)</f>
        <v>3862.4</v>
      </c>
      <c r="C2" s="2461"/>
      <c r="D2" s="2461"/>
      <c r="E2" s="2461"/>
      <c r="F2" s="2461"/>
      <c r="G2" s="2462"/>
      <c r="H2" s="2462"/>
      <c r="I2" s="2462"/>
      <c r="J2" s="2462"/>
      <c r="K2" s="2462"/>
    </row>
    <row r="3" spans="1:11" ht="15.6">
      <c r="A3" s="2299" t="s">
        <v>662</v>
      </c>
      <c r="B3" s="2301">
        <f>项目基本情况!D3</f>
        <v>45526</v>
      </c>
      <c r="C3" s="2461"/>
      <c r="D3" s="2461"/>
      <c r="E3" s="2461"/>
      <c r="F3" s="2461"/>
      <c r="G3" s="2462"/>
      <c r="H3" s="2462"/>
      <c r="I3" s="2462"/>
      <c r="J3" s="2462"/>
      <c r="K3" s="2462"/>
    </row>
    <row r="4" spans="1:11" ht="31.2">
      <c r="A4" s="2299" t="s">
        <v>661</v>
      </c>
      <c r="B4" s="2299" t="s">
        <v>660</v>
      </c>
      <c r="C4" s="2299" t="s">
        <v>659</v>
      </c>
      <c r="D4" s="2299" t="s">
        <v>658</v>
      </c>
      <c r="E4" s="2461"/>
      <c r="F4" s="2462"/>
      <c r="G4" s="2462"/>
      <c r="H4" s="2462"/>
      <c r="I4" s="2462"/>
      <c r="J4" s="2462"/>
      <c r="K4" s="2462"/>
    </row>
    <row r="5" spans="1:11" ht="15.6">
      <c r="A5" s="2299" t="s">
        <v>657</v>
      </c>
      <c r="B5" s="2299">
        <f ca="1">SUM(D14:D23)</f>
        <v>50650</v>
      </c>
      <c r="C5" s="2299">
        <f ca="1">IF(B5=D14,结果表!H102,ROUND(B5*10000/$B$1,0))</f>
        <v>29014</v>
      </c>
      <c r="D5" s="2299">
        <f ca="1">ROUND(B5*10000/$B$2,0)</f>
        <v>131136</v>
      </c>
      <c r="E5" s="2461"/>
      <c r="F5" s="2462"/>
      <c r="G5" s="2462"/>
      <c r="H5" s="2462"/>
      <c r="I5" s="2462"/>
      <c r="J5" s="2462"/>
      <c r="K5" s="2462"/>
    </row>
    <row r="6" spans="1:11" ht="15.6">
      <c r="A6" s="2299" t="s">
        <v>656</v>
      </c>
      <c r="B6" s="2299">
        <f ca="1">SUM(G14:G23)</f>
        <v>50650</v>
      </c>
      <c r="C6" s="2299">
        <f ca="1">IF(B6=G14,结果表!H108,ROUND(B6*10000/$B$1,0))</f>
        <v>29014</v>
      </c>
      <c r="D6" s="2299">
        <f ca="1">ROUND(B6*10000/$B$2,0)</f>
        <v>131136</v>
      </c>
      <c r="E6" s="2461"/>
      <c r="F6" s="2462"/>
      <c r="G6" s="2462"/>
      <c r="H6" s="2462"/>
      <c r="I6" s="2462"/>
      <c r="J6" s="2462"/>
      <c r="K6" s="2462"/>
    </row>
    <row r="7" spans="1:11" ht="15.6">
      <c r="A7" s="2299" t="s">
        <v>664</v>
      </c>
      <c r="B7" s="2299">
        <f ca="1">SUM(H14:H23)</f>
        <v>50650</v>
      </c>
      <c r="C7" s="2299" t="str">
        <f ca="1">IF(B7=H14,结果表!H110,ROUND(B7*10000/$B$1,0))</f>
        <v>——</v>
      </c>
      <c r="D7" s="2299">
        <f ca="1">ROUND(B7*10000/$B$2,0)</f>
        <v>131136</v>
      </c>
      <c r="E7" s="2461"/>
      <c r="F7" s="2462"/>
      <c r="G7" s="2462"/>
      <c r="H7" s="2462"/>
      <c r="I7" s="2462"/>
      <c r="J7" s="2462"/>
      <c r="K7" s="2462"/>
    </row>
    <row r="8" spans="1:11" ht="15.6">
      <c r="A8" s="2299" t="s">
        <v>587</v>
      </c>
      <c r="B8" s="2299">
        <f ca="1">SUM(I14:I23)</f>
        <v>45512</v>
      </c>
      <c r="C8" s="2299">
        <f ca="1">IF(B8=I14,结果表!H112,ROUND(B8*10000/$B$1,0))</f>
        <v>26070</v>
      </c>
      <c r="D8" s="2299">
        <f ca="1">ROUND(B8*10000/$B$2,0)</f>
        <v>117833</v>
      </c>
      <c r="E8" s="2461"/>
      <c r="F8" s="2462"/>
      <c r="G8" s="2462"/>
      <c r="H8" s="2462"/>
      <c r="I8" s="2462"/>
      <c r="J8" s="2462"/>
      <c r="K8" s="2462"/>
    </row>
    <row r="9" spans="1:11" ht="15.6">
      <c r="A9" s="2299" t="s">
        <v>655</v>
      </c>
      <c r="B9" s="1243"/>
      <c r="C9" s="2461"/>
      <c r="D9" s="2461"/>
      <c r="E9" s="2461"/>
      <c r="F9" s="2462"/>
      <c r="G9" s="2462"/>
      <c r="H9" s="2462"/>
      <c r="I9" s="2462"/>
      <c r="J9" s="2462"/>
      <c r="K9" s="2462"/>
    </row>
    <row r="10" spans="1:11" ht="15.6">
      <c r="A10" s="2299" t="s">
        <v>654</v>
      </c>
      <c r="B10" s="2299">
        <f>IF(E10="",0,ROUND(B1*(E10*365/G10)/10000,0))</f>
        <v>0</v>
      </c>
      <c r="C10" s="2299" t="s">
        <v>3356</v>
      </c>
      <c r="D10" s="2299" t="s">
        <v>3357</v>
      </c>
      <c r="E10" s="3136"/>
      <c r="F10" s="3140" t="s">
        <v>3358</v>
      </c>
      <c r="G10" s="3137"/>
      <c r="H10" s="2462"/>
      <c r="I10" s="2462"/>
      <c r="J10" s="2462"/>
      <c r="K10" s="2462"/>
    </row>
    <row r="11" spans="1:11" ht="15.6">
      <c r="A11" s="2299" t="s">
        <v>670</v>
      </c>
      <c r="B11" s="1243"/>
      <c r="C11" s="2461"/>
      <c r="D11" s="2461"/>
      <c r="E11" s="2461"/>
      <c r="F11" s="2462"/>
      <c r="G11" s="2462"/>
      <c r="H11" s="2462"/>
      <c r="I11" s="2462"/>
      <c r="J11" s="2462"/>
      <c r="K11" s="2462"/>
    </row>
    <row r="12" spans="1:11" ht="15.6">
      <c r="A12" s="2461"/>
      <c r="B12" s="2461"/>
      <c r="C12" s="2461"/>
      <c r="D12" s="2461"/>
      <c r="E12" s="2461"/>
      <c r="F12" s="2462"/>
      <c r="G12" s="2462"/>
      <c r="H12" s="2462"/>
      <c r="I12" s="2462"/>
      <c r="J12" s="2462"/>
      <c r="K12" s="2462"/>
    </row>
    <row r="13" spans="1:11" ht="31.8">
      <c r="A13" s="2302" t="s">
        <v>669</v>
      </c>
      <c r="B13" s="2303" t="s">
        <v>666</v>
      </c>
      <c r="C13" s="2303" t="s">
        <v>668</v>
      </c>
      <c r="D13" s="2303" t="s">
        <v>667</v>
      </c>
      <c r="E13" s="2299" t="s">
        <v>659</v>
      </c>
      <c r="F13" s="2299" t="s">
        <v>658</v>
      </c>
      <c r="G13" s="2303" t="s">
        <v>652</v>
      </c>
      <c r="H13" s="2303" t="s">
        <v>663</v>
      </c>
      <c r="I13" s="2303" t="s">
        <v>651</v>
      </c>
      <c r="J13" s="2462"/>
      <c r="K13" s="2462"/>
    </row>
    <row r="14" spans="1:11" ht="15.6">
      <c r="A14" s="2304" t="s">
        <v>650</v>
      </c>
      <c r="B14" s="2305">
        <f>结果表!B118</f>
        <v>17457.32</v>
      </c>
      <c r="C14" s="2305">
        <f>结果表!C118</f>
        <v>3862.4</v>
      </c>
      <c r="D14" s="2305">
        <f ca="1">结果表!H118</f>
        <v>50650</v>
      </c>
      <c r="E14" s="2305">
        <f ca="1">ROUND(D14*10000/B14,0)</f>
        <v>29014</v>
      </c>
      <c r="F14" s="2305">
        <f ca="1">ROUND(D14*10000/C14,0)</f>
        <v>131136</v>
      </c>
      <c r="G14" s="2305">
        <f ca="1">D14</f>
        <v>50650</v>
      </c>
      <c r="H14" s="2305">
        <f ca="1">G14</f>
        <v>50650</v>
      </c>
      <c r="I14" s="2305">
        <f ca="1">结果表!N59</f>
        <v>45512</v>
      </c>
      <c r="J14" s="2462"/>
      <c r="K14" s="2462"/>
    </row>
    <row r="15" spans="1:11" ht="15.6">
      <c r="A15" s="2304" t="s">
        <v>649</v>
      </c>
      <c r="B15" s="2306"/>
      <c r="C15" s="2306"/>
      <c r="D15" s="2306"/>
      <c r="E15" s="2305" t="e">
        <f t="shared" ref="E15:E23" si="0">ROUND(D15*10000/B15,0)</f>
        <v>#DIV/0!</v>
      </c>
      <c r="F15" s="2305" t="e">
        <f t="shared" ref="F15:F23" si="1">ROUND(D15*10000/C15,0)</f>
        <v>#DIV/0!</v>
      </c>
      <c r="G15" s="1243"/>
      <c r="H15" s="1243"/>
      <c r="I15" s="2306"/>
      <c r="J15" s="2462"/>
      <c r="K15" s="2462"/>
    </row>
    <row r="16" spans="1:11" ht="15.6">
      <c r="A16" s="2304" t="s">
        <v>648</v>
      </c>
      <c r="B16" s="2306"/>
      <c r="C16" s="2306"/>
      <c r="D16" s="2306"/>
      <c r="E16" s="2305" t="e">
        <f t="shared" si="0"/>
        <v>#DIV/0!</v>
      </c>
      <c r="F16" s="2305" t="e">
        <f t="shared" si="1"/>
        <v>#DIV/0!</v>
      </c>
      <c r="G16" s="1243"/>
      <c r="H16" s="1243"/>
      <c r="I16" s="2306"/>
      <c r="J16" s="2462"/>
      <c r="K16" s="2462"/>
    </row>
    <row r="17" spans="1:11" ht="15.6">
      <c r="A17" s="2304" t="s">
        <v>647</v>
      </c>
      <c r="B17" s="2306"/>
      <c r="C17" s="2306"/>
      <c r="D17" s="2306"/>
      <c r="E17" s="2305" t="e">
        <f t="shared" si="0"/>
        <v>#DIV/0!</v>
      </c>
      <c r="F17" s="2305" t="e">
        <f t="shared" si="1"/>
        <v>#DIV/0!</v>
      </c>
      <c r="G17" s="1243"/>
      <c r="H17" s="1243"/>
      <c r="I17" s="2306"/>
      <c r="J17" s="2462"/>
      <c r="K17" s="2462"/>
    </row>
    <row r="18" spans="1:11" ht="15.6">
      <c r="A18" s="2304" t="s">
        <v>646</v>
      </c>
      <c r="B18" s="2306"/>
      <c r="C18" s="2306"/>
      <c r="D18" s="2306"/>
      <c r="E18" s="2305" t="e">
        <f t="shared" si="0"/>
        <v>#DIV/0!</v>
      </c>
      <c r="F18" s="2305" t="e">
        <f t="shared" si="1"/>
        <v>#DIV/0!</v>
      </c>
      <c r="G18" s="2306"/>
      <c r="H18" s="2306"/>
      <c r="I18" s="2306"/>
      <c r="J18" s="2462"/>
      <c r="K18" s="2462"/>
    </row>
    <row r="19" spans="1:11" ht="15.6">
      <c r="A19" s="2304" t="s">
        <v>645</v>
      </c>
      <c r="B19" s="2306"/>
      <c r="C19" s="2306"/>
      <c r="D19" s="2306"/>
      <c r="E19" s="2305" t="e">
        <f t="shared" si="0"/>
        <v>#DIV/0!</v>
      </c>
      <c r="F19" s="2305" t="e">
        <f t="shared" si="1"/>
        <v>#DIV/0!</v>
      </c>
      <c r="G19" s="2306"/>
      <c r="H19" s="2306"/>
      <c r="I19" s="2306"/>
      <c r="J19" s="2462"/>
      <c r="K19" s="2462"/>
    </row>
    <row r="20" spans="1:11" ht="15.6">
      <c r="A20" s="2304" t="s">
        <v>644</v>
      </c>
      <c r="B20" s="2306"/>
      <c r="C20" s="2306"/>
      <c r="D20" s="2306"/>
      <c r="E20" s="2305" t="e">
        <f t="shared" si="0"/>
        <v>#DIV/0!</v>
      </c>
      <c r="F20" s="2305" t="e">
        <f t="shared" si="1"/>
        <v>#DIV/0!</v>
      </c>
      <c r="G20" s="2306"/>
      <c r="H20" s="2306"/>
      <c r="I20" s="2306"/>
      <c r="J20" s="2462"/>
      <c r="K20" s="2462"/>
    </row>
    <row r="21" spans="1:11" ht="15.6">
      <c r="A21" s="2304" t="s">
        <v>643</v>
      </c>
      <c r="B21" s="2306"/>
      <c r="C21" s="2306"/>
      <c r="D21" s="2306"/>
      <c r="E21" s="2305" t="e">
        <f t="shared" si="0"/>
        <v>#DIV/0!</v>
      </c>
      <c r="F21" s="2305" t="e">
        <f t="shared" si="1"/>
        <v>#DIV/0!</v>
      </c>
      <c r="G21" s="2306"/>
      <c r="H21" s="2306"/>
      <c r="I21" s="2306"/>
      <c r="J21" s="2462"/>
      <c r="K21" s="2462"/>
    </row>
    <row r="22" spans="1:11" ht="15.6">
      <c r="A22" s="2304" t="s">
        <v>642</v>
      </c>
      <c r="B22" s="2306"/>
      <c r="C22" s="2306"/>
      <c r="D22" s="2306"/>
      <c r="E22" s="2305" t="e">
        <f t="shared" si="0"/>
        <v>#DIV/0!</v>
      </c>
      <c r="F22" s="2305" t="e">
        <f t="shared" si="1"/>
        <v>#DIV/0!</v>
      </c>
      <c r="G22" s="2306"/>
      <c r="H22" s="2306"/>
      <c r="I22" s="2306"/>
      <c r="J22" s="2462"/>
      <c r="K22" s="2462"/>
    </row>
    <row r="23" spans="1:11" ht="15.6">
      <c r="A23" s="2304" t="s">
        <v>641</v>
      </c>
      <c r="B23" s="2306"/>
      <c r="C23" s="2306"/>
      <c r="D23" s="2306"/>
      <c r="E23" s="1243" t="e">
        <f t="shared" si="0"/>
        <v>#DIV/0!</v>
      </c>
      <c r="F23" s="1243"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zoomScaleNormal="100" zoomScaleSheetLayoutView="100" zoomScalePageLayoutView="80" workbookViewId="0">
      <selection activeCell="H15" sqref="H15"/>
    </sheetView>
  </sheetViews>
  <sheetFormatPr defaultColWidth="12.6640625" defaultRowHeight="21.75" customHeight="1"/>
  <cols>
    <col min="1" max="2" width="12.6640625" style="1560"/>
    <col min="3" max="4" width="12.6640625" style="1560" customWidth="1"/>
    <col min="5" max="9" width="12.6640625" style="1560"/>
    <col min="10" max="11" width="12.6640625" style="684" customWidth="1"/>
    <col min="12" max="12" width="12.6640625" style="684"/>
    <col min="13" max="13" width="14.109375" style="684" bestFit="1" customWidth="1"/>
    <col min="14" max="26" width="12.6640625" style="684"/>
    <col min="27" max="35" width="12.6640625" style="1622"/>
    <col min="36" max="16384" width="12.6640625" style="1560"/>
  </cols>
  <sheetData>
    <row r="1" spans="1:12" ht="21.75" customHeight="1" thickBot="1">
      <c r="A1" s="1520" t="s">
        <v>1262</v>
      </c>
      <c r="B1" s="646"/>
      <c r="C1" s="1619" t="s">
        <v>3408</v>
      </c>
      <c r="D1" s="646"/>
      <c r="E1" s="646"/>
      <c r="F1" s="1620" t="s">
        <v>1263</v>
      </c>
      <c r="G1" s="1452" t="s">
        <v>3430</v>
      </c>
      <c r="H1" s="1620" t="str">
        <f>IF(G1="现房","——","估价对象范围")</f>
        <v>——</v>
      </c>
      <c r="I1" s="1621" t="s">
        <v>3431</v>
      </c>
    </row>
    <row r="2" spans="1:12" ht="21.75" customHeight="1" thickBot="1">
      <c r="A2" s="3296" t="str">
        <f>项目基本情况!S2</f>
        <v>北京市房地产</v>
      </c>
      <c r="B2" s="3297"/>
      <c r="C2" s="3297"/>
      <c r="D2" s="3297"/>
      <c r="E2" s="3297"/>
      <c r="F2" s="3297"/>
      <c r="G2" s="3297"/>
      <c r="H2" s="3297"/>
      <c r="I2" s="3298"/>
    </row>
    <row r="3" spans="1:12" ht="13.2">
      <c r="A3" s="3300" t="s">
        <v>1264</v>
      </c>
      <c r="B3" s="3301"/>
      <c r="C3" s="3301"/>
      <c r="D3" s="3301"/>
      <c r="E3" s="3301"/>
      <c r="F3" s="3301"/>
      <c r="G3" s="3301"/>
      <c r="H3" s="3301"/>
      <c r="I3" s="3301"/>
    </row>
    <row r="4" spans="1:12" ht="14.4">
      <c r="A4" s="1623" t="s">
        <v>1265</v>
      </c>
      <c r="B4" s="1624" t="s">
        <v>1266</v>
      </c>
      <c r="C4" s="1625" t="s">
        <v>3432</v>
      </c>
      <c r="D4" s="1625" t="s">
        <v>3423</v>
      </c>
      <c r="E4" s="3302" t="s">
        <v>1267</v>
      </c>
      <c r="F4" s="3303"/>
      <c r="G4" s="3303"/>
      <c r="H4" s="3303"/>
      <c r="I4" s="3304"/>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76" t="s">
        <v>1268</v>
      </c>
      <c r="B5" s="3263">
        <v>25</v>
      </c>
      <c r="C5" s="3279"/>
      <c r="D5" s="3299"/>
      <c r="E5" s="123" t="s">
        <v>1269</v>
      </c>
      <c r="F5" s="1626"/>
      <c r="G5" s="1626"/>
      <c r="H5" s="1626"/>
      <c r="I5" s="1280"/>
    </row>
    <row r="6" spans="1:12" ht="13.2">
      <c r="A6" s="3276"/>
      <c r="B6" s="3263"/>
      <c r="C6" s="3280"/>
      <c r="D6" s="3299"/>
      <c r="E6" s="123" t="s">
        <v>1270</v>
      </c>
      <c r="F6" s="1626"/>
      <c r="G6" s="1626"/>
      <c r="H6" s="1626"/>
      <c r="I6" s="1280"/>
    </row>
    <row r="7" spans="1:12" ht="13.2">
      <c r="A7" s="3276"/>
      <c r="B7" s="3263"/>
      <c r="C7" s="3281"/>
      <c r="D7" s="3299"/>
      <c r="E7" s="123" t="s">
        <v>1271</v>
      </c>
      <c r="F7" s="1626"/>
      <c r="G7" s="1626"/>
      <c r="H7" s="1626"/>
      <c r="I7" s="1280"/>
    </row>
    <row r="8" spans="1:12" ht="13.2">
      <c r="A8" s="3276" t="s">
        <v>1272</v>
      </c>
      <c r="B8" s="3263">
        <v>15</v>
      </c>
      <c r="C8" s="3279"/>
      <c r="D8" s="3299"/>
      <c r="E8" s="123" t="s">
        <v>1273</v>
      </c>
      <c r="F8" s="1626"/>
      <c r="G8" s="1626"/>
      <c r="H8" s="1626"/>
      <c r="I8" s="1280"/>
    </row>
    <row r="9" spans="1:12" ht="13.2">
      <c r="A9" s="3276"/>
      <c r="B9" s="3263"/>
      <c r="C9" s="3281"/>
      <c r="D9" s="3299"/>
      <c r="E9" s="123" t="s">
        <v>1274</v>
      </c>
      <c r="F9" s="1626"/>
      <c r="G9" s="1626"/>
      <c r="H9" s="1626"/>
      <c r="I9" s="1280"/>
    </row>
    <row r="10" spans="1:12" ht="13.2">
      <c r="A10" s="3276" t="s">
        <v>1275</v>
      </c>
      <c r="B10" s="3263">
        <v>15</v>
      </c>
      <c r="C10" s="3279"/>
      <c r="D10" s="3299"/>
      <c r="E10" s="123" t="s">
        <v>1276</v>
      </c>
      <c r="F10" s="1626"/>
      <c r="G10" s="1626"/>
      <c r="H10" s="1626"/>
      <c r="I10" s="1280"/>
    </row>
    <row r="11" spans="1:12" ht="13.2">
      <c r="A11" s="3276"/>
      <c r="B11" s="3263"/>
      <c r="C11" s="3281"/>
      <c r="D11" s="3299"/>
      <c r="E11" s="123" t="s">
        <v>1277</v>
      </c>
      <c r="F11" s="1626"/>
      <c r="G11" s="1626"/>
      <c r="H11" s="1626"/>
      <c r="I11" s="1280"/>
    </row>
    <row r="12" spans="1:12" ht="13.2">
      <c r="A12" s="3276" t="s">
        <v>1278</v>
      </c>
      <c r="B12" s="3263">
        <v>15</v>
      </c>
      <c r="C12" s="3279"/>
      <c r="D12" s="3299"/>
      <c r="E12" s="123" t="s">
        <v>1279</v>
      </c>
      <c r="F12" s="1626"/>
      <c r="G12" s="1626"/>
      <c r="H12" s="1626"/>
      <c r="I12" s="1280"/>
    </row>
    <row r="13" spans="1:12" ht="13.2">
      <c r="A13" s="3276"/>
      <c r="B13" s="3263"/>
      <c r="C13" s="3281"/>
      <c r="D13" s="3299"/>
      <c r="E13" s="123" t="s">
        <v>1280</v>
      </c>
      <c r="F13" s="1626"/>
      <c r="G13" s="1626"/>
      <c r="H13" s="1626"/>
      <c r="I13" s="1280"/>
    </row>
    <row r="14" spans="1:12" ht="13.2">
      <c r="A14" s="3276" t="s">
        <v>1281</v>
      </c>
      <c r="B14" s="3263">
        <v>30</v>
      </c>
      <c r="C14" s="3279">
        <v>5</v>
      </c>
      <c r="D14" s="3299">
        <v>5</v>
      </c>
      <c r="E14" s="123" t="s">
        <v>1282</v>
      </c>
      <c r="F14" s="1626"/>
      <c r="G14" s="1626"/>
      <c r="H14" s="1626"/>
      <c r="I14" s="1280"/>
    </row>
    <row r="15" spans="1:12" ht="13.2">
      <c r="A15" s="3276"/>
      <c r="B15" s="3263"/>
      <c r="C15" s="3280"/>
      <c r="D15" s="3299"/>
      <c r="E15" s="123" t="s">
        <v>1283</v>
      </c>
      <c r="F15" s="1626"/>
      <c r="G15" s="1626"/>
      <c r="H15" s="1626"/>
      <c r="I15" s="1280"/>
    </row>
    <row r="16" spans="1:12" ht="13.2">
      <c r="A16" s="3276"/>
      <c r="B16" s="3263"/>
      <c r="C16" s="3281"/>
      <c r="D16" s="3299"/>
      <c r="E16" s="123" t="s">
        <v>1284</v>
      </c>
      <c r="F16" s="1626"/>
      <c r="G16" s="1626"/>
      <c r="H16" s="1626"/>
      <c r="I16" s="1280"/>
    </row>
    <row r="17" spans="1:36" ht="14.4">
      <c r="A17" s="1627" t="s">
        <v>1285</v>
      </c>
      <c r="B17" s="54"/>
      <c r="C17" s="124">
        <f>SUM(C5:C16)</f>
        <v>5</v>
      </c>
      <c r="D17" s="124">
        <f>SUM(D5:D16)</f>
        <v>5</v>
      </c>
      <c r="E17" s="121"/>
      <c r="F17" s="121"/>
      <c r="G17" s="121"/>
      <c r="H17" s="121"/>
      <c r="I17" s="121"/>
      <c r="K17" s="294"/>
      <c r="L17" s="294" t="s">
        <v>1286</v>
      </c>
      <c r="M17" s="294" t="s">
        <v>1287</v>
      </c>
    </row>
    <row r="18" spans="1:36" ht="31.95" customHeight="1" thickBot="1">
      <c r="A18" s="1628" t="s">
        <v>1288</v>
      </c>
      <c r="B18" s="1541"/>
      <c r="C18" s="125">
        <f>ROUND(C17/SUM(C17:D17),2)</f>
        <v>0.5</v>
      </c>
      <c r="D18" s="125">
        <f>1-C18</f>
        <v>0.5</v>
      </c>
      <c r="E18" s="3286" t="s">
        <v>2131</v>
      </c>
      <c r="F18" s="3287"/>
      <c r="G18" s="3287"/>
      <c r="H18" s="3287"/>
      <c r="I18" s="3287"/>
      <c r="K18" s="294" t="s">
        <v>1289</v>
      </c>
      <c r="L18" s="294">
        <f>IF(C1="",'数据-汇总表'!E3,SUMIF(项目类型,C1,'数据-汇总表'!E17:E26)+SUMIF(项目类型,C1,'数据-汇总表'!I17:I26))</f>
        <v>17457.32</v>
      </c>
      <c r="M18" s="294">
        <f>IF(C1="",'数据-汇总表'!E3,SUMIF(项目类型,C1,'数据-汇总表'!E17:E26))</f>
        <v>17457.32</v>
      </c>
    </row>
    <row r="19" spans="1:36" ht="14.4">
      <c r="A19" s="1629" t="s">
        <v>1290</v>
      </c>
      <c r="B19" s="1630" t="s">
        <v>1291</v>
      </c>
      <c r="C19" s="126">
        <f ca="1">SUMIF(INDIRECT("'"&amp;C4&amp;"'"&amp;"!A:A"),结果表!B19,INDIRECT("'"&amp;C4&amp;"'"&amp;"!B:B"))</f>
        <v>46898</v>
      </c>
      <c r="D19" s="127">
        <f ca="1">SUMIF(INDIRECT("'"&amp;D4&amp;"'"&amp;"!A:A"),结果表!B19,INDIRECT("'"&amp;D4&amp;"'"&amp;"!B:B"))</f>
        <v>54401</v>
      </c>
      <c r="E19" s="1629" t="s">
        <v>1292</v>
      </c>
      <c r="F19" s="1630" t="s">
        <v>1291</v>
      </c>
      <c r="G19" s="128">
        <f ca="1">ROUND(C19*$C$18+D19*$D$18,0)</f>
        <v>50650</v>
      </c>
      <c r="H19" s="1631" t="s">
        <v>1293</v>
      </c>
      <c r="I19" s="121"/>
      <c r="K19" s="294" t="s">
        <v>1294</v>
      </c>
      <c r="L19" s="294">
        <f>IF(C1="",'数据-汇总表'!D3,SUMIF(项目类型,C1,'数据-汇总表'!D17:D26)+SUMIF(项目类型,C1,'数据-汇总表'!H17:H27))</f>
        <v>3862.4</v>
      </c>
      <c r="M19" s="294">
        <f>IF(C1="",'数据-汇总表'!D3,SUMIF(项目类型,C1,'数据-汇总表'!D17:D26))</f>
        <v>3862.4</v>
      </c>
    </row>
    <row r="20" spans="1:36" ht="14.4">
      <c r="A20" s="1632"/>
      <c r="B20" s="43" t="s">
        <v>1295</v>
      </c>
      <c r="C20" s="129">
        <f ca="1">SUMIF(INDIRECT("'"&amp;C4&amp;"'"&amp;"!A:A"),结果表!B20,INDIRECT("'"&amp;C4&amp;"'"&amp;"!B:B"))</f>
        <v>26864</v>
      </c>
      <c r="D20" s="130">
        <f ca="1">SUMIF(INDIRECT("'"&amp;D4&amp;"'"&amp;"!A:A"),结果表!B20,INDIRECT("'"&amp;D4&amp;"'"&amp;"!B:B"))</f>
        <v>31162</v>
      </c>
      <c r="E20" s="1632"/>
      <c r="F20" s="43" t="s">
        <v>1295</v>
      </c>
      <c r="G20" s="131">
        <f ca="1">ROUND(C20*$C$18+D20*$D$18,0)</f>
        <v>29013</v>
      </c>
      <c r="H20" s="760" t="s">
        <v>1296</v>
      </c>
      <c r="I20" s="121"/>
    </row>
    <row r="21" spans="1:36" ht="15" customHeight="1" thickBot="1">
      <c r="A21" s="449"/>
      <c r="B21" s="93" t="s">
        <v>1297</v>
      </c>
      <c r="C21" s="678">
        <f ca="1">ROUND(C19*10000/L19,0)</f>
        <v>121422</v>
      </c>
      <c r="D21" s="679">
        <f ca="1">ROUND(D19*10000/L19,0)</f>
        <v>140848</v>
      </c>
      <c r="E21" s="449"/>
      <c r="F21" s="93" t="s">
        <v>1297</v>
      </c>
      <c r="G21" s="132">
        <f ca="1">ROUND(G19*10000/L19,0)</f>
        <v>131136</v>
      </c>
      <c r="H21" s="1633" t="s">
        <v>1296</v>
      </c>
      <c r="I21" s="121"/>
    </row>
    <row r="22" spans="1:36" ht="15" thickBot="1">
      <c r="A22" s="1563" t="s">
        <v>1298</v>
      </c>
      <c r="B22" s="1634"/>
      <c r="C22" s="1635"/>
      <c r="D22" s="680">
        <f ca="1">IF(C19&lt;D19,D19/C19-1,C19/D19-1)</f>
        <v>0.15998550044778037</v>
      </c>
      <c r="E22" s="121"/>
      <c r="F22" s="121"/>
      <c r="G22" s="121"/>
      <c r="H22" s="121"/>
      <c r="I22" s="121"/>
    </row>
    <row r="23" spans="1:36" ht="13.8" thickBot="1">
      <c r="A23" s="646"/>
      <c r="B23" s="646"/>
      <c r="C23" s="646"/>
      <c r="D23" s="646"/>
      <c r="E23" s="121"/>
      <c r="F23" s="121"/>
      <c r="G23" s="121"/>
      <c r="H23" s="121"/>
      <c r="I23" s="121"/>
    </row>
    <row r="24" spans="1:36" ht="14.4">
      <c r="A24" s="3270" t="s">
        <v>1299</v>
      </c>
      <c r="B24" s="1630" t="s">
        <v>1291</v>
      </c>
      <c r="C24" s="128">
        <f>IF(B30=0,0,D30)</f>
        <v>0</v>
      </c>
      <c r="D24" s="1636"/>
      <c r="E24" s="121"/>
      <c r="F24" s="121"/>
      <c r="G24" s="121"/>
      <c r="H24" s="121"/>
      <c r="I24" s="121"/>
    </row>
    <row r="25" spans="1:36" ht="14.4">
      <c r="A25" s="3271"/>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f ca="1">G19/'数据-汇总表'!F31</f>
        <v>5.2885634424006005</v>
      </c>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50650</v>
      </c>
      <c r="D32" s="1640" t="s">
        <v>3433</v>
      </c>
      <c r="E32" s="121"/>
      <c r="F32" s="121"/>
      <c r="G32" s="121"/>
      <c r="H32" s="121"/>
      <c r="I32" s="121"/>
    </row>
    <row r="33" spans="1:15" ht="14.4">
      <c r="A33" s="740" t="s">
        <v>1306</v>
      </c>
      <c r="B33" s="123"/>
      <c r="C33" s="1641" t="s">
        <v>3434</v>
      </c>
      <c r="D33" s="1642" t="s">
        <v>3432</v>
      </c>
      <c r="E33" s="1643" t="s">
        <v>1307</v>
      </c>
      <c r="F33" s="1644" t="str">
        <f>IF(D32="楼面单价","取值（单价）","取值（总价）")</f>
        <v>取值（总价）</v>
      </c>
      <c r="G33" s="121"/>
      <c r="H33" s="121"/>
      <c r="I33" s="121"/>
    </row>
    <row r="34" spans="1:15" ht="14.4">
      <c r="A34" s="1645"/>
      <c r="B34" s="1646" t="s">
        <v>1308</v>
      </c>
      <c r="C34" s="140">
        <f ca="1">IF(C33="自定义",F34,C32-C35)</f>
        <v>35658</v>
      </c>
      <c r="D34" s="808">
        <f ca="1">IF(C33="自定义",ROUND(C34/C32,3),IF(C33="收益比率",SUMIF(INDIRECT("'"&amp;D33&amp;"'"&amp;"!b:b"),"土地收益比率",INDIRECT("'"&amp;D33&amp;"'"&amp;"!c:c")),SUMIF(INDIRECT("'"&amp;D33&amp;"'"&amp;"!b:b"),"土地成本比率",INDIRECT("'"&amp;D33&amp;"'"&amp;"!c:c"))))</f>
        <v>0.70399999999999996</v>
      </c>
      <c r="E34" s="1647" t="s">
        <v>1309</v>
      </c>
      <c r="F34" s="1242"/>
      <c r="G34" s="121"/>
      <c r="H34" s="121"/>
      <c r="I34" s="121"/>
    </row>
    <row r="35" spans="1:15" ht="15" thickBot="1">
      <c r="A35" s="1648"/>
      <c r="B35" s="1649" t="s">
        <v>1310</v>
      </c>
      <c r="C35" s="1090">
        <f ca="1">IF(C33="自定义",F35,ROUND(C32*D35,0))</f>
        <v>14992</v>
      </c>
      <c r="D35" s="1091">
        <f ca="1">IF(C33="自定义",ROUND(C35/C32,3),IF(C33="收益比率",SUMIF(INDIRECT("'"&amp;D33&amp;"'"&amp;"!b:b"),"建筑物收益比率",INDIRECT("'"&amp;D33&amp;"'"&amp;"!c:c")),SUMIF(INDIRECT("'"&amp;D33&amp;"'"&amp;"!b:b"),"建筑物成本比率",INDIRECT("'"&amp;D33&amp;"'"&amp;"!c:c"))))</f>
        <v>0.29599999999999999</v>
      </c>
      <c r="E35" s="1650" t="s">
        <v>1311</v>
      </c>
      <c r="F35" s="146"/>
      <c r="G35" s="121"/>
      <c r="H35" s="121"/>
      <c r="I35" s="121"/>
    </row>
    <row r="36" spans="1:15" ht="15" thickBot="1">
      <c r="A36" s="3290" t="s">
        <v>1312</v>
      </c>
      <c r="B36" s="1651" t="s">
        <v>1313</v>
      </c>
      <c r="C36" s="137"/>
      <c r="D36" s="1652"/>
      <c r="E36" s="1566"/>
      <c r="F36" s="1653"/>
      <c r="G36" s="121"/>
      <c r="H36" s="121"/>
      <c r="I36" s="121"/>
    </row>
    <row r="37" spans="1:15" ht="15" thickBot="1">
      <c r="A37" s="3291"/>
      <c r="B37" s="1554" t="s">
        <v>1314</v>
      </c>
      <c r="C37" s="139"/>
      <c r="D37" s="1071"/>
      <c r="E37" s="1071"/>
      <c r="F37" s="1653"/>
      <c r="G37" s="121"/>
      <c r="H37" s="121"/>
      <c r="I37" s="121"/>
    </row>
    <row r="38" spans="1:15" ht="15" thickBot="1">
      <c r="A38" s="3292"/>
      <c r="B38" s="1654" t="s">
        <v>1315</v>
      </c>
      <c r="C38" s="641"/>
      <c r="D38" s="1655" t="s">
        <v>1316</v>
      </c>
      <c r="E38" s="1071"/>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267" t="s">
        <v>1326</v>
      </c>
      <c r="B45" s="3268"/>
      <c r="C45" s="3269"/>
      <c r="D45" s="147">
        <f ca="1">ROUND(H101*F45,0)</f>
        <v>50650</v>
      </c>
      <c r="E45" s="148" t="s">
        <v>1327</v>
      </c>
      <c r="F45" s="149">
        <v>1</v>
      </c>
      <c r="G45" s="150" t="s">
        <v>1328</v>
      </c>
      <c r="H45" s="121"/>
      <c r="I45" s="121"/>
      <c r="J45" s="3345" t="s">
        <v>1329</v>
      </c>
      <c r="K45" s="3345"/>
      <c r="L45" s="3345"/>
      <c r="M45" s="3345"/>
      <c r="N45" s="3345"/>
      <c r="O45" s="3345"/>
    </row>
    <row r="46" spans="1:15" ht="14.25" customHeight="1">
      <c r="A46" s="3264" t="s">
        <v>1330</v>
      </c>
      <c r="B46" s="3265"/>
      <c r="C46" s="3265"/>
      <c r="D46" s="3265"/>
      <c r="E46" s="3265"/>
      <c r="F46" s="3265"/>
      <c r="G46" s="3266"/>
      <c r="H46" s="1667"/>
      <c r="I46" s="151"/>
      <c r="J46" s="2309">
        <v>1</v>
      </c>
      <c r="K46" s="3326" t="s">
        <v>1331</v>
      </c>
      <c r="L46" s="3326"/>
      <c r="M46" s="3346"/>
      <c r="N46" s="3346"/>
      <c r="O46" s="3346"/>
    </row>
    <row r="47" spans="1:15" ht="12" customHeight="1">
      <c r="A47" s="152" t="s">
        <v>1332</v>
      </c>
      <c r="B47" s="153"/>
      <c r="C47" s="154"/>
      <c r="D47" s="1024" t="s">
        <v>1333</v>
      </c>
      <c r="E47" s="294" t="s">
        <v>1334</v>
      </c>
      <c r="F47" s="155" t="s">
        <v>1335</v>
      </c>
      <c r="G47" s="2332" t="s">
        <v>1336</v>
      </c>
      <c r="H47" s="2333"/>
      <c r="I47" s="151"/>
      <c r="J47" s="2309">
        <v>2</v>
      </c>
      <c r="K47" s="3326" t="s">
        <v>1337</v>
      </c>
      <c r="L47" s="3326"/>
      <c r="M47" s="3347">
        <f>'数据-取费表'!B2</f>
        <v>45526</v>
      </c>
      <c r="N47" s="3347"/>
      <c r="O47" s="3347"/>
    </row>
    <row r="48" spans="1:15" ht="39.6">
      <c r="A48" s="3295" t="s">
        <v>1338</v>
      </c>
      <c r="B48" s="3278"/>
      <c r="C48" s="3278"/>
      <c r="D48" s="12">
        <f ca="1">IF(H48="情况1",0,IF(H48="情况2",D52,IF(H48="情况3",D53,IF(H48="情况4",D54))))</f>
        <v>2701</v>
      </c>
      <c r="E48" s="1255" t="str">
        <f>IF(H48="情况4","(销售额-原购置价)×税（费）率","销售额×税（费）率")</f>
        <v>(销售额-原购置价)×税（费）率</v>
      </c>
      <c r="F48" s="2334">
        <f>IF(H48="情况1","免征",'数据-取费表'!B41)</f>
        <v>5.6000000000000001E-2</v>
      </c>
      <c r="G48" s="2335" t="s">
        <v>1339</v>
      </c>
      <c r="H48" s="2336" t="s">
        <v>3588</v>
      </c>
      <c r="I48" s="1667"/>
      <c r="J48" s="2309">
        <v>3</v>
      </c>
      <c r="K48" s="3326" t="s">
        <v>1340</v>
      </c>
      <c r="L48" s="3326"/>
      <c r="M48" s="3348">
        <f ca="1">H101</f>
        <v>50650</v>
      </c>
      <c r="N48" s="3348"/>
      <c r="O48" s="3348"/>
    </row>
    <row r="49" spans="1:35" ht="25.5" customHeight="1">
      <c r="A49" s="2151" t="s">
        <v>1341</v>
      </c>
      <c r="B49" s="3262" t="s">
        <v>1342</v>
      </c>
      <c r="C49" s="3262"/>
      <c r="D49" s="1477">
        <v>0</v>
      </c>
      <c r="E49" s="316" t="s">
        <v>1343</v>
      </c>
      <c r="F49" s="2232" t="s">
        <v>28</v>
      </c>
      <c r="G49" s="3332"/>
      <c r="H49" s="2133" t="s">
        <v>2134</v>
      </c>
      <c r="I49" s="2134"/>
      <c r="J49" s="2309">
        <v>4</v>
      </c>
      <c r="K49" s="3326" t="str">
        <f>IF(项目基本情况!E8="房地产抵押价值","房地产抵押价值","抵押担保权已注销时的房地产抵押价值")</f>
        <v>房地产抵押价值</v>
      </c>
      <c r="L49" s="3326"/>
      <c r="M49" s="3348">
        <f ca="1">IF(项目基本情况!E8="房地产抵押价值",H107,H109)</f>
        <v>50650</v>
      </c>
      <c r="N49" s="3348"/>
      <c r="O49" s="3348"/>
    </row>
    <row r="50" spans="1:35" ht="25.5" customHeight="1">
      <c r="A50" s="2337"/>
      <c r="B50" s="3262" t="s">
        <v>1344</v>
      </c>
      <c r="C50" s="3262"/>
      <c r="D50" s="2188"/>
      <c r="E50" s="323"/>
      <c r="F50" s="2232"/>
      <c r="G50" s="3333"/>
      <c r="H50" s="2135" t="s">
        <v>2135</v>
      </c>
      <c r="I50" s="2134"/>
      <c r="J50" s="3345" t="s">
        <v>1345</v>
      </c>
      <c r="K50" s="3345"/>
      <c r="L50" s="3345"/>
      <c r="M50" s="3345"/>
      <c r="N50" s="3345"/>
      <c r="O50" s="3345"/>
    </row>
    <row r="51" spans="1:35" ht="20.399999999999999" customHeight="1">
      <c r="A51" s="2338"/>
      <c r="B51" s="3262" t="s">
        <v>1346</v>
      </c>
      <c r="C51" s="3262"/>
      <c r="D51" s="1024"/>
      <c r="E51" s="319"/>
      <c r="F51" s="2232"/>
      <c r="G51" s="3334"/>
      <c r="H51" s="2135" t="s">
        <v>2136</v>
      </c>
      <c r="I51" s="2134"/>
      <c r="J51" s="2310" t="s">
        <v>1347</v>
      </c>
      <c r="K51" s="3326" t="s">
        <v>1348</v>
      </c>
      <c r="L51" s="3326"/>
      <c r="M51" s="2310" t="s">
        <v>1349</v>
      </c>
      <c r="N51" s="2310" t="s">
        <v>1350</v>
      </c>
      <c r="O51" s="2310" t="s">
        <v>1351</v>
      </c>
    </row>
    <row r="52" spans="1:35" ht="24" customHeight="1">
      <c r="A52" s="2152" t="s">
        <v>1352</v>
      </c>
      <c r="B52" s="3262" t="s">
        <v>1353</v>
      </c>
      <c r="C52" s="3262"/>
      <c r="D52" s="1024">
        <f ca="1">ROUND(D45*'数据-取费表'!B41/(1+'数据-取费表'!C42),0)</f>
        <v>2701</v>
      </c>
      <c r="E52" s="1255" t="s">
        <v>1354</v>
      </c>
      <c r="F52" s="2339">
        <f>'数据-取费表'!B41</f>
        <v>5.6000000000000001E-2</v>
      </c>
      <c r="G52" s="2340"/>
      <c r="H52" s="2330"/>
      <c r="I52" s="1668"/>
      <c r="J52" s="2309">
        <v>1</v>
      </c>
      <c r="K52" s="3327" t="s">
        <v>1355</v>
      </c>
      <c r="L52" s="3327"/>
      <c r="M52" s="2311">
        <f ca="1">D48</f>
        <v>2701</v>
      </c>
      <c r="N52" s="2309" t="str">
        <f>E48</f>
        <v>(销售额-原购置价)×税（费）率</v>
      </c>
      <c r="O52" s="2312">
        <f>F48</f>
        <v>5.6000000000000001E-2</v>
      </c>
    </row>
    <row r="53" spans="1:35" ht="12" customHeight="1">
      <c r="A53" s="2152" t="s">
        <v>1356</v>
      </c>
      <c r="B53" s="3288" t="s">
        <v>2289</v>
      </c>
      <c r="C53" s="3289"/>
      <c r="D53" s="1024">
        <f ca="1">ROUND(D45*'数据-取费表'!B41/(1+'数据-取费表'!C42),0)</f>
        <v>2701</v>
      </c>
      <c r="E53" s="1255" t="s">
        <v>1354</v>
      </c>
      <c r="F53" s="2339">
        <f>'数据-取费表'!B41</f>
        <v>5.6000000000000001E-2</v>
      </c>
      <c r="G53" s="2340"/>
      <c r="H53" s="2330"/>
      <c r="I53" s="1668"/>
      <c r="J53" s="2309">
        <v>2</v>
      </c>
      <c r="K53" s="3327" t="s">
        <v>1357</v>
      </c>
      <c r="L53" s="3327"/>
      <c r="M53" s="2311">
        <f t="shared" ref="M53:O54" ca="1" si="0">D55</f>
        <v>25</v>
      </c>
      <c r="N53" s="2309" t="str">
        <f t="shared" si="0"/>
        <v>销售额×税（费）率</v>
      </c>
      <c r="O53" s="2312">
        <f t="shared" si="0"/>
        <v>5.0000000000000001E-4</v>
      </c>
    </row>
    <row r="54" spans="1:35" ht="12" customHeight="1">
      <c r="A54" s="2152" t="s">
        <v>1358</v>
      </c>
      <c r="B54" s="3288" t="s">
        <v>2290</v>
      </c>
      <c r="C54" s="3289"/>
      <c r="D54" s="1024">
        <f ca="1">C68</f>
        <v>2701</v>
      </c>
      <c r="E54" s="319" t="s">
        <v>1359</v>
      </c>
      <c r="F54" s="2339">
        <f>'数据-取费表'!B41</f>
        <v>5.6000000000000001E-2</v>
      </c>
      <c r="G54" s="2340"/>
      <c r="H54" s="2341"/>
      <c r="I54" s="1668"/>
      <c r="J54" s="2309">
        <v>3</v>
      </c>
      <c r="K54" s="3327" t="s">
        <v>1360</v>
      </c>
      <c r="L54" s="3327"/>
      <c r="M54" s="2311">
        <f t="shared" ca="1" si="0"/>
        <v>2412</v>
      </c>
      <c r="N54" s="2309" t="str">
        <f t="shared" si="0"/>
        <v>增值额×税（费）率</v>
      </c>
      <c r="O54" s="2313" t="str">
        <f t="shared" si="0"/>
        <v>——</v>
      </c>
    </row>
    <row r="55" spans="1:35" ht="24" customHeight="1">
      <c r="A55" s="3277" t="s">
        <v>1361</v>
      </c>
      <c r="B55" s="3278"/>
      <c r="C55" s="3278"/>
      <c r="D55" s="12">
        <f ca="1">IF(H55="个人住宅",0,ROUND(D45*I55,0))</f>
        <v>25</v>
      </c>
      <c r="E55" s="1255" t="s">
        <v>1362</v>
      </c>
      <c r="F55" s="2339">
        <f>IF(H55="正常",I55,"免征")</f>
        <v>5.0000000000000001E-4</v>
      </c>
      <c r="G55" s="2340"/>
      <c r="H55" s="2336" t="s">
        <v>3571</v>
      </c>
      <c r="I55" s="157">
        <f>'数据-取费表'!B49</f>
        <v>5.0000000000000001E-4</v>
      </c>
      <c r="J55" s="2309" t="str">
        <f>IF(H59="非个人房产","",4)</f>
        <v/>
      </c>
      <c r="K55" s="3327" t="str">
        <f>IF(H59="非个人房产","——","个人所得税")</f>
        <v>——</v>
      </c>
      <c r="L55" s="3327"/>
      <c r="M55" s="2314" t="str">
        <f>D59</f>
        <v>——</v>
      </c>
      <c r="N55" s="1882" t="str">
        <f>E59</f>
        <v>——</v>
      </c>
      <c r="O55" s="2315" t="str">
        <f>F59</f>
        <v>——</v>
      </c>
    </row>
    <row r="56" spans="1:35" ht="25.2">
      <c r="A56" s="3277" t="s">
        <v>1363</v>
      </c>
      <c r="B56" s="3278"/>
      <c r="C56" s="3278"/>
      <c r="D56" s="3172">
        <f ca="1">ROUND(D45/1.05*0.05,0)</f>
        <v>2412</v>
      </c>
      <c r="E56" s="1255" t="s">
        <v>1364</v>
      </c>
      <c r="F56" s="2339" t="str">
        <f>IF(H56="正常",F58,"免征")</f>
        <v>——</v>
      </c>
      <c r="G56" s="2342" t="s">
        <v>1365</v>
      </c>
      <c r="H56" s="2343" t="s">
        <v>3571</v>
      </c>
      <c r="I56" s="1669"/>
      <c r="J56" s="2309" t="str">
        <f>IF(项目基本情况!K6="上海银行",IF(J55="",4,J55+1),"")</f>
        <v/>
      </c>
      <c r="K56" s="3350" t="str">
        <f>IF(项目基本情况!K6="上海银行","其他处置费用","")</f>
        <v/>
      </c>
      <c r="L56" s="3351"/>
      <c r="M56" s="2311" t="str">
        <f>IF(项目基本情况!K6="上海银行",M69,"")</f>
        <v/>
      </c>
      <c r="N56" s="3350" t="str">
        <f>IF(项目基本情况!K6="上海银行","包含处置中涉及的律师、诉讼、拍卖、评估等费用","")</f>
        <v/>
      </c>
      <c r="O56" s="3353"/>
    </row>
    <row r="57" spans="1:35" ht="13.2">
      <c r="A57" s="2152" t="s">
        <v>1341</v>
      </c>
      <c r="B57" s="3288" t="s">
        <v>1366</v>
      </c>
      <c r="C57" s="3289"/>
      <c r="D57" s="1477">
        <v>0</v>
      </c>
      <c r="E57" s="316" t="s">
        <v>1343</v>
      </c>
      <c r="F57" s="294"/>
      <c r="G57" s="2340"/>
      <c r="H57" s="2344"/>
      <c r="I57" s="1669"/>
      <c r="J57" s="3327">
        <f>IF(AND(J55="",J56=""),4,IF(项目基本情况!K6="上海银行",结果表!J56+1,结果表!J55+1))</f>
        <v>4</v>
      </c>
      <c r="K57" s="3327" t="s">
        <v>1367</v>
      </c>
      <c r="L57" s="2316" t="s">
        <v>1368</v>
      </c>
      <c r="M57" s="2317"/>
      <c r="N57" s="2318">
        <f ca="1">SUMIF(M52:M56,"&lt;9e307")</f>
        <v>5138</v>
      </c>
      <c r="O57" s="2319"/>
      <c r="P57" s="2464">
        <f ca="1">N57/M49</f>
        <v>0.10144126357354392</v>
      </c>
    </row>
    <row r="58" spans="1:35" ht="25.2">
      <c r="A58" s="2152" t="s">
        <v>1352</v>
      </c>
      <c r="B58" s="3288" t="s">
        <v>1369</v>
      </c>
      <c r="C58" s="3262"/>
      <c r="D58" s="12">
        <f ca="1">IF(H58="转让取得",C81,C97)</f>
        <v>28668</v>
      </c>
      <c r="E58" s="1255" t="s">
        <v>1364</v>
      </c>
      <c r="F58" s="294" t="s">
        <v>28</v>
      </c>
      <c r="G58" s="2340"/>
      <c r="H58" s="2343" t="s">
        <v>3589</v>
      </c>
      <c r="I58" s="1669"/>
      <c r="J58" s="3327"/>
      <c r="K58" s="3327"/>
      <c r="L58" s="2316" t="s">
        <v>1370</v>
      </c>
      <c r="M58" s="2320"/>
      <c r="N58" s="2321" t="str">
        <f ca="1">NUMBERSTRING(INT(N57*10000),2)&amp;"元整"</f>
        <v>伍仟壹佰叁拾捌万元整</v>
      </c>
      <c r="O58" s="2322"/>
    </row>
    <row r="59" spans="1:35" ht="24.6" thickBot="1">
      <c r="A59" s="3330" t="s">
        <v>1371</v>
      </c>
      <c r="B59" s="3331"/>
      <c r="C59" s="3331"/>
      <c r="D59" s="2345" t="str">
        <f>IF(H59="非个人房产","——",IF(H59="个人住宅（满五唯一有凭证）",0,IF(H59="个人其他（无凭证）",ROUND(D45*F59,0),ROUND(C67*F59,0))))</f>
        <v>——</v>
      </c>
      <c r="E59" s="2346" t="str">
        <f>IF(H59="非个人房产","——",IF(H59="个人其他（无凭证）","销售额×税（费）率",IF(H59="个人住宅（满五唯一有凭证）","免征","差额计税")))</f>
        <v>——</v>
      </c>
      <c r="F59" s="2347" t="str">
        <f>IF(OR(H59="非个人房产",H59="个人住宅（满五唯一有凭证）"),"——",IF(H59="个人其他（有凭证）",20%,1%))</f>
        <v>——</v>
      </c>
      <c r="G59" s="2348" t="s">
        <v>1365</v>
      </c>
      <c r="H59" s="2137" t="s">
        <v>3590</v>
      </c>
      <c r="I59" s="2136" t="s">
        <v>2137</v>
      </c>
      <c r="J59" s="3328">
        <f>J57+1</f>
        <v>5</v>
      </c>
      <c r="K59" s="3327" t="s">
        <v>1372</v>
      </c>
      <c r="L59" s="2309" t="s">
        <v>1368</v>
      </c>
      <c r="M59" s="2323"/>
      <c r="N59" s="2324">
        <f ca="1">M49-N57</f>
        <v>45512</v>
      </c>
      <c r="O59" s="2325"/>
    </row>
    <row r="60" spans="1:35" ht="12" customHeight="1">
      <c r="A60" s="1670"/>
      <c r="B60" s="646"/>
      <c r="C60" s="646"/>
      <c r="D60" s="646"/>
      <c r="E60" s="1465"/>
      <c r="F60" s="1669"/>
      <c r="G60" s="1669"/>
      <c r="H60" s="151"/>
      <c r="I60" s="121"/>
      <c r="J60" s="3329"/>
      <c r="K60" s="3327"/>
      <c r="L60" s="2316" t="s">
        <v>1370</v>
      </c>
      <c r="M60" s="2320"/>
      <c r="N60" s="2321" t="str">
        <f ca="1">NUMBERSTRING(INT(N59*10000),2)&amp;"元整"</f>
        <v>肆亿伍仟伍佰壹拾贰万元整</v>
      </c>
      <c r="O60" s="2322"/>
    </row>
    <row r="61" spans="1:35" ht="13.8" thickBot="1">
      <c r="A61" s="3275" t="s">
        <v>1373</v>
      </c>
      <c r="B61" s="3275"/>
      <c r="C61" s="3275"/>
      <c r="D61" s="3275"/>
      <c r="E61" s="3275"/>
      <c r="F61" s="1669"/>
      <c r="G61" s="1669"/>
      <c r="H61" s="151"/>
      <c r="I61" s="121"/>
      <c r="J61" s="2309">
        <f>J59+1</f>
        <v>6</v>
      </c>
      <c r="K61" s="3327" t="s">
        <v>1374</v>
      </c>
      <c r="L61" s="3327"/>
      <c r="M61" s="2326"/>
      <c r="N61" s="2327">
        <f ca="1">ROUND(N59*10000/'数据-汇总表'!E3,0)</f>
        <v>26070</v>
      </c>
      <c r="O61" s="2328"/>
    </row>
    <row r="62" spans="1:35" ht="13.2">
      <c r="A62" s="3293" t="s">
        <v>1375</v>
      </c>
      <c r="B62" s="3294"/>
      <c r="C62" s="1864"/>
      <c r="D62" s="1864" t="s">
        <v>1376</v>
      </c>
      <c r="E62" s="158" t="s">
        <v>1377</v>
      </c>
      <c r="F62" s="1669"/>
      <c r="G62" s="1669"/>
      <c r="H62" s="151"/>
      <c r="I62" s="121"/>
    </row>
    <row r="63" spans="1:35" ht="13.2">
      <c r="A63" s="165" t="s">
        <v>330</v>
      </c>
      <c r="B63" s="159" t="s">
        <v>1378</v>
      </c>
      <c r="C63" s="2349">
        <f ca="1">ROUND((C64+C65)/(1+'数据-取费表'!C42),0)</f>
        <v>48238</v>
      </c>
      <c r="D63" s="159"/>
      <c r="E63" s="160"/>
      <c r="F63" s="1669"/>
      <c r="G63" s="1669"/>
      <c r="H63" s="151"/>
      <c r="I63" s="121"/>
      <c r="J63" s="3352" t="s">
        <v>1379</v>
      </c>
      <c r="K63" s="1244" t="s">
        <v>1380</v>
      </c>
      <c r="L63" s="1244">
        <f ca="1">IF(M49&gt;10000,M49*0.5%,IF(AND(M49&gt;1000,M49&lt;=10000),M49*1%,IF(AND(M49&gt;100,M49&lt;=1000),M49*3%,IF(AND(M49&gt;10,M49&lt;=100),M49*5%,M49*8%))))</f>
        <v>253.25</v>
      </c>
      <c r="M63" s="294">
        <f ca="1">ROUND(L63,1)</f>
        <v>253.3</v>
      </c>
      <c r="N63" s="2329"/>
      <c r="Z63" s="1622"/>
      <c r="AI63" s="1560"/>
    </row>
    <row r="64" spans="1:35" ht="14.25" customHeight="1">
      <c r="A64" s="161" t="s">
        <v>325</v>
      </c>
      <c r="B64" s="162" t="s">
        <v>1381</v>
      </c>
      <c r="C64" s="2350">
        <f ca="1">D45</f>
        <v>50650</v>
      </c>
      <c r="D64" s="162" t="s">
        <v>26</v>
      </c>
      <c r="E64" s="164"/>
      <c r="F64" s="1669"/>
      <c r="G64" s="1669"/>
      <c r="H64" s="151"/>
      <c r="I64" s="121"/>
      <c r="J64" s="3352"/>
      <c r="K64" s="1244" t="s">
        <v>1382</v>
      </c>
      <c r="L64" s="1244">
        <f ca="1">IF(M49&gt;2000,M49*0.5%,IF(AND(M49&gt;1000,M49&lt;=2000),M49*0.6%,IF(AND(M49&gt;500,M49&lt;=1000),M49*0.7%,IF(AND(M49&gt;200,M49&lt;=500),M49*0.8%,IF(AND(M49&gt;100,M49&lt;=200),M49*0.9%,IF(AND(M49&gt;50,M49&lt;=100),M49*1%,IF(AND(M49&gt;20,M49&lt;=50),M49*1.5%,IF(AND(M49&gt;10,M49&lt;=20),M49*2%,IF(AND(M49&gt;1,M49&lt;=10),M49*2.5%)))))))))</f>
        <v>253.25</v>
      </c>
      <c r="M64" s="294">
        <f t="shared" ref="M64:M65" ca="1" si="1">ROUND(L64,1)</f>
        <v>253.3</v>
      </c>
      <c r="N64" s="2330" t="s">
        <v>1383</v>
      </c>
      <c r="Z64" s="1622"/>
      <c r="AI64" s="1560"/>
    </row>
    <row r="65" spans="1:35" ht="14.25" customHeight="1">
      <c r="A65" s="161" t="s">
        <v>326</v>
      </c>
      <c r="B65" s="162" t="s">
        <v>1384</v>
      </c>
      <c r="C65" s="2351"/>
      <c r="D65" s="162"/>
      <c r="E65" s="164"/>
      <c r="F65" s="1669"/>
      <c r="G65" s="1669"/>
      <c r="H65" s="151"/>
      <c r="I65" s="121"/>
      <c r="J65" s="3352"/>
      <c r="K65" s="1244" t="s">
        <v>1385</v>
      </c>
      <c r="L65" s="1244">
        <f ca="1">IF(M49&gt;1000,M49*0.1%,IF(AND(M49&gt;500,M49&lt;=1000),M49*0.5%,IF(AND(M49&gt;50,M49&lt;=500),M49*1%,IF(AND(M49&gt;1,M49&lt;=50),M49*1.5%))))</f>
        <v>50.65</v>
      </c>
      <c r="M65" s="294">
        <f t="shared" ca="1" si="1"/>
        <v>50.7</v>
      </c>
      <c r="N65" s="2330" t="s">
        <v>1383</v>
      </c>
      <c r="Z65" s="1622"/>
      <c r="AI65" s="1560"/>
    </row>
    <row r="66" spans="1:35" ht="14.25" customHeight="1">
      <c r="A66" s="165" t="s">
        <v>327</v>
      </c>
      <c r="B66" s="166" t="s">
        <v>1386</v>
      </c>
      <c r="C66" s="2352"/>
      <c r="D66" s="166" t="s">
        <v>26</v>
      </c>
      <c r="E66" s="1250" t="s">
        <v>671</v>
      </c>
      <c r="F66" s="1669"/>
      <c r="G66" s="1669"/>
      <c r="H66" s="151"/>
      <c r="I66" s="121"/>
      <c r="J66" s="3352"/>
      <c r="K66" s="1244" t="s">
        <v>1387</v>
      </c>
      <c r="L66" s="1244">
        <f ca="1">M49*0.5%</f>
        <v>253.25</v>
      </c>
      <c r="M66" s="294">
        <f ca="1">IF(L66&gt;0.5,0.5,ROUND(L66,0))</f>
        <v>0.5</v>
      </c>
      <c r="N66" s="2330" t="s">
        <v>1388</v>
      </c>
      <c r="Z66" s="1622"/>
      <c r="AI66" s="1560"/>
    </row>
    <row r="67" spans="1:35" ht="14.25" customHeight="1">
      <c r="A67" s="165" t="s">
        <v>328</v>
      </c>
      <c r="B67" s="166" t="s">
        <v>1389</v>
      </c>
      <c r="C67" s="2353">
        <f ca="1">C63-C66</f>
        <v>48238</v>
      </c>
      <c r="D67" s="162" t="s">
        <v>26</v>
      </c>
      <c r="E67" s="164"/>
      <c r="F67" s="1669"/>
      <c r="G67" s="1669"/>
      <c r="H67" s="151"/>
      <c r="I67" s="121"/>
      <c r="J67" s="3352"/>
      <c r="K67" s="1244" t="s">
        <v>1390</v>
      </c>
      <c r="L67" s="1244">
        <f ca="1">IF(M49&gt;=10000,(8.25+(M49-10000)*0.01%),IF(AND(M49&gt;=8000,M49&lt;10000),(7.85+(M49-8000)*0.02%),IF(AND(M49&gt;=5000,M49&lt;8000),(6.65+(M49-5000)*0.04%),IF(AND(M49&gt;=2000,M49&lt;5000),(4.25+(PM49-2000)*0.08%),IF(AND(M49&gt;=1000,M49&lt;2000),(2.75+(M49-1000)*0.15%),IF(AND(M49&gt;=100,M49&lt;1000),(0.5+(M49-100)*0.25%),IF(AND(M49&gt;0,M49&lt;100),M49*0.5%)))))))</f>
        <v>12.315000000000001</v>
      </c>
      <c r="M67" s="294">
        <f ca="1">ROUND(L67*0.9,1)</f>
        <v>11.1</v>
      </c>
      <c r="N67" s="2329"/>
      <c r="Z67" s="1622"/>
      <c r="AI67" s="1560"/>
    </row>
    <row r="68" spans="1:35" ht="14.25" customHeight="1" thickBot="1">
      <c r="A68" s="168" t="s">
        <v>329</v>
      </c>
      <c r="B68" s="169" t="s">
        <v>1391</v>
      </c>
      <c r="C68" s="2354">
        <f ca="1">IF(C67&lt;=0,0,ROUND(C67*D68,0))</f>
        <v>2701</v>
      </c>
      <c r="D68" s="2355">
        <f>'数据-取费表'!B41</f>
        <v>5.6000000000000001E-2</v>
      </c>
      <c r="E68" s="170"/>
      <c r="F68" s="1669"/>
      <c r="G68" s="1669"/>
      <c r="H68" s="151"/>
      <c r="I68" s="121"/>
      <c r="J68" s="3352"/>
      <c r="K68" s="1244" t="s">
        <v>1392</v>
      </c>
      <c r="L68" s="1244">
        <f ca="1">IF(M49&gt;10000,M49*0.5%,IF(AND(M49&gt;5000,M49&lt;=10000),M49*1%,IF(AND(M49&gt;1000,M49&lt;=5000),M49*2%,IF(AND(M49&gt;200,M49&lt;=1000),M49*3%,M49*5%))))</f>
        <v>253.25</v>
      </c>
      <c r="M68" s="294">
        <f ca="1">ROUND(L68,1)</f>
        <v>253.3</v>
      </c>
      <c r="N68" s="2329"/>
      <c r="Z68" s="1622"/>
      <c r="AI68" s="1560"/>
    </row>
    <row r="69" spans="1:35" ht="16.5" customHeight="1">
      <c r="A69" s="1671"/>
      <c r="B69" s="1672"/>
      <c r="C69" s="1673"/>
      <c r="D69" s="1674"/>
      <c r="E69" s="1675"/>
      <c r="F69" s="1465"/>
      <c r="G69" s="1465"/>
      <c r="H69" s="1466"/>
      <c r="I69" s="646"/>
      <c r="J69" s="3352"/>
      <c r="K69" s="1244" t="s">
        <v>1393</v>
      </c>
      <c r="L69" s="1244"/>
      <c r="M69" s="294">
        <f ca="1">ROUND(SUM(M63:M68),0)</f>
        <v>822</v>
      </c>
      <c r="N69" s="2331">
        <f ca="1">M69/M49</f>
        <v>1.6229022704837118E-2</v>
      </c>
      <c r="Z69" s="1622"/>
      <c r="AI69" s="1560"/>
    </row>
    <row r="70" spans="1:35" s="642" customFormat="1" ht="14.4" thickBot="1">
      <c r="A70" s="3314" t="s">
        <v>1394</v>
      </c>
      <c r="B70" s="3315"/>
      <c r="C70" s="3315"/>
      <c r="D70" s="3315"/>
      <c r="E70" s="3315"/>
      <c r="F70" s="3315"/>
      <c r="G70" s="3315"/>
      <c r="H70" s="3315"/>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3.8">
      <c r="A71" s="3293" t="s">
        <v>1375</v>
      </c>
      <c r="B71" s="3294"/>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3.8">
      <c r="A72" s="165" t="s">
        <v>330</v>
      </c>
      <c r="B72" s="166" t="s">
        <v>1395</v>
      </c>
      <c r="C72" s="2353">
        <f ca="1">ROUND(D45/(1+'数据-取费表'!C42),0)</f>
        <v>48238</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3.8">
      <c r="A73" s="165" t="s">
        <v>327</v>
      </c>
      <c r="B73" s="155" t="s">
        <v>1396</v>
      </c>
      <c r="C73" s="2353">
        <f ca="1">C74+C78</f>
        <v>289</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28.8">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88" t="s">
        <v>1402</v>
      </c>
      <c r="F76" s="3262"/>
      <c r="G76" s="3262"/>
      <c r="H76" s="3313"/>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289</v>
      </c>
      <c r="D78" s="2362">
        <f>'数据-取费表'!B43</f>
        <v>6.000000000000001E-3</v>
      </c>
      <c r="E78" s="3272" t="s">
        <v>1406</v>
      </c>
      <c r="F78" s="3273"/>
      <c r="G78" s="3273"/>
      <c r="H78" s="3282"/>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3.8">
      <c r="A79" s="165" t="s">
        <v>334</v>
      </c>
      <c r="B79" s="166" t="s">
        <v>1407</v>
      </c>
      <c r="C79" s="2353">
        <f ca="1">C72-C73</f>
        <v>47949</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165.91349480968859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6" thickBot="1">
      <c r="A81" s="168" t="s">
        <v>336</v>
      </c>
      <c r="B81" s="169" t="s">
        <v>1409</v>
      </c>
      <c r="C81" s="2364">
        <f ca="1">ROUND(IF(C79&lt;=0,0,IF(C80&gt;=200%,C79*60%-C73*35%,IF(C80&gt;=100%,C79*50%-C73*15%,IF(C80&gt;=50%,C79*40%-C73*5%,IF(C80&lt;50%,C79*30%,0))))),0)</f>
        <v>28668</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4.4" thickBot="1">
      <c r="A83" s="3314" t="s">
        <v>1410</v>
      </c>
      <c r="B83" s="3315"/>
      <c r="C83" s="3315"/>
      <c r="D83" s="3315"/>
      <c r="E83" s="3315"/>
      <c r="F83" s="3315"/>
      <c r="G83" s="3315"/>
      <c r="H83" s="3315"/>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3.8">
      <c r="A84" s="3293" t="s">
        <v>1375</v>
      </c>
      <c r="B84" s="3294"/>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3.8">
      <c r="A85" s="165" t="s">
        <v>330</v>
      </c>
      <c r="B85" s="166" t="s">
        <v>1395</v>
      </c>
      <c r="C85" s="2353">
        <f ca="1">ROUND(D45/(1+'数据-取费表'!C42),0)</f>
        <v>48238</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3.8">
      <c r="A86" s="165" t="s">
        <v>327</v>
      </c>
      <c r="B86" s="155" t="s">
        <v>1396</v>
      </c>
      <c r="C86" s="2353">
        <f ca="1">IF(H88="仅含出让金",C87+C90+C91+C92+C93+C94,C87+C91+C92+C93+C94)</f>
        <v>289</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3.8">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4">
      <c r="A88" s="161" t="s">
        <v>331</v>
      </c>
      <c r="B88" s="162" t="s">
        <v>1412</v>
      </c>
      <c r="C88" s="2367"/>
      <c r="D88" s="2362"/>
      <c r="E88" s="185" t="s">
        <v>1413</v>
      </c>
      <c r="F88" s="2147"/>
      <c r="G88" s="186" t="s">
        <v>1414</v>
      </c>
      <c r="H88" s="1683"/>
      <c r="I88" s="1680"/>
      <c r="J88" s="2307"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3.8">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4">
      <c r="A90" s="161" t="s">
        <v>326</v>
      </c>
      <c r="B90" s="162" t="s">
        <v>1416</v>
      </c>
      <c r="C90" s="2367"/>
      <c r="D90" s="2362"/>
      <c r="E90" s="185" t="str">
        <f>IF(H88="-","土地取得成本中已包含该笔费用"," ")</f>
        <v xml:space="preserve"> </v>
      </c>
      <c r="F90" s="2147"/>
      <c r="G90" s="3354" t="s">
        <v>2129</v>
      </c>
      <c r="H90" s="3355"/>
      <c r="I90" s="1680"/>
      <c r="J90" s="2307"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72" t="s">
        <v>1419</v>
      </c>
      <c r="F91" s="3273"/>
      <c r="G91" s="3273"/>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72" t="s">
        <v>1422</v>
      </c>
      <c r="F92" s="3273"/>
      <c r="G92" s="3273"/>
      <c r="H92" s="3282"/>
      <c r="I92" s="1680"/>
      <c r="J92" s="2308"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289</v>
      </c>
      <c r="D93" s="2362">
        <f>'数据-取费表'!B43</f>
        <v>6.000000000000001E-3</v>
      </c>
      <c r="E93" s="3272" t="s">
        <v>1406</v>
      </c>
      <c r="F93" s="3273"/>
      <c r="G93" s="3273"/>
      <c r="H93" s="3282"/>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283" t="s">
        <v>1426</v>
      </c>
      <c r="F94" s="3284"/>
      <c r="G94" s="3284"/>
      <c r="H94" s="3285"/>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3.8">
      <c r="A95" s="165" t="s">
        <v>334</v>
      </c>
      <c r="B95" s="166" t="s">
        <v>1407</v>
      </c>
      <c r="C95" s="2353">
        <f ca="1">ROUND(C85-C86,0)</f>
        <v>47949</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165.91349480968859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6" thickBot="1">
      <c r="A97" s="168" t="s">
        <v>336</v>
      </c>
      <c r="B97" s="169" t="s">
        <v>1409</v>
      </c>
      <c r="C97" s="2364">
        <f ca="1">ROUND(IF(C95&lt;=0,0,IF(C96&gt;=200%,C95*60%-C86*35%,IF(C96&gt;=100%,C95*50%-C86*15%,IF(C96&gt;=50%,C95*40%-C86*5%,IF(C96&lt;50%,C95*30%,0))))),0)</f>
        <v>28668</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56" t="s">
        <v>1428</v>
      </c>
      <c r="B100" s="3257"/>
      <c r="C100" s="3257"/>
      <c r="D100" s="3274"/>
      <c r="E100" s="3257" t="s">
        <v>1429</v>
      </c>
      <c r="F100" s="3257"/>
      <c r="G100" s="3257"/>
      <c r="H100" s="3274"/>
      <c r="I100" s="121"/>
    </row>
    <row r="101" spans="1:35" ht="18.75" customHeight="1">
      <c r="A101" s="3335" t="s">
        <v>1430</v>
      </c>
      <c r="B101" s="3336"/>
      <c r="C101" s="2370" t="str">
        <f>C4</f>
        <v>成本法</v>
      </c>
      <c r="D101" s="2371" t="str">
        <f>D4</f>
        <v>收益法</v>
      </c>
      <c r="E101" s="3349" t="s">
        <v>1431</v>
      </c>
      <c r="F101" s="3306"/>
      <c r="G101" s="1686" t="s">
        <v>1432</v>
      </c>
      <c r="H101" s="2380">
        <f ca="1">H118</f>
        <v>50650</v>
      </c>
      <c r="I101" s="121"/>
    </row>
    <row r="102" spans="1:35" ht="18.75" customHeight="1">
      <c r="A102" s="3308" t="s">
        <v>1433</v>
      </c>
      <c r="B102" s="2369" t="s">
        <v>1432</v>
      </c>
      <c r="C102" s="2370">
        <f ca="1">IF(D32="楼面单价",ROUND(C19,0),C19)</f>
        <v>46898</v>
      </c>
      <c r="D102" s="2371">
        <f ca="1">IF(D32="楼面单价",ROUND(D19,0),D19)</f>
        <v>54401</v>
      </c>
      <c r="E102" s="3349"/>
      <c r="F102" s="3306"/>
      <c r="G102" s="1686" t="s">
        <v>1434</v>
      </c>
      <c r="H102" s="2340">
        <f ca="1">I118</f>
        <v>29014</v>
      </c>
      <c r="I102" s="121"/>
    </row>
    <row r="103" spans="1:35" ht="42.75" customHeight="1">
      <c r="A103" s="3308"/>
      <c r="B103" s="2369" t="s">
        <v>1434</v>
      </c>
      <c r="C103" s="2372">
        <f ca="1">C20</f>
        <v>26864</v>
      </c>
      <c r="D103" s="2373">
        <f ca="1">D20</f>
        <v>31162</v>
      </c>
      <c r="E103" s="3343" t="s">
        <v>1435</v>
      </c>
      <c r="F103" s="3344"/>
      <c r="G103" s="1687" t="s">
        <v>1436</v>
      </c>
      <c r="H103" s="2380">
        <f>IF(D36="正常操作",H104+H105+H106,H105+H106)</f>
        <v>0</v>
      </c>
      <c r="I103" s="121"/>
    </row>
    <row r="104" spans="1:35" ht="18.75" customHeight="1">
      <c r="A104" s="3308" t="s">
        <v>1437</v>
      </c>
      <c r="B104" s="2374" t="s">
        <v>1432</v>
      </c>
      <c r="C104" s="2375">
        <f ca="1">H118</f>
        <v>50650</v>
      </c>
      <c r="D104" s="2376"/>
      <c r="E104" s="1554" t="s">
        <v>1438</v>
      </c>
      <c r="F104" s="1547"/>
      <c r="G104" s="1687" t="s">
        <v>1436</v>
      </c>
      <c r="H104" s="2381">
        <f>IF(D36="同一抵押权人同一抵押物续贷",C36&amp;"（续贷，未扣减，详见特别提示）",C36)</f>
        <v>0</v>
      </c>
      <c r="I104" s="121"/>
    </row>
    <row r="105" spans="1:35" ht="18.75" customHeight="1" thickBot="1">
      <c r="A105" s="3309"/>
      <c r="B105" s="2377" t="s">
        <v>1434</v>
      </c>
      <c r="C105" s="2378">
        <f ca="1">I118</f>
        <v>29014</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305" t="str">
        <f>IF(项目基本情况!E8="已注销","——","3.房地产抵押价值")</f>
        <v>3.房地产抵押价值</v>
      </c>
      <c r="F107" s="3306"/>
      <c r="G107" s="1686" t="s">
        <v>1432</v>
      </c>
      <c r="H107" s="2380">
        <f ca="1">IF(E107="——","——",H101-H103)</f>
        <v>50650</v>
      </c>
      <c r="I107" s="121"/>
    </row>
    <row r="108" spans="1:35" ht="18.75" customHeight="1">
      <c r="A108" s="121"/>
      <c r="B108" s="121"/>
      <c r="C108" s="121"/>
      <c r="D108" s="121"/>
      <c r="E108" s="3305"/>
      <c r="F108" s="3306"/>
      <c r="G108" s="1686" t="s">
        <v>1434</v>
      </c>
      <c r="H108" s="2340">
        <f ca="1">IF(H107=H101,H102,ROUND(H107*10000/'数据-汇总表'!E3,0))</f>
        <v>29014</v>
      </c>
      <c r="I108" s="121"/>
    </row>
    <row r="109" spans="1:35" ht="18.75" customHeight="1">
      <c r="A109" s="121"/>
      <c r="B109" s="121"/>
      <c r="C109" s="121"/>
      <c r="D109" s="121"/>
      <c r="E109" s="3305" t="str">
        <f>IF(项目基本情况!E8="已注销及未注销","4.抵押担保权已注销时的房地产抵押价值",IF(项目基本情况!E8="已注销","3.抵押担保权已注销时的房地产抵押价值","——"))</f>
        <v>——</v>
      </c>
      <c r="F109" s="3306"/>
      <c r="G109" s="1686" t="s">
        <v>1432</v>
      </c>
      <c r="H109" s="2383" t="str">
        <f>IF(E109="——","——",H101-H105-H106)</f>
        <v>——</v>
      </c>
      <c r="I109" s="121"/>
    </row>
    <row r="110" spans="1:35" ht="18.75" customHeight="1">
      <c r="A110" s="121"/>
      <c r="B110" s="121"/>
      <c r="C110" s="121"/>
      <c r="D110" s="121"/>
      <c r="E110" s="3305"/>
      <c r="F110" s="3306"/>
      <c r="G110" s="1686" t="s">
        <v>1434</v>
      </c>
      <c r="H110" s="2340" t="str">
        <f>IF(H109="——","——",ROUND(H109*10000/'数据-汇总表'!E3,0))</f>
        <v>——</v>
      </c>
      <c r="I110" s="121"/>
    </row>
    <row r="111" spans="1:35" ht="18.75" customHeight="1">
      <c r="A111" s="121"/>
      <c r="B111" s="121"/>
      <c r="C111" s="121"/>
      <c r="D111" s="121"/>
      <c r="E111" s="3337" t="str">
        <f>IF(项目基本情况!E9="抵押净值",IF(OR(项目基本情况!E8="已注销",项目基本情况!E8="房地产抵押价值"),"4.抵押净值","5.抵押净值"),"——")</f>
        <v>4.抵押净值</v>
      </c>
      <c r="F111" s="3307"/>
      <c r="G111" s="1686" t="s">
        <v>1432</v>
      </c>
      <c r="H111" s="2380">
        <f ca="1">IF(E111="——","——",N59)</f>
        <v>45512</v>
      </c>
      <c r="I111" s="121"/>
    </row>
    <row r="112" spans="1:35" ht="18.75" customHeight="1" thickBot="1">
      <c r="A112" s="121"/>
      <c r="B112" s="121"/>
      <c r="C112" s="121"/>
      <c r="D112" s="121"/>
      <c r="E112" s="3338"/>
      <c r="F112" s="3339"/>
      <c r="G112" s="1689" t="s">
        <v>1434</v>
      </c>
      <c r="H112" s="2384">
        <f ca="1">IF(E111="——","——",N61)</f>
        <v>26070</v>
      </c>
      <c r="I112" s="121"/>
    </row>
    <row r="113" spans="1:27" ht="18.75" customHeight="1">
      <c r="A113" s="121"/>
      <c r="B113" s="121"/>
      <c r="C113" s="121"/>
      <c r="D113" s="121"/>
      <c r="E113" s="3310" t="s">
        <v>1440</v>
      </c>
      <c r="F113" s="3310"/>
      <c r="G113" s="3310"/>
      <c r="H113" s="3310"/>
      <c r="I113" s="121"/>
    </row>
    <row r="114" spans="1:27" ht="3.75" customHeight="1">
      <c r="A114" s="646"/>
      <c r="B114" s="646"/>
      <c r="C114" s="646"/>
      <c r="D114" s="646"/>
      <c r="E114" s="1670"/>
      <c r="F114" s="1670"/>
      <c r="G114" s="1670"/>
      <c r="H114" s="1670"/>
      <c r="I114" s="646"/>
    </row>
    <row r="115" spans="1:27" ht="18.75" customHeight="1">
      <c r="A115" s="3320" t="s">
        <v>1442</v>
      </c>
      <c r="B115" s="3321"/>
      <c r="C115" s="3321"/>
      <c r="D115" s="3321"/>
      <c r="E115" s="3321"/>
      <c r="F115" s="3321"/>
      <c r="G115" s="3321"/>
      <c r="H115" s="3321"/>
      <c r="I115" s="3322"/>
    </row>
    <row r="116" spans="1:27" ht="27" customHeight="1">
      <c r="A116" s="3276" t="s">
        <v>1443</v>
      </c>
      <c r="B116" s="3311" t="s">
        <v>1444</v>
      </c>
      <c r="C116" s="3311" t="s">
        <v>1445</v>
      </c>
      <c r="D116" s="3324" t="s">
        <v>1446</v>
      </c>
      <c r="E116" s="3325"/>
      <c r="F116" s="3319" t="s">
        <v>1447</v>
      </c>
      <c r="G116" s="3319"/>
      <c r="H116" s="3276" t="s">
        <v>1448</v>
      </c>
      <c r="I116" s="3276"/>
    </row>
    <row r="117" spans="1:27" ht="18.75" customHeight="1">
      <c r="A117" s="3276"/>
      <c r="B117" s="3312"/>
      <c r="C117" s="3312"/>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17457.32</v>
      </c>
      <c r="C118" s="2149">
        <f>M19</f>
        <v>3862.4</v>
      </c>
      <c r="D118" s="2149">
        <f ca="1">ROUND(IF(D32="总价",C34,E118*B118/10000),0)</f>
        <v>35658</v>
      </c>
      <c r="E118" s="2149">
        <f ca="1">ROUND(IF(C33="自定义",IF(D32="楼面单价",C34,D118*10000/B118),I118-G118),0)</f>
        <v>20426</v>
      </c>
      <c r="F118" s="2149">
        <f ca="1">ROUND(IF(D32="总价",C35,G118*B118/10000),0)</f>
        <v>14992</v>
      </c>
      <c r="G118" s="2149">
        <f ca="1">ROUND(IF(D32="楼面单价",C35,F118*10000/B118),0)</f>
        <v>8588</v>
      </c>
      <c r="H118" s="2149">
        <f ca="1">ROUND(IF(D32="总价",C32,I118*B118/10000),0)</f>
        <v>50650</v>
      </c>
      <c r="I118" s="2149">
        <f ca="1">ROUND(IF(D32="楼面单价",C32,H118*10000/B118),0)</f>
        <v>29014</v>
      </c>
    </row>
    <row r="119" spans="1:27" ht="18.75" customHeight="1">
      <c r="A119" s="3276" t="s">
        <v>1452</v>
      </c>
      <c r="B119" s="3276"/>
      <c r="C119" s="3276"/>
      <c r="D119" s="3316" t="str">
        <f ca="1">NUMBERSTRING(INT(D118*10000),2)&amp;"元整"</f>
        <v>叁亿伍仟陆佰伍拾捌万元整</v>
      </c>
      <c r="E119" s="3318"/>
      <c r="F119" s="3316" t="str">
        <f ca="1">NUMBERSTRING(INT(F118*10000),2)&amp;"元整"</f>
        <v>壹亿肆仟玖佰玖拾贰万元整</v>
      </c>
      <c r="G119" s="3318"/>
      <c r="H119" s="3316" t="str">
        <f ca="1">NUMBERSTRING(INT(H118*10000),2)&amp;"元整"</f>
        <v>伍亿零陆佰伍拾万元整</v>
      </c>
      <c r="I119" s="3318"/>
    </row>
    <row r="120" spans="1:27" ht="18.75" customHeight="1">
      <c r="A120" s="3340" t="str">
        <f>IF(项目基本情况!B9="房地产市场价值","",MID(E103,3,LEN(E103)-2))</f>
        <v>估价师知悉的法定优先受偿款</v>
      </c>
      <c r="B120" s="3341"/>
      <c r="C120" s="3342"/>
      <c r="D120" s="3340">
        <f>H103</f>
        <v>0</v>
      </c>
      <c r="E120" s="3341"/>
      <c r="F120" s="3341"/>
      <c r="G120" s="3341"/>
      <c r="H120" s="3341"/>
      <c r="I120" s="3342"/>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16" t="s">
        <v>1452</v>
      </c>
      <c r="B121" s="3317"/>
      <c r="C121" s="3318"/>
      <c r="D121" s="3316" t="str">
        <f>IF(D120=0,"零元整",NUMBERSTRING(INT(D120*10000),2)&amp;"元整")</f>
        <v>零元整</v>
      </c>
      <c r="E121" s="3317"/>
      <c r="F121" s="3317"/>
      <c r="G121" s="3317"/>
      <c r="H121" s="3317"/>
      <c r="I121" s="3318"/>
      <c r="AA121" s="684"/>
    </row>
    <row r="122" spans="1:27" ht="18.75" customHeight="1">
      <c r="A122" s="3307" t="str">
        <f>IF(项目基本情况!B9="房地产市场价值","",MID(E107,3,LEN(E107)-2))</f>
        <v>房地产抵押价值</v>
      </c>
      <c r="B122" s="3307"/>
      <c r="C122" s="3307"/>
      <c r="D122" s="3340">
        <f ca="1">H107</f>
        <v>50650</v>
      </c>
      <c r="E122" s="3341"/>
      <c r="F122" s="3341"/>
      <c r="G122" s="3341"/>
      <c r="H122" s="3341"/>
      <c r="I122" s="3342"/>
      <c r="AA122" s="684"/>
    </row>
    <row r="123" spans="1:27" ht="18.75" customHeight="1">
      <c r="A123" s="3276" t="s">
        <v>1452</v>
      </c>
      <c r="B123" s="3276"/>
      <c r="C123" s="3276"/>
      <c r="D123" s="3316" t="str">
        <f ca="1">NUMBERSTRING(INT(D122*10000),2)&amp;"元整"</f>
        <v>伍亿零陆佰伍拾万元整</v>
      </c>
      <c r="E123" s="3317"/>
      <c r="F123" s="3317"/>
      <c r="G123" s="3317"/>
      <c r="H123" s="3317"/>
      <c r="I123" s="3318"/>
      <c r="AA123" s="684"/>
    </row>
    <row r="124" spans="1:27" ht="18.75" customHeight="1">
      <c r="A124" s="3307" t="str">
        <f>IF(项目基本情况!B9="房地产市场价值","",MID(E109,3,LEN(E109)-2))</f>
        <v/>
      </c>
      <c r="B124" s="3307"/>
      <c r="C124" s="3307"/>
      <c r="D124" s="3340" t="str">
        <f>H109</f>
        <v>——</v>
      </c>
      <c r="E124" s="3341"/>
      <c r="F124" s="3341"/>
      <c r="G124" s="3341"/>
      <c r="H124" s="3341"/>
      <c r="I124" s="3342"/>
      <c r="AA124" s="684"/>
    </row>
    <row r="125" spans="1:27" ht="18.75" customHeight="1">
      <c r="A125" s="3276" t="s">
        <v>1452</v>
      </c>
      <c r="B125" s="3276"/>
      <c r="C125" s="3276"/>
      <c r="D125" s="3316" t="e">
        <f>NUMBERSTRING(INT(D124*10000),2)&amp;"元整"</f>
        <v>#VALUE!</v>
      </c>
      <c r="E125" s="3317"/>
      <c r="F125" s="3317"/>
      <c r="G125" s="3317"/>
      <c r="H125" s="3317"/>
      <c r="I125" s="3318"/>
      <c r="AA125" s="684"/>
    </row>
    <row r="126" spans="1:27" ht="18.75" customHeight="1">
      <c r="A126" s="3307" t="str">
        <f>IF(项目基本情况!B9="房地产市场价值","",MID(E111,3,LEN(E111)-2))</f>
        <v>抵押净值</v>
      </c>
      <c r="B126" s="3307"/>
      <c r="C126" s="3307"/>
      <c r="D126" s="3340">
        <f ca="1">H111</f>
        <v>45512</v>
      </c>
      <c r="E126" s="3341"/>
      <c r="F126" s="3341"/>
      <c r="G126" s="3341"/>
      <c r="H126" s="3341"/>
      <c r="I126" s="3342"/>
      <c r="AA126" s="684"/>
    </row>
    <row r="127" spans="1:27" ht="18.75" customHeight="1">
      <c r="A127" s="3276" t="s">
        <v>1452</v>
      </c>
      <c r="B127" s="3276"/>
      <c r="C127" s="3276"/>
      <c r="D127" s="3316" t="str">
        <f ca="1">NUMBERSTRING(INT(D126*10000),2)&amp;"元整"</f>
        <v>肆亿伍仟伍佰壹拾贰万元整</v>
      </c>
      <c r="E127" s="3317"/>
      <c r="F127" s="3317"/>
      <c r="G127" s="3317"/>
      <c r="H127" s="3317"/>
      <c r="I127" s="3318"/>
      <c r="AA127" s="684"/>
    </row>
    <row r="128" spans="1:27" ht="21.75" customHeight="1">
      <c r="A128" s="3323" t="s">
        <v>1453</v>
      </c>
      <c r="B128" s="3323"/>
      <c r="C128" s="3323"/>
      <c r="D128" s="3323"/>
      <c r="E128" s="3323"/>
      <c r="F128" s="3323"/>
      <c r="G128" s="3323"/>
      <c r="H128" s="3323"/>
      <c r="I128" s="3323"/>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131"/>
  <sheetViews>
    <sheetView tabSelected="1" view="pageBreakPreview" topLeftCell="A44" zoomScale="85" zoomScaleNormal="60" zoomScaleSheetLayoutView="85" workbookViewId="0">
      <selection activeCell="R48" sqref="R48:W48"/>
    </sheetView>
  </sheetViews>
  <sheetFormatPr defaultColWidth="9" defaultRowHeight="13.8"/>
  <cols>
    <col min="1" max="1" width="14.33203125" style="347" customWidth="1"/>
    <col min="2" max="3" width="15.77734375" style="347" customWidth="1"/>
    <col min="4" max="4" width="14.109375" style="347" customWidth="1"/>
    <col min="5" max="5" width="15.88671875" style="347" customWidth="1"/>
    <col min="6" max="6" width="12.21875" style="347" customWidth="1"/>
    <col min="7" max="7" width="15.88671875" style="347" customWidth="1"/>
    <col min="8" max="8" width="12.21875" style="347" customWidth="1"/>
    <col min="9" max="9" width="15.8867187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f>F65</f>
        <v>21929</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ROUND(IF(D3="",B2*10000/'数据-汇总表'!E3,B2*10000/D3),0)</f>
        <v>12561</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60" t="s">
        <v>1770</v>
      </c>
      <c r="D4" s="3372"/>
      <c r="E4" s="3373" t="s">
        <v>1771</v>
      </c>
      <c r="F4" s="3374"/>
      <c r="G4" s="3360" t="s">
        <v>1772</v>
      </c>
      <c r="H4" s="3372"/>
      <c r="I4" s="3360" t="s">
        <v>1773</v>
      </c>
      <c r="J4" s="3372"/>
      <c r="K4" s="537" t="s">
        <v>1774</v>
      </c>
      <c r="L4" s="2486"/>
      <c r="M4" s="2487"/>
      <c r="N4" s="2487"/>
      <c r="O4" s="2487"/>
      <c r="P4" s="3375" t="s">
        <v>1775</v>
      </c>
      <c r="Q4" s="3376"/>
      <c r="R4" s="3381" t="s">
        <v>1771</v>
      </c>
      <c r="S4" s="3382"/>
      <c r="T4" s="3381" t="s">
        <v>1772</v>
      </c>
      <c r="U4" s="3382"/>
      <c r="V4" s="3368" t="s">
        <v>1773</v>
      </c>
      <c r="W4" s="3368"/>
      <c r="X4" s="1264"/>
      <c r="Y4" s="3381" t="s">
        <v>1775</v>
      </c>
      <c r="Z4" s="3382"/>
      <c r="AA4" s="3369" t="s">
        <v>1771</v>
      </c>
      <c r="AB4" s="3370" t="s">
        <v>1772</v>
      </c>
      <c r="AC4" s="3369" t="s">
        <v>1773</v>
      </c>
    </row>
    <row r="5" spans="1:29" ht="63" customHeight="1">
      <c r="A5" s="348"/>
      <c r="B5" s="349"/>
      <c r="C5" s="3389" t="s">
        <v>1673</v>
      </c>
      <c r="D5" s="3390"/>
      <c r="E5" s="3396" t="str">
        <f>土地案例!A2</f>
        <v>北京丽泽金融商务区北区A地块建设及综合治理项目FT00-0609-0037(2)地块B4综合性商业金融服务业用地</v>
      </c>
      <c r="F5" s="3397"/>
      <c r="G5" s="3389" t="str">
        <f>土地案例!A3</f>
        <v>北京市丰台区丽泽金融商务区FT00-0612-0016等地块F3其他类多功能用地、S32公交场站设施用地</v>
      </c>
      <c r="H5" s="3390"/>
      <c r="I5" s="3389" t="str">
        <f>土地案例!A4</f>
        <v>北京市丰台区丽泽金融商务区D-01地块B4综合性商业金融服务业用地</v>
      </c>
      <c r="J5" s="3390"/>
      <c r="K5" s="537"/>
      <c r="L5" s="2486"/>
      <c r="M5" s="2487"/>
      <c r="N5" s="2487"/>
      <c r="O5" s="2487"/>
      <c r="P5" s="3377"/>
      <c r="Q5" s="3378"/>
      <c r="R5" s="3383"/>
      <c r="S5" s="3384"/>
      <c r="T5" s="3383"/>
      <c r="U5" s="3384"/>
      <c r="V5" s="3368"/>
      <c r="W5" s="3368"/>
      <c r="X5" s="1264"/>
      <c r="Y5" s="3383"/>
      <c r="Z5" s="3384"/>
      <c r="AA5" s="3370"/>
      <c r="AB5" s="3370"/>
      <c r="AC5" s="3370"/>
    </row>
    <row r="6" spans="1:29" ht="15" thickBot="1">
      <c r="A6" s="350"/>
      <c r="B6" s="351"/>
      <c r="C6" s="3387" t="s">
        <v>1677</v>
      </c>
      <c r="D6" s="3388"/>
      <c r="E6" s="3394" t="s">
        <v>1677</v>
      </c>
      <c r="F6" s="3395"/>
      <c r="G6" s="3387" t="s">
        <v>1677</v>
      </c>
      <c r="H6" s="3388"/>
      <c r="I6" s="3387" t="s">
        <v>1677</v>
      </c>
      <c r="J6" s="3388"/>
      <c r="K6" s="537" t="s">
        <v>1678</v>
      </c>
      <c r="L6" s="2486"/>
      <c r="M6" s="2487"/>
      <c r="N6" s="2487"/>
      <c r="O6" s="2487"/>
      <c r="P6" s="3379"/>
      <c r="Q6" s="3380"/>
      <c r="R6" s="3383"/>
      <c r="S6" s="3384"/>
      <c r="T6" s="3385"/>
      <c r="U6" s="3386"/>
      <c r="V6" s="3368"/>
      <c r="W6" s="3368"/>
      <c r="X6" s="1264"/>
      <c r="Y6" s="3385"/>
      <c r="Z6" s="3386"/>
      <c r="AA6" s="3371"/>
      <c r="AB6" s="3371"/>
      <c r="AC6" s="3371"/>
    </row>
    <row r="7" spans="1:29" s="102" customFormat="1" ht="15" thickBot="1">
      <c r="A7" s="352" t="s">
        <v>1679</v>
      </c>
      <c r="B7" s="353"/>
      <c r="C7" s="354">
        <f>'数据-取费表'!B2</f>
        <v>45526</v>
      </c>
      <c r="D7" s="355">
        <v>100</v>
      </c>
      <c r="E7" s="356">
        <f>土地案例!AG2</f>
        <v>45288.000497685185</v>
      </c>
      <c r="F7" s="357">
        <f>SUMIF(69:69,YEAR(E7)&amp;"-"&amp;INT((MONTH(E7)+2)/3),70:70)</f>
        <v>99.399999999999991</v>
      </c>
      <c r="G7" s="1821">
        <f>土地案例!AG3</f>
        <v>45090.000497685185</v>
      </c>
      <c r="H7" s="355">
        <f>SUMIF(69:69,YEAR(G7)&amp;"-"&amp;INT((MONTH(G7)+2)/3),70:70)</f>
        <v>98.999999999999986</v>
      </c>
      <c r="I7" s="1821">
        <f>土地案例!AG4</f>
        <v>44798.000497685185</v>
      </c>
      <c r="J7" s="355">
        <f>SUMIF(69:69,YEAR(I7)&amp;"-"&amp;INT((MONTH(I7)+2)/3),70:70)</f>
        <v>98.399999999999977</v>
      </c>
      <c r="K7" s="38"/>
      <c r="L7" s="2488"/>
      <c r="M7" s="2439"/>
      <c r="N7" s="2439"/>
      <c r="O7" s="2439"/>
      <c r="P7" s="3391" t="s">
        <v>1680</v>
      </c>
      <c r="Q7" s="3393"/>
      <c r="R7" s="664" t="s">
        <v>14</v>
      </c>
      <c r="S7" s="665">
        <f t="shared" ref="S7:S15" si="0">F7</f>
        <v>99.399999999999991</v>
      </c>
      <c r="T7" s="664" t="s">
        <v>14</v>
      </c>
      <c r="U7" s="665">
        <f t="shared" ref="U7:U15" si="1">H7</f>
        <v>98.999999999999986</v>
      </c>
      <c r="V7" s="664" t="s">
        <v>14</v>
      </c>
      <c r="W7" s="665">
        <f t="shared" ref="W7:W15" si="2">J7</f>
        <v>98.399999999999977</v>
      </c>
      <c r="X7" s="666"/>
      <c r="Y7" s="3391" t="s">
        <v>1680</v>
      </c>
      <c r="Z7" s="3392"/>
      <c r="AA7" s="50">
        <f>D7/F7</f>
        <v>1.0060362173038231</v>
      </c>
      <c r="AB7" s="50">
        <f>D7/H7</f>
        <v>1.0101010101010102</v>
      </c>
      <c r="AC7" s="50">
        <f>D7/J7</f>
        <v>1.0162601626016263</v>
      </c>
    </row>
    <row r="8" spans="1:29" s="102" customFormat="1" ht="15" thickBot="1">
      <c r="A8" s="352" t="s">
        <v>1681</v>
      </c>
      <c r="B8" s="353"/>
      <c r="C8" s="358" t="s">
        <v>1682</v>
      </c>
      <c r="D8" s="355">
        <v>100</v>
      </c>
      <c r="E8" s="358" t="s">
        <v>3571</v>
      </c>
      <c r="F8" s="357">
        <f>SUMIF(72:72,E8,73:73)-SUMIF(72:72,C8,73:73)+100</f>
        <v>100</v>
      </c>
      <c r="G8" s="358" t="s">
        <v>3571</v>
      </c>
      <c r="H8" s="355">
        <f>SUMIF(72:72,G8,73:73)-SUMIF(72:72,C8,73:73)+100</f>
        <v>100</v>
      </c>
      <c r="I8" s="358" t="s">
        <v>3571</v>
      </c>
      <c r="J8" s="355">
        <f>SUMIF(72:72,I8,73:73)-SUMIF(72:72,C8,73:73)+100</f>
        <v>100</v>
      </c>
      <c r="K8" s="38"/>
      <c r="L8" s="2488"/>
      <c r="M8" s="2439"/>
      <c r="N8" s="2439"/>
      <c r="O8" s="2439"/>
      <c r="P8" s="3391" t="s">
        <v>1683</v>
      </c>
      <c r="Q8" s="3392"/>
      <c r="R8" s="664" t="s">
        <v>14</v>
      </c>
      <c r="S8" s="665">
        <f t="shared" si="0"/>
        <v>100</v>
      </c>
      <c r="T8" s="664" t="s">
        <v>14</v>
      </c>
      <c r="U8" s="665">
        <f t="shared" si="1"/>
        <v>100</v>
      </c>
      <c r="V8" s="664" t="s">
        <v>14</v>
      </c>
      <c r="W8" s="665">
        <f t="shared" si="2"/>
        <v>100</v>
      </c>
      <c r="X8" s="666"/>
      <c r="Y8" s="3391" t="s">
        <v>1683</v>
      </c>
      <c r="Z8" s="3392"/>
      <c r="AA8" s="50">
        <f t="shared" ref="AA8:AA45" si="3">D8/F8</f>
        <v>1</v>
      </c>
      <c r="AB8" s="50">
        <f t="shared" ref="AB8:AB45" si="4">D8/H8</f>
        <v>1</v>
      </c>
      <c r="AC8" s="50">
        <f t="shared" ref="AC8:AC45" si="5">D8/J8</f>
        <v>1</v>
      </c>
    </row>
    <row r="9" spans="1:29" s="102" customFormat="1" ht="14.4">
      <c r="A9" s="359" t="s">
        <v>1684</v>
      </c>
      <c r="B9" s="60" t="s">
        <v>1685</v>
      </c>
      <c r="C9" s="1824" t="s">
        <v>3591</v>
      </c>
      <c r="D9" s="59">
        <v>100</v>
      </c>
      <c r="E9" s="1824" t="s">
        <v>3591</v>
      </c>
      <c r="F9" s="59">
        <f>SUMIF(74:74,E9,75:75)-SUMIF(74:74,C9,75:75)+100</f>
        <v>100</v>
      </c>
      <c r="G9" s="1824" t="s">
        <v>3592</v>
      </c>
      <c r="H9" s="59">
        <f>SUMIF(74:74,G9,75:75)-SUMIF(74:74,C9,75:75)+100</f>
        <v>95</v>
      </c>
      <c r="I9" s="1824" t="s">
        <v>3591</v>
      </c>
      <c r="J9" s="59">
        <f>SUMIF(74:74,I9,75:75)-SUMIF(74:74,C9,75:75)+100</f>
        <v>100</v>
      </c>
      <c r="K9" s="38"/>
      <c r="L9" s="2488"/>
      <c r="M9" s="2439"/>
      <c r="N9" s="2439"/>
      <c r="O9" s="2540"/>
      <c r="P9" s="3363" t="s">
        <v>1686</v>
      </c>
      <c r="Q9" s="530" t="str">
        <f t="shared" ref="Q9:Q15" si="6">B9</f>
        <v>用途</v>
      </c>
      <c r="R9" s="664" t="s">
        <v>14</v>
      </c>
      <c r="S9" s="665">
        <f t="shared" si="0"/>
        <v>100</v>
      </c>
      <c r="T9" s="664" t="s">
        <v>14</v>
      </c>
      <c r="U9" s="665">
        <f t="shared" si="1"/>
        <v>95</v>
      </c>
      <c r="V9" s="664" t="s">
        <v>14</v>
      </c>
      <c r="W9" s="665">
        <f t="shared" si="2"/>
        <v>100</v>
      </c>
      <c r="X9" s="666"/>
      <c r="Y9" s="3263" t="s">
        <v>1687</v>
      </c>
      <c r="Z9" s="50" t="str">
        <f t="shared" ref="Z9:Z15" si="7">Q9</f>
        <v>用途</v>
      </c>
      <c r="AA9" s="50">
        <f t="shared" si="3"/>
        <v>1</v>
      </c>
      <c r="AB9" s="50">
        <f t="shared" si="4"/>
        <v>1.0526315789473684</v>
      </c>
      <c r="AC9" s="50">
        <f t="shared" si="5"/>
        <v>1</v>
      </c>
    </row>
    <row r="10" spans="1:29" s="366" customFormat="1" ht="28.8">
      <c r="A10" s="363"/>
      <c r="B10" s="364" t="s">
        <v>1688</v>
      </c>
      <c r="C10" s="371"/>
      <c r="D10" s="119">
        <v>100</v>
      </c>
      <c r="E10" s="403"/>
      <c r="F10" s="119">
        <f>ROUND(100/'数据-取费表'!G16,0)</f>
        <v>131</v>
      </c>
      <c r="G10" s="402"/>
      <c r="H10" s="119">
        <f>ROUND(100/'数据-取费表'!G16,0)</f>
        <v>131</v>
      </c>
      <c r="I10" s="402"/>
      <c r="J10" s="119">
        <f>ROUND(100/'数据-取费表'!G16,0)</f>
        <v>131</v>
      </c>
      <c r="K10" s="592"/>
      <c r="L10" s="2489"/>
      <c r="M10" s="2490"/>
      <c r="N10" s="2490"/>
      <c r="O10" s="2541"/>
      <c r="P10" s="3363"/>
      <c r="Q10" s="530" t="str">
        <f t="shared" si="6"/>
        <v>土地使用年限（年）</v>
      </c>
      <c r="R10" s="664" t="s">
        <v>14</v>
      </c>
      <c r="S10" s="665">
        <f t="shared" si="0"/>
        <v>131</v>
      </c>
      <c r="T10" s="664" t="s">
        <v>14</v>
      </c>
      <c r="U10" s="665">
        <f t="shared" si="1"/>
        <v>131</v>
      </c>
      <c r="V10" s="664" t="s">
        <v>14</v>
      </c>
      <c r="W10" s="665">
        <f t="shared" si="2"/>
        <v>131</v>
      </c>
      <c r="X10" s="666"/>
      <c r="Y10" s="3263"/>
      <c r="Z10" s="50" t="str">
        <f t="shared" si="7"/>
        <v>土地使用年限（年）</v>
      </c>
      <c r="AA10" s="50">
        <f t="shared" si="3"/>
        <v>0.76335877862595425</v>
      </c>
      <c r="AB10" s="50">
        <f t="shared" si="4"/>
        <v>0.76335877862595425</v>
      </c>
      <c r="AC10" s="50">
        <f t="shared" si="5"/>
        <v>0.76335877862595425</v>
      </c>
    </row>
    <row r="11" spans="1:29" ht="15">
      <c r="A11" s="367"/>
      <c r="B11" s="364" t="s">
        <v>1689</v>
      </c>
      <c r="C11" s="368">
        <f>'数据-汇总表'!I7</f>
        <v>2.48</v>
      </c>
      <c r="D11" s="119">
        <v>100</v>
      </c>
      <c r="E11" s="368">
        <v>7</v>
      </c>
      <c r="F11" s="119">
        <f>LOOKUP(E11,79:79,80:80)-LOOKUP(C11,79:79,80:80)+100</f>
        <v>85</v>
      </c>
      <c r="G11" s="369">
        <f>土地案例!S3</f>
        <v>4.4000000000000004</v>
      </c>
      <c r="H11" s="119">
        <f>LOOKUP(G11,79:79,80:80)-LOOKUP(C11,79:79,80:80)+100</f>
        <v>94</v>
      </c>
      <c r="I11" s="368">
        <v>6.33</v>
      </c>
      <c r="J11" s="119">
        <f>LOOKUP(I11,79:79,80:80)-LOOKUP(C11,79:79,80:80)+100</f>
        <v>88</v>
      </c>
      <c r="K11" s="593">
        <v>3</v>
      </c>
      <c r="L11" s="2491"/>
      <c r="M11" s="2487"/>
      <c r="N11" s="2487"/>
      <c r="O11" s="2542"/>
      <c r="P11" s="3363"/>
      <c r="Q11" s="530" t="str">
        <f t="shared" si="6"/>
        <v>容积率</v>
      </c>
      <c r="R11" s="664" t="s">
        <v>14</v>
      </c>
      <c r="S11" s="665">
        <f t="shared" si="0"/>
        <v>85</v>
      </c>
      <c r="T11" s="664" t="s">
        <v>14</v>
      </c>
      <c r="U11" s="665">
        <f t="shared" si="1"/>
        <v>94</v>
      </c>
      <c r="V11" s="664" t="s">
        <v>14</v>
      </c>
      <c r="W11" s="665">
        <f t="shared" si="2"/>
        <v>88</v>
      </c>
      <c r="X11" s="666"/>
      <c r="Y11" s="3263"/>
      <c r="Z11" s="50" t="str">
        <f t="shared" si="7"/>
        <v>容积率</v>
      </c>
      <c r="AA11" s="50">
        <f t="shared" si="3"/>
        <v>1.1764705882352942</v>
      </c>
      <c r="AB11" s="50">
        <f t="shared" si="4"/>
        <v>1.0638297872340425</v>
      </c>
      <c r="AC11" s="50">
        <f t="shared" si="5"/>
        <v>1.1363636363636365</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63"/>
      <c r="Q12" s="530" t="str">
        <f t="shared" si="6"/>
        <v>配建</v>
      </c>
      <c r="R12" s="664" t="s">
        <v>14</v>
      </c>
      <c r="S12" s="665">
        <f t="shared" si="0"/>
        <v>100</v>
      </c>
      <c r="T12" s="664" t="s">
        <v>14</v>
      </c>
      <c r="U12" s="665">
        <f t="shared" si="1"/>
        <v>100</v>
      </c>
      <c r="V12" s="664" t="s">
        <v>14</v>
      </c>
      <c r="W12" s="665">
        <f t="shared" si="2"/>
        <v>100</v>
      </c>
      <c r="X12" s="666"/>
      <c r="Y12" s="326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63"/>
      <c r="Q13" s="530">
        <f t="shared" si="6"/>
        <v>111</v>
      </c>
      <c r="R13" s="664" t="s">
        <v>14</v>
      </c>
      <c r="S13" s="665">
        <f t="shared" si="0"/>
        <v>100</v>
      </c>
      <c r="T13" s="664" t="s">
        <v>14</v>
      </c>
      <c r="U13" s="665">
        <f t="shared" si="1"/>
        <v>100</v>
      </c>
      <c r="V13" s="664" t="s">
        <v>14</v>
      </c>
      <c r="W13" s="665">
        <f t="shared" si="2"/>
        <v>100</v>
      </c>
      <c r="X13" s="666"/>
      <c r="Y13" s="3263"/>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63"/>
      <c r="Q14" s="530">
        <f t="shared" si="6"/>
        <v>111</v>
      </c>
      <c r="R14" s="664" t="s">
        <v>14</v>
      </c>
      <c r="S14" s="665">
        <f t="shared" si="0"/>
        <v>100</v>
      </c>
      <c r="T14" s="664" t="s">
        <v>14</v>
      </c>
      <c r="U14" s="665">
        <f t="shared" si="1"/>
        <v>100</v>
      </c>
      <c r="V14" s="664" t="s">
        <v>14</v>
      </c>
      <c r="W14" s="665">
        <f t="shared" si="2"/>
        <v>100</v>
      </c>
      <c r="X14" s="666"/>
      <c r="Y14" s="3263"/>
      <c r="Z14" s="50">
        <f t="shared" si="7"/>
        <v>111</v>
      </c>
      <c r="AA14" s="50">
        <f>D14/F14</f>
        <v>1</v>
      </c>
      <c r="AB14" s="50">
        <f>D14/H14</f>
        <v>1</v>
      </c>
      <c r="AC14" s="50">
        <f>D14/J14</f>
        <v>1</v>
      </c>
    </row>
    <row r="15" spans="1:29" ht="15">
      <c r="A15" s="379" t="s">
        <v>1690</v>
      </c>
      <c r="B15" s="58" t="s">
        <v>1257</v>
      </c>
      <c r="C15" s="1749">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64" t="s">
        <v>1691</v>
      </c>
      <c r="Q15" s="1262" t="str">
        <f t="shared" si="6"/>
        <v>居住社区成熟度</v>
      </c>
      <c r="R15" s="667" t="s">
        <v>14</v>
      </c>
      <c r="S15" s="668">
        <f t="shared" si="0"/>
        <v>100</v>
      </c>
      <c r="T15" s="667" t="s">
        <v>14</v>
      </c>
      <c r="U15" s="668">
        <f t="shared" si="1"/>
        <v>100</v>
      </c>
      <c r="V15" s="667" t="s">
        <v>14</v>
      </c>
      <c r="W15" s="668">
        <f t="shared" si="2"/>
        <v>100</v>
      </c>
      <c r="X15" s="1264"/>
      <c r="Y15" s="3364"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2"/>
      <c r="M16" s="2487"/>
      <c r="N16" s="2487"/>
      <c r="O16" s="2542"/>
      <c r="P16" s="3365"/>
      <c r="Q16" s="1262"/>
      <c r="R16" s="667"/>
      <c r="S16" s="668"/>
      <c r="T16" s="667"/>
      <c r="U16" s="668"/>
      <c r="V16" s="667"/>
      <c r="W16" s="668"/>
      <c r="X16" s="1264"/>
      <c r="Y16" s="3365"/>
      <c r="Z16" s="1263"/>
      <c r="AA16" s="1263">
        <v>1</v>
      </c>
      <c r="AB16" s="1263">
        <v>1</v>
      </c>
      <c r="AC16" s="1263">
        <v>1</v>
      </c>
    </row>
    <row r="17" spans="1:29" ht="15">
      <c r="A17" s="367"/>
      <c r="B17" s="390" t="s">
        <v>1777</v>
      </c>
      <c r="C17" s="1805">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65"/>
      <c r="Q17" s="1262" t="str">
        <f>B17</f>
        <v>商业繁华度</v>
      </c>
      <c r="R17" s="667" t="s">
        <v>14</v>
      </c>
      <c r="S17" s="668">
        <f>F17</f>
        <v>100</v>
      </c>
      <c r="T17" s="667" t="s">
        <v>14</v>
      </c>
      <c r="U17" s="668">
        <f>H17</f>
        <v>100</v>
      </c>
      <c r="V17" s="667" t="s">
        <v>14</v>
      </c>
      <c r="W17" s="668">
        <f>J17</f>
        <v>100</v>
      </c>
      <c r="X17" s="1264"/>
      <c r="Y17" s="3365"/>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2"/>
      <c r="M18" s="2487"/>
      <c r="N18" s="2487"/>
      <c r="O18" s="2542"/>
      <c r="P18" s="3365"/>
      <c r="Q18" s="1262"/>
      <c r="R18" s="667"/>
      <c r="S18" s="668"/>
      <c r="T18" s="667"/>
      <c r="U18" s="668"/>
      <c r="V18" s="667"/>
      <c r="W18" s="668"/>
      <c r="X18" s="1264"/>
      <c r="Y18" s="3365"/>
      <c r="Z18" s="1263"/>
      <c r="AA18" s="1263">
        <v>1</v>
      </c>
      <c r="AB18" s="1263">
        <v>1</v>
      </c>
      <c r="AC18" s="1263">
        <v>1</v>
      </c>
    </row>
    <row r="19" spans="1:29" ht="82.8">
      <c r="A19" s="367"/>
      <c r="B19" s="390" t="s">
        <v>1811</v>
      </c>
      <c r="C19" s="1805" t="str">
        <f>估价对象房地状况!C17</f>
        <v>估价对象位于XX商圈，周边办公楼项目较多，入驻率高，办公集聚程度较好</v>
      </c>
      <c r="D19" s="394">
        <v>100</v>
      </c>
      <c r="E19" s="396"/>
      <c r="F19" s="394">
        <f>SUMIF(91:91,E20,92:92)-SUMIF(91:91,C20,92:92)+100</f>
        <v>103</v>
      </c>
      <c r="G19" s="396"/>
      <c r="H19" s="389">
        <f>SUMIF(91:91,G20,92:92)-SUMIF(91:91,C20,92:92)+100</f>
        <v>103</v>
      </c>
      <c r="I19" s="398"/>
      <c r="J19" s="389">
        <f>SUMIF(91:91,I20,92:92)-SUMIF(91:91,C20,92:92)+100</f>
        <v>103</v>
      </c>
      <c r="K19" s="593">
        <v>3</v>
      </c>
      <c r="L19" s="2492"/>
      <c r="M19" s="2487"/>
      <c r="N19" s="2487"/>
      <c r="O19" s="2542"/>
      <c r="P19" s="3365"/>
      <c r="Q19" s="1262" t="str">
        <f>B19</f>
        <v>办公集聚程度</v>
      </c>
      <c r="R19" s="667" t="s">
        <v>14</v>
      </c>
      <c r="S19" s="668">
        <f>F19</f>
        <v>103</v>
      </c>
      <c r="T19" s="667" t="s">
        <v>14</v>
      </c>
      <c r="U19" s="668">
        <f>H19</f>
        <v>103</v>
      </c>
      <c r="V19" s="667" t="s">
        <v>14</v>
      </c>
      <c r="W19" s="668">
        <f>J19</f>
        <v>103</v>
      </c>
      <c r="X19" s="1264"/>
      <c r="Y19" s="3365"/>
      <c r="Z19" s="1263" t="str">
        <f>Q19</f>
        <v>办公集聚程度</v>
      </c>
      <c r="AA19" s="1263">
        <f t="shared" si="3"/>
        <v>0.970873786407767</v>
      </c>
      <c r="AB19" s="1263">
        <f t="shared" si="4"/>
        <v>0.970873786407767</v>
      </c>
      <c r="AC19" s="1263">
        <f t="shared" si="5"/>
        <v>0.970873786407767</v>
      </c>
    </row>
    <row r="20" spans="1:29" ht="15">
      <c r="A20" s="367"/>
      <c r="B20" s="395"/>
      <c r="C20" s="386" t="s">
        <v>3458</v>
      </c>
      <c r="D20" s="387"/>
      <c r="E20" s="386" t="s">
        <v>3457</v>
      </c>
      <c r="F20" s="387"/>
      <c r="G20" s="386" t="s">
        <v>3457</v>
      </c>
      <c r="H20" s="387"/>
      <c r="I20" s="386" t="s">
        <v>3457</v>
      </c>
      <c r="J20" s="387"/>
      <c r="K20" s="592"/>
      <c r="L20" s="2492"/>
      <c r="M20" s="2487"/>
      <c r="N20" s="2487"/>
      <c r="O20" s="2542"/>
      <c r="P20" s="3365"/>
      <c r="Q20" s="1262"/>
      <c r="R20" s="667"/>
      <c r="S20" s="668"/>
      <c r="T20" s="667"/>
      <c r="U20" s="668"/>
      <c r="V20" s="667"/>
      <c r="W20" s="668"/>
      <c r="X20" s="1264"/>
      <c r="Y20" s="3365"/>
      <c r="Z20" s="1263"/>
      <c r="AA20" s="1263">
        <v>1</v>
      </c>
      <c r="AB20" s="1263">
        <v>1</v>
      </c>
      <c r="AC20" s="1263">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97</v>
      </c>
      <c r="G21" s="391"/>
      <c r="H21" s="389">
        <f>SUMIF(93:93,G22,94:94)-SUMIF(93:93,C22,94:94)+100</f>
        <v>94</v>
      </c>
      <c r="I21" s="393"/>
      <c r="J21" s="389">
        <f>SUMIF(93:93,I22,94:94)-SUMIF(93:93,C22,94:94)+100</f>
        <v>97</v>
      </c>
      <c r="K21" s="593">
        <v>3</v>
      </c>
      <c r="L21" s="2492"/>
      <c r="M21" s="2487"/>
      <c r="N21" s="2487"/>
      <c r="O21" s="2542"/>
      <c r="P21" s="3365"/>
      <c r="Q21" s="1262" t="str">
        <f>B21</f>
        <v>交通便捷度</v>
      </c>
      <c r="R21" s="667" t="s">
        <v>14</v>
      </c>
      <c r="S21" s="668">
        <f>F21</f>
        <v>97</v>
      </c>
      <c r="T21" s="667" t="s">
        <v>14</v>
      </c>
      <c r="U21" s="668">
        <f>H21</f>
        <v>94</v>
      </c>
      <c r="V21" s="667" t="s">
        <v>14</v>
      </c>
      <c r="W21" s="668">
        <f>J21</f>
        <v>97</v>
      </c>
      <c r="X21" s="1264"/>
      <c r="Y21" s="3365"/>
      <c r="Z21" s="1263" t="str">
        <f>Q21</f>
        <v>交通便捷度</v>
      </c>
      <c r="AA21" s="1263">
        <f t="shared" si="3"/>
        <v>1.0309278350515463</v>
      </c>
      <c r="AB21" s="1263">
        <f t="shared" si="4"/>
        <v>1.0638297872340425</v>
      </c>
      <c r="AC21" s="1263">
        <f t="shared" si="5"/>
        <v>1.0309278350515463</v>
      </c>
    </row>
    <row r="22" spans="1:29" ht="15">
      <c r="A22" s="367"/>
      <c r="B22" s="586"/>
      <c r="C22" s="386" t="s">
        <v>3463</v>
      </c>
      <c r="D22" s="389"/>
      <c r="E22" s="1751" t="s">
        <v>3457</v>
      </c>
      <c r="F22" s="387"/>
      <c r="G22" s="1751" t="s">
        <v>3458</v>
      </c>
      <c r="H22" s="387"/>
      <c r="I22" s="1751" t="s">
        <v>3457</v>
      </c>
      <c r="J22" s="387"/>
      <c r="K22" s="592"/>
      <c r="L22" s="2492"/>
      <c r="M22" s="2487"/>
      <c r="N22" s="2487"/>
      <c r="O22" s="2542"/>
      <c r="P22" s="3365"/>
      <c r="Q22" s="1262"/>
      <c r="R22" s="667"/>
      <c r="S22" s="668"/>
      <c r="T22" s="667"/>
      <c r="U22" s="668"/>
      <c r="V22" s="667"/>
      <c r="W22" s="668"/>
      <c r="X22" s="1264"/>
      <c r="Y22" s="3365"/>
      <c r="Z22" s="1263"/>
      <c r="AA22" s="1263">
        <v>1</v>
      </c>
      <c r="AB22" s="1263">
        <v>1</v>
      </c>
      <c r="AC22" s="1263">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65"/>
      <c r="Q23" s="1262" t="str">
        <f t="shared" ref="Q23:Q37" si="8">B23</f>
        <v>区域土地利用方向</v>
      </c>
      <c r="R23" s="667" t="s">
        <v>14</v>
      </c>
      <c r="S23" s="668">
        <f>F23</f>
        <v>100</v>
      </c>
      <c r="T23" s="667" t="s">
        <v>14</v>
      </c>
      <c r="U23" s="668">
        <f>H23</f>
        <v>100</v>
      </c>
      <c r="V23" s="667" t="s">
        <v>14</v>
      </c>
      <c r="W23" s="668">
        <f>J23</f>
        <v>100</v>
      </c>
      <c r="X23" s="1264"/>
      <c r="Y23" s="3365"/>
      <c r="Z23" s="1263" t="str">
        <f>Q23</f>
        <v>区域土地利用方向</v>
      </c>
      <c r="AA23" s="1263">
        <f t="shared" si="3"/>
        <v>1</v>
      </c>
      <c r="AB23" s="1263">
        <f t="shared" si="4"/>
        <v>1</v>
      </c>
      <c r="AC23" s="1263">
        <f t="shared" si="5"/>
        <v>1</v>
      </c>
    </row>
    <row r="24" spans="1:29" ht="15">
      <c r="A24" s="348"/>
      <c r="B24" s="395"/>
      <c r="C24" s="542" t="s">
        <v>3457</v>
      </c>
      <c r="D24" s="387"/>
      <c r="E24" s="542" t="s">
        <v>3457</v>
      </c>
      <c r="F24" s="387"/>
      <c r="G24" s="542" t="s">
        <v>3457</v>
      </c>
      <c r="H24" s="387"/>
      <c r="I24" s="542" t="s">
        <v>3457</v>
      </c>
      <c r="J24" s="387"/>
      <c r="K24" s="698"/>
      <c r="L24" s="2492"/>
      <c r="M24" s="2487"/>
      <c r="N24" s="2487"/>
      <c r="O24" s="2542"/>
      <c r="P24" s="3365"/>
      <c r="Q24" s="1262"/>
      <c r="R24" s="667"/>
      <c r="S24" s="668"/>
      <c r="T24" s="667"/>
      <c r="U24" s="668"/>
      <c r="V24" s="667"/>
      <c r="W24" s="668"/>
      <c r="X24" s="1264"/>
      <c r="Y24" s="3365"/>
      <c r="Z24" s="1263"/>
      <c r="AA24" s="1263"/>
      <c r="AB24" s="1263"/>
      <c r="AC24" s="1263"/>
    </row>
    <row r="25" spans="1:29" ht="55.2">
      <c r="A25" s="348"/>
      <c r="B25" s="586" t="s">
        <v>1872</v>
      </c>
      <c r="C25" s="1805" t="str">
        <f>估价对象房地状况!C20</f>
        <v>区域自然环境：；人文环境；综合评价环境状况一般</v>
      </c>
      <c r="D25" s="389">
        <v>100</v>
      </c>
      <c r="E25" s="391"/>
      <c r="F25" s="389">
        <f>SUMIF(97:97,E26,98:98)-SUMIF(97:97,C26,98:98)+100</f>
        <v>97</v>
      </c>
      <c r="G25" s="391"/>
      <c r="H25" s="389">
        <f>SUMIF(97:97,G26,98:98)-SUMIF(97:97,C26,98:98)+100</f>
        <v>97</v>
      </c>
      <c r="I25" s="393"/>
      <c r="J25" s="389">
        <f>SUMIF(97:97,I26,98:98)-SUMIF(97:97,C26,98:98)+100</f>
        <v>97</v>
      </c>
      <c r="K25" s="593">
        <v>3</v>
      </c>
      <c r="L25" s="2492"/>
      <c r="M25" s="2487"/>
      <c r="N25" s="2487"/>
      <c r="O25" s="2542"/>
      <c r="P25" s="3365"/>
      <c r="Q25" s="1262" t="str">
        <f t="shared" si="8"/>
        <v>自然及人文环境状况</v>
      </c>
      <c r="R25" s="667" t="s">
        <v>14</v>
      </c>
      <c r="S25" s="668">
        <f>F25</f>
        <v>97</v>
      </c>
      <c r="T25" s="667" t="s">
        <v>14</v>
      </c>
      <c r="U25" s="668">
        <f>H25</f>
        <v>97</v>
      </c>
      <c r="V25" s="667" t="s">
        <v>14</v>
      </c>
      <c r="W25" s="668">
        <f>J25</f>
        <v>97</v>
      </c>
      <c r="X25" s="1264"/>
      <c r="Y25" s="3365"/>
      <c r="Z25" s="1263" t="str">
        <f>Q25</f>
        <v>自然及人文环境状况</v>
      </c>
      <c r="AA25" s="1263">
        <f t="shared" si="3"/>
        <v>1.0309278350515463</v>
      </c>
      <c r="AB25" s="1263">
        <f t="shared" si="4"/>
        <v>1.0309278350515463</v>
      </c>
      <c r="AC25" s="1263">
        <f t="shared" si="5"/>
        <v>1.0309278350515463</v>
      </c>
    </row>
    <row r="26" spans="1:29" ht="15">
      <c r="A26" s="348"/>
      <c r="B26" s="395"/>
      <c r="C26" s="386" t="s">
        <v>3457</v>
      </c>
      <c r="D26" s="387"/>
      <c r="E26" s="386" t="s">
        <v>3458</v>
      </c>
      <c r="F26" s="387"/>
      <c r="G26" s="386" t="s">
        <v>3458</v>
      </c>
      <c r="H26" s="387"/>
      <c r="I26" s="386" t="s">
        <v>3458</v>
      </c>
      <c r="J26" s="387"/>
      <c r="K26" s="592"/>
      <c r="L26" s="2492"/>
      <c r="M26" s="2487"/>
      <c r="N26" s="2487"/>
      <c r="O26" s="2542"/>
      <c r="P26" s="3365"/>
      <c r="Q26" s="1262"/>
      <c r="R26" s="667"/>
      <c r="S26" s="668"/>
      <c r="T26" s="667"/>
      <c r="U26" s="668"/>
      <c r="V26" s="667"/>
      <c r="W26" s="668"/>
      <c r="X26" s="1264"/>
      <c r="Y26" s="3365"/>
      <c r="Z26" s="1263"/>
      <c r="AA26" s="1263">
        <v>1</v>
      </c>
      <c r="AB26" s="1263">
        <v>1</v>
      </c>
      <c r="AC26" s="1263">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97</v>
      </c>
      <c r="G27" s="391"/>
      <c r="H27" s="389">
        <f>SUMIF(99:99,G28,100:100)-SUMIF(99:99,C28,100:100)+100</f>
        <v>97</v>
      </c>
      <c r="I27" s="393"/>
      <c r="J27" s="389">
        <f>SUMIF(99:99,I28,100:100)-SUMIF(99:99,C28,100:100)+100</f>
        <v>97</v>
      </c>
      <c r="K27" s="593">
        <v>3</v>
      </c>
      <c r="L27" s="2488"/>
      <c r="M27" s="2439"/>
      <c r="N27" s="2439"/>
      <c r="O27" s="2540"/>
      <c r="P27" s="3365"/>
      <c r="Q27" s="530" t="str">
        <f t="shared" si="8"/>
        <v>公共配套设施</v>
      </c>
      <c r="R27" s="664" t="s">
        <v>14</v>
      </c>
      <c r="S27" s="665">
        <f>F27</f>
        <v>97</v>
      </c>
      <c r="T27" s="664" t="s">
        <v>14</v>
      </c>
      <c r="U27" s="665">
        <f>H27</f>
        <v>97</v>
      </c>
      <c r="V27" s="664" t="s">
        <v>14</v>
      </c>
      <c r="W27" s="665">
        <f>J27</f>
        <v>97</v>
      </c>
      <c r="X27" s="666"/>
      <c r="Y27" s="3365"/>
      <c r="Z27" s="50" t="str">
        <f>Q27</f>
        <v>公共配套设施</v>
      </c>
      <c r="AA27" s="1263">
        <f>D27/F27</f>
        <v>1.0309278350515463</v>
      </c>
      <c r="AB27" s="1263">
        <f>D27/H27</f>
        <v>1.0309278350515463</v>
      </c>
      <c r="AC27" s="1263">
        <f>D27/J27</f>
        <v>1.0309278350515463</v>
      </c>
    </row>
    <row r="28" spans="1:29" s="102" customFormat="1" ht="15">
      <c r="A28" s="443"/>
      <c r="B28" s="395"/>
      <c r="C28" s="1825" t="s">
        <v>3457</v>
      </c>
      <c r="D28" s="387"/>
      <c r="E28" s="386" t="s">
        <v>3458</v>
      </c>
      <c r="F28" s="387"/>
      <c r="G28" s="386" t="s">
        <v>3458</v>
      </c>
      <c r="H28" s="387"/>
      <c r="I28" s="386" t="s">
        <v>3458</v>
      </c>
      <c r="J28" s="387"/>
      <c r="K28" s="592"/>
      <c r="L28" s="2488"/>
      <c r="M28" s="2439"/>
      <c r="N28" s="2439"/>
      <c r="O28" s="2540"/>
      <c r="P28" s="3365"/>
      <c r="Q28" s="530"/>
      <c r="R28" s="664"/>
      <c r="S28" s="665"/>
      <c r="T28" s="664"/>
      <c r="U28" s="665"/>
      <c r="V28" s="664"/>
      <c r="W28" s="665"/>
      <c r="X28" s="666"/>
      <c r="Y28" s="3365"/>
      <c r="Z28" s="50"/>
      <c r="AA28" s="1263">
        <v>1</v>
      </c>
      <c r="AB28" s="1263">
        <v>1</v>
      </c>
      <c r="AC28" s="1263">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v>1</v>
      </c>
      <c r="L29" s="2488"/>
      <c r="M29" s="2439"/>
      <c r="N29" s="2439"/>
      <c r="O29" s="2540"/>
      <c r="P29" s="3365"/>
      <c r="Q29" s="530" t="str">
        <f t="shared" ref="Q29" si="9">B29</f>
        <v>基础设施水平</v>
      </c>
      <c r="R29" s="664" t="s">
        <v>14</v>
      </c>
      <c r="S29" s="665">
        <f>F29</f>
        <v>100</v>
      </c>
      <c r="T29" s="664" t="s">
        <v>14</v>
      </c>
      <c r="U29" s="665">
        <f>H29</f>
        <v>100</v>
      </c>
      <c r="V29" s="664" t="s">
        <v>14</v>
      </c>
      <c r="W29" s="665">
        <f>J29</f>
        <v>100</v>
      </c>
      <c r="X29" s="666"/>
      <c r="Y29" s="3365"/>
      <c r="Z29" s="50" t="str">
        <f>Q29</f>
        <v>基础设施水平</v>
      </c>
      <c r="AA29" s="1263">
        <f>D29/F29</f>
        <v>1</v>
      </c>
      <c r="AB29" s="1263">
        <f>D29/H29</f>
        <v>1</v>
      </c>
      <c r="AC29" s="1263">
        <f>D29/J29</f>
        <v>1</v>
      </c>
    </row>
    <row r="30" spans="1:29" s="102" customFormat="1" ht="15">
      <c r="A30" s="443"/>
      <c r="B30" s="395"/>
      <c r="C30" s="1825" t="s">
        <v>3572</v>
      </c>
      <c r="D30" s="387"/>
      <c r="E30" s="1825" t="s">
        <v>3572</v>
      </c>
      <c r="F30" s="387"/>
      <c r="G30" s="1825" t="s">
        <v>3572</v>
      </c>
      <c r="H30" s="387"/>
      <c r="I30" s="1825" t="s">
        <v>3572</v>
      </c>
      <c r="J30" s="387"/>
      <c r="K30" s="592"/>
      <c r="L30" s="2488"/>
      <c r="M30" s="2439"/>
      <c r="N30" s="2439"/>
      <c r="O30" s="2540"/>
      <c r="P30" s="3365"/>
      <c r="Q30" s="530"/>
      <c r="R30" s="664"/>
      <c r="S30" s="665"/>
      <c r="T30" s="664"/>
      <c r="U30" s="665"/>
      <c r="V30" s="664"/>
      <c r="W30" s="665"/>
      <c r="X30" s="666"/>
      <c r="Y30" s="3365"/>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65"/>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65"/>
      <c r="Z31" s="1263" t="str">
        <f t="shared" ref="Z31:Z45" si="13">Q31</f>
        <v>临街状况</v>
      </c>
      <c r="AA31" s="1263">
        <f t="shared" si="3"/>
        <v>1</v>
      </c>
      <c r="AB31" s="1263">
        <f t="shared" si="4"/>
        <v>1</v>
      </c>
      <c r="AC31" s="1263">
        <f t="shared" si="5"/>
        <v>1</v>
      </c>
    </row>
    <row r="32" spans="1:29" ht="28.8">
      <c r="A32" s="367"/>
      <c r="B32" s="586" t="s">
        <v>1815</v>
      </c>
      <c r="C32" s="393"/>
      <c r="D32" s="389">
        <v>100</v>
      </c>
      <c r="E32" s="391"/>
      <c r="F32" s="389">
        <f>SUMIF(105:105,E33,106:106)-SUMIF(105:105,C33,106:106)+100</f>
        <v>100</v>
      </c>
      <c r="G32" s="391"/>
      <c r="H32" s="389">
        <f>SUMIF(105:105,G33,106:106)-SUMIF(105:105,C33,106:106)+100</f>
        <v>96</v>
      </c>
      <c r="I32" s="393"/>
      <c r="J32" s="389">
        <f>SUMIF(105:105,I33,106:106)-SUMIF(105:105,C33,106:106)+100</f>
        <v>100</v>
      </c>
      <c r="K32" s="593">
        <v>2</v>
      </c>
      <c r="L32" s="2492"/>
      <c r="M32" s="2487"/>
      <c r="N32" s="2487"/>
      <c r="O32" s="2542"/>
      <c r="P32" s="3365"/>
      <c r="Q32" s="1262" t="str">
        <f t="shared" si="8"/>
        <v>毗邻道路的类型与等级</v>
      </c>
      <c r="R32" s="667" t="s">
        <v>14</v>
      </c>
      <c r="S32" s="668">
        <f t="shared" si="10"/>
        <v>100</v>
      </c>
      <c r="T32" s="667" t="s">
        <v>14</v>
      </c>
      <c r="U32" s="668">
        <f t="shared" si="11"/>
        <v>96</v>
      </c>
      <c r="V32" s="667" t="s">
        <v>14</v>
      </c>
      <c r="W32" s="668">
        <f t="shared" si="12"/>
        <v>100</v>
      </c>
      <c r="X32" s="1264"/>
      <c r="Y32" s="3365"/>
      <c r="Z32" s="1263" t="str">
        <f t="shared" si="13"/>
        <v>毗邻道路的类型与等级</v>
      </c>
      <c r="AA32" s="1263">
        <f t="shared" si="3"/>
        <v>1</v>
      </c>
      <c r="AB32" s="1263">
        <f t="shared" si="4"/>
        <v>1.0416666666666667</v>
      </c>
      <c r="AC32" s="1263">
        <f t="shared" si="5"/>
        <v>1</v>
      </c>
    </row>
    <row r="33" spans="1:29" ht="15">
      <c r="A33" s="367"/>
      <c r="B33" s="395"/>
      <c r="C33" s="386" t="s">
        <v>3574</v>
      </c>
      <c r="D33" s="387"/>
      <c r="E33" s="1757" t="s">
        <v>3574</v>
      </c>
      <c r="F33" s="387"/>
      <c r="G33" s="1757" t="s">
        <v>3577</v>
      </c>
      <c r="H33" s="387"/>
      <c r="I33" s="1757" t="s">
        <v>3574</v>
      </c>
      <c r="J33" s="387"/>
      <c r="K33" s="539"/>
      <c r="L33" s="2492"/>
      <c r="M33" s="2487"/>
      <c r="N33" s="2487"/>
      <c r="O33" s="2542"/>
      <c r="P33" s="3365"/>
      <c r="Q33" s="1262"/>
      <c r="R33" s="667"/>
      <c r="S33" s="668"/>
      <c r="T33" s="667"/>
      <c r="U33" s="668"/>
      <c r="V33" s="667"/>
      <c r="W33" s="668"/>
      <c r="X33" s="1264"/>
      <c r="Y33" s="3365"/>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65"/>
      <c r="Q34" s="1262" t="str">
        <f t="shared" si="8"/>
        <v>土地级别</v>
      </c>
      <c r="R34" s="667" t="s">
        <v>14</v>
      </c>
      <c r="S34" s="668">
        <f t="shared" si="10"/>
        <v>100</v>
      </c>
      <c r="T34" s="667" t="s">
        <v>14</v>
      </c>
      <c r="U34" s="668">
        <f t="shared" si="11"/>
        <v>100</v>
      </c>
      <c r="V34" s="667" t="s">
        <v>14</v>
      </c>
      <c r="W34" s="668">
        <f t="shared" si="12"/>
        <v>100</v>
      </c>
      <c r="X34" s="1264"/>
      <c r="Y34" s="3365"/>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65"/>
      <c r="Q35" s="1262">
        <f t="shared" si="8"/>
        <v>111</v>
      </c>
      <c r="R35" s="667" t="s">
        <v>14</v>
      </c>
      <c r="S35" s="668">
        <f t="shared" si="10"/>
        <v>100</v>
      </c>
      <c r="T35" s="667" t="s">
        <v>14</v>
      </c>
      <c r="U35" s="668">
        <f t="shared" si="11"/>
        <v>100</v>
      </c>
      <c r="V35" s="667" t="s">
        <v>14</v>
      </c>
      <c r="W35" s="668">
        <f t="shared" si="12"/>
        <v>100</v>
      </c>
      <c r="X35" s="1264"/>
      <c r="Y35" s="3365"/>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366" t="s">
        <v>1696</v>
      </c>
      <c r="Q36" s="1262">
        <f t="shared" si="8"/>
        <v>111</v>
      </c>
      <c r="R36" s="667" t="s">
        <v>14</v>
      </c>
      <c r="S36" s="668">
        <f t="shared" si="10"/>
        <v>100</v>
      </c>
      <c r="T36" s="667" t="s">
        <v>14</v>
      </c>
      <c r="U36" s="668">
        <f t="shared" si="11"/>
        <v>100</v>
      </c>
      <c r="V36" s="667" t="s">
        <v>14</v>
      </c>
      <c r="W36" s="668">
        <f t="shared" si="12"/>
        <v>100</v>
      </c>
      <c r="X36" s="1264"/>
      <c r="Y36" s="3367" t="s">
        <v>1696</v>
      </c>
      <c r="Z36" s="1263">
        <f t="shared" si="13"/>
        <v>111</v>
      </c>
      <c r="AA36" s="1263">
        <f t="shared" si="3"/>
        <v>1</v>
      </c>
      <c r="AB36" s="1263">
        <f t="shared" si="4"/>
        <v>1</v>
      </c>
      <c r="AC36" s="1263">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67"/>
      <c r="Q37" s="1262">
        <f t="shared" si="8"/>
        <v>111</v>
      </c>
      <c r="R37" s="669" t="s">
        <v>14</v>
      </c>
      <c r="S37" s="670">
        <f t="shared" si="10"/>
        <v>100</v>
      </c>
      <c r="T37" s="669" t="s">
        <v>14</v>
      </c>
      <c r="U37" s="670">
        <f t="shared" si="11"/>
        <v>100</v>
      </c>
      <c r="V37" s="669" t="s">
        <v>14</v>
      </c>
      <c r="W37" s="670">
        <f t="shared" si="12"/>
        <v>100</v>
      </c>
      <c r="X37" s="671"/>
      <c r="Y37" s="3367"/>
      <c r="Z37" s="672">
        <f t="shared" si="13"/>
        <v>111</v>
      </c>
      <c r="AA37" s="1263">
        <f t="shared" si="3"/>
        <v>1</v>
      </c>
      <c r="AB37" s="1263">
        <f t="shared" si="4"/>
        <v>1</v>
      </c>
      <c r="AC37" s="1263">
        <f t="shared" si="5"/>
        <v>1</v>
      </c>
    </row>
    <row r="38" spans="1:29" ht="15.6">
      <c r="A38" s="409" t="s">
        <v>1694</v>
      </c>
      <c r="B38" s="395" t="s">
        <v>1874</v>
      </c>
      <c r="C38" s="599">
        <f>'数据-汇总表'!D3</f>
        <v>3862.4</v>
      </c>
      <c r="D38" s="405">
        <v>100</v>
      </c>
      <c r="E38" s="599">
        <f>土地案例!I2</f>
        <v>7467</v>
      </c>
      <c r="F38" s="405">
        <f>LOOKUP(E38,116:116,117:117)-LOOKUP(C38,116:116,117:117)+100</f>
        <v>100</v>
      </c>
      <c r="G38" s="599">
        <f>土地案例!I3</f>
        <v>67829.210000000006</v>
      </c>
      <c r="H38" s="405">
        <f>LOOKUP(G38,116:116,117:117)-LOOKUP(C38,116:116,117:117)+100</f>
        <v>101</v>
      </c>
      <c r="I38" s="462">
        <f>土地案例!I4</f>
        <v>12629.88</v>
      </c>
      <c r="J38" s="405">
        <f>LOOKUP(I38,116:116,117:117)-LOOKUP(C38,116:116,117:117)+100</f>
        <v>101</v>
      </c>
      <c r="K38" s="539"/>
      <c r="L38" s="2492"/>
      <c r="M38" s="2487"/>
      <c r="N38" s="2487"/>
      <c r="O38" s="2542"/>
      <c r="P38" s="3367"/>
      <c r="Q38" s="1262" t="str">
        <f>B38</f>
        <v>宗地面积</v>
      </c>
      <c r="R38" s="667" t="s">
        <v>14</v>
      </c>
      <c r="S38" s="668">
        <f t="shared" si="10"/>
        <v>100</v>
      </c>
      <c r="T38" s="667" t="s">
        <v>14</v>
      </c>
      <c r="U38" s="668">
        <f t="shared" si="11"/>
        <v>101</v>
      </c>
      <c r="V38" s="667" t="s">
        <v>14</v>
      </c>
      <c r="W38" s="668">
        <f t="shared" si="12"/>
        <v>101</v>
      </c>
      <c r="X38" s="1264"/>
      <c r="Y38" s="3367"/>
      <c r="Z38" s="1263" t="str">
        <f t="shared" si="13"/>
        <v>宗地面积</v>
      </c>
      <c r="AA38" s="1263">
        <f t="shared" si="3"/>
        <v>1</v>
      </c>
      <c r="AB38" s="1263">
        <f t="shared" si="4"/>
        <v>0.99009900990099009</v>
      </c>
      <c r="AC38" s="1263">
        <f t="shared" si="5"/>
        <v>0.99009900990099009</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367"/>
      <c r="Q39" s="1262" t="str">
        <f t="shared" ref="Q39:Q45" si="14">B39</f>
        <v>宗地形状</v>
      </c>
      <c r="R39" s="667" t="s">
        <v>14</v>
      </c>
      <c r="S39" s="668">
        <f t="shared" si="10"/>
        <v>100</v>
      </c>
      <c r="T39" s="667" t="s">
        <v>14</v>
      </c>
      <c r="U39" s="668">
        <f t="shared" si="11"/>
        <v>100</v>
      </c>
      <c r="V39" s="667" t="s">
        <v>14</v>
      </c>
      <c r="W39" s="668">
        <f t="shared" si="12"/>
        <v>100</v>
      </c>
      <c r="X39" s="1264"/>
      <c r="Y39" s="3367"/>
      <c r="Z39" s="1263" t="str">
        <f t="shared" si="13"/>
        <v>宗地形状</v>
      </c>
      <c r="AA39" s="1263">
        <f t="shared" si="3"/>
        <v>1</v>
      </c>
      <c r="AB39" s="1263">
        <f t="shared" si="4"/>
        <v>1</v>
      </c>
      <c r="AC39" s="1263">
        <f t="shared" si="5"/>
        <v>1</v>
      </c>
    </row>
    <row r="40" spans="1:29" ht="15">
      <c r="A40" s="409"/>
      <c r="B40" s="364" t="s">
        <v>1876</v>
      </c>
      <c r="C40" s="1759" t="s">
        <v>3457</v>
      </c>
      <c r="D40" s="374">
        <v>100</v>
      </c>
      <c r="E40" s="1759" t="s">
        <v>3457</v>
      </c>
      <c r="F40" s="374">
        <f>SUMIF(120:120,E40,121:121)-SUMIF(120:120,C40,121:121)+100</f>
        <v>100</v>
      </c>
      <c r="G40" s="1759" t="s">
        <v>3457</v>
      </c>
      <c r="H40" s="374">
        <f>SUMIF(120:120,G40,121:121)-SUMIF(120:120,C40,121:121)+100</f>
        <v>100</v>
      </c>
      <c r="I40" s="1759" t="s">
        <v>3457</v>
      </c>
      <c r="J40" s="374">
        <f>SUMIF(120:120,I40,121:121)-SUMIF(120:120,C40,121:121)+100</f>
        <v>100</v>
      </c>
      <c r="K40" s="538">
        <v>2</v>
      </c>
      <c r="L40" s="2492"/>
      <c r="M40" s="2487"/>
      <c r="N40" s="2487"/>
      <c r="O40" s="2542"/>
      <c r="P40" s="3367"/>
      <c r="Q40" s="1262" t="str">
        <f t="shared" si="14"/>
        <v>临街宽度及深度</v>
      </c>
      <c r="R40" s="667" t="s">
        <v>14</v>
      </c>
      <c r="S40" s="668">
        <f t="shared" si="10"/>
        <v>100</v>
      </c>
      <c r="T40" s="667" t="s">
        <v>14</v>
      </c>
      <c r="U40" s="668">
        <f t="shared" si="11"/>
        <v>100</v>
      </c>
      <c r="V40" s="667" t="s">
        <v>14</v>
      </c>
      <c r="W40" s="668">
        <f t="shared" si="12"/>
        <v>100</v>
      </c>
      <c r="X40" s="1264"/>
      <c r="Y40" s="3367"/>
      <c r="Z40" s="1263" t="str">
        <f t="shared" si="13"/>
        <v>临街宽度及深度</v>
      </c>
      <c r="AA40" s="1263">
        <f t="shared" si="3"/>
        <v>1</v>
      </c>
      <c r="AB40" s="1263">
        <f t="shared" si="4"/>
        <v>1</v>
      </c>
      <c r="AC40" s="1263">
        <f t="shared" si="5"/>
        <v>1</v>
      </c>
    </row>
    <row r="41" spans="1:29" s="102" customFormat="1" ht="15">
      <c r="A41" s="410"/>
      <c r="B41" s="364" t="s">
        <v>1877</v>
      </c>
      <c r="C41" s="1827" t="s">
        <v>3579</v>
      </c>
      <c r="D41" s="119">
        <v>100</v>
      </c>
      <c r="E41" s="1827" t="s">
        <v>3582</v>
      </c>
      <c r="F41" s="374">
        <f>SUMIF(122:122,E41,123:123)-SUMIF(122:122,C41,123:123)+100</f>
        <v>97</v>
      </c>
      <c r="G41" s="1827" t="s">
        <v>3582</v>
      </c>
      <c r="H41" s="374">
        <f>SUMIF(122:122,G41,123:123)-SUMIF(122:122,C41,123:123)+100</f>
        <v>97</v>
      </c>
      <c r="I41" s="1827" t="s">
        <v>3582</v>
      </c>
      <c r="J41" s="374">
        <f>SUMIF(122:122,I41,123:123)-SUMIF(122:122,C41,123:123)+100</f>
        <v>97</v>
      </c>
      <c r="K41" s="538">
        <v>1</v>
      </c>
      <c r="L41" s="2488"/>
      <c r="M41" s="2439"/>
      <c r="N41" s="2439"/>
      <c r="O41" s="2540"/>
      <c r="P41" s="3367"/>
      <c r="Q41" s="1262" t="str">
        <f t="shared" si="14"/>
        <v>宗地开发程度</v>
      </c>
      <c r="R41" s="664" t="s">
        <v>14</v>
      </c>
      <c r="S41" s="665">
        <f t="shared" si="10"/>
        <v>97</v>
      </c>
      <c r="T41" s="664" t="s">
        <v>14</v>
      </c>
      <c r="U41" s="665">
        <f t="shared" si="11"/>
        <v>97</v>
      </c>
      <c r="V41" s="664" t="s">
        <v>14</v>
      </c>
      <c r="W41" s="665">
        <f t="shared" si="12"/>
        <v>97</v>
      </c>
      <c r="X41" s="666"/>
      <c r="Y41" s="3367"/>
      <c r="Z41" s="50" t="str">
        <f t="shared" si="13"/>
        <v>宗地开发程度</v>
      </c>
      <c r="AA41" s="50">
        <f t="shared" si="3"/>
        <v>1.0309278350515463</v>
      </c>
      <c r="AB41" s="50">
        <f t="shared" si="4"/>
        <v>1.0309278350515463</v>
      </c>
      <c r="AC41" s="50">
        <f t="shared" si="5"/>
        <v>1.0309278350515463</v>
      </c>
    </row>
    <row r="42" spans="1:29" ht="15">
      <c r="A42" s="409"/>
      <c r="B42" s="364" t="s">
        <v>1878</v>
      </c>
      <c r="C42" s="1759" t="s">
        <v>3457</v>
      </c>
      <c r="D42" s="374">
        <v>100</v>
      </c>
      <c r="E42" s="1759" t="s">
        <v>3457</v>
      </c>
      <c r="F42" s="374">
        <f>SUMIF(124:124,E42,125:125)-SUMIF(124:124,C42,125:125)+100</f>
        <v>100</v>
      </c>
      <c r="G42" s="1759" t="s">
        <v>3457</v>
      </c>
      <c r="H42" s="374">
        <f>SUMIF(124:124,G42,125:125)-SUMIF(124:124,C42,125:125)+100</f>
        <v>100</v>
      </c>
      <c r="I42" s="1759" t="s">
        <v>3457</v>
      </c>
      <c r="J42" s="374">
        <f>SUMIF(124:124,I42,125:125)-SUMIF(124:124,C42,125:125)+100</f>
        <v>100</v>
      </c>
      <c r="K42" s="538">
        <v>2</v>
      </c>
      <c r="L42" s="2492"/>
      <c r="M42" s="2487"/>
      <c r="N42" s="2487"/>
      <c r="O42" s="2542"/>
      <c r="P42" s="3367" t="s">
        <v>1696</v>
      </c>
      <c r="Q42" s="1262" t="str">
        <f t="shared" si="14"/>
        <v>工程地质条件</v>
      </c>
      <c r="R42" s="667" t="s">
        <v>14</v>
      </c>
      <c r="S42" s="668">
        <f t="shared" si="10"/>
        <v>100</v>
      </c>
      <c r="T42" s="667" t="s">
        <v>14</v>
      </c>
      <c r="U42" s="668">
        <f t="shared" si="11"/>
        <v>100</v>
      </c>
      <c r="V42" s="667" t="s">
        <v>14</v>
      </c>
      <c r="W42" s="668">
        <f t="shared" si="12"/>
        <v>100</v>
      </c>
      <c r="X42" s="1264"/>
      <c r="Y42" s="3367"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67"/>
      <c r="Q43" s="1262">
        <f t="shared" si="14"/>
        <v>111</v>
      </c>
      <c r="R43" s="667" t="s">
        <v>14</v>
      </c>
      <c r="S43" s="668">
        <f t="shared" si="10"/>
        <v>100</v>
      </c>
      <c r="T43" s="667" t="s">
        <v>14</v>
      </c>
      <c r="U43" s="668">
        <f t="shared" si="11"/>
        <v>100</v>
      </c>
      <c r="V43" s="667" t="s">
        <v>14</v>
      </c>
      <c r="W43" s="668">
        <f t="shared" si="12"/>
        <v>100</v>
      </c>
      <c r="X43" s="1264"/>
      <c r="Y43" s="3367"/>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67"/>
      <c r="Q44" s="1262">
        <f t="shared" si="14"/>
        <v>111</v>
      </c>
      <c r="R44" s="667" t="s">
        <v>14</v>
      </c>
      <c r="S44" s="668">
        <f t="shared" si="10"/>
        <v>100</v>
      </c>
      <c r="T44" s="667" t="s">
        <v>14</v>
      </c>
      <c r="U44" s="668">
        <f t="shared" si="11"/>
        <v>100</v>
      </c>
      <c r="V44" s="667" t="s">
        <v>14</v>
      </c>
      <c r="W44" s="668">
        <f t="shared" si="12"/>
        <v>100</v>
      </c>
      <c r="X44" s="1264"/>
      <c r="Y44" s="3367"/>
      <c r="Z44" s="1263">
        <f t="shared" si="13"/>
        <v>111</v>
      </c>
      <c r="AA44" s="1263">
        <f t="shared" si="3"/>
        <v>1</v>
      </c>
      <c r="AB44" s="1263">
        <f t="shared" si="4"/>
        <v>1</v>
      </c>
      <c r="AC44" s="1263">
        <f t="shared" si="5"/>
        <v>1</v>
      </c>
    </row>
    <row r="45" spans="1:29" s="408" customFormat="1" ht="15.6"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67"/>
      <c r="Q45" s="1262">
        <f t="shared" si="14"/>
        <v>111</v>
      </c>
      <c r="R45" s="669" t="s">
        <v>14</v>
      </c>
      <c r="S45" s="670">
        <f t="shared" si="10"/>
        <v>100</v>
      </c>
      <c r="T45" s="669" t="s">
        <v>14</v>
      </c>
      <c r="U45" s="670">
        <f t="shared" si="11"/>
        <v>100</v>
      </c>
      <c r="V45" s="669" t="s">
        <v>14</v>
      </c>
      <c r="W45" s="670">
        <f t="shared" si="12"/>
        <v>100</v>
      </c>
      <c r="X45" s="671"/>
      <c r="Y45" s="3367"/>
      <c r="Z45" s="672">
        <f t="shared" si="13"/>
        <v>111</v>
      </c>
      <c r="AA45" s="1263">
        <f t="shared" si="3"/>
        <v>1</v>
      </c>
      <c r="AB45" s="1263">
        <f t="shared" si="4"/>
        <v>1</v>
      </c>
      <c r="AC45" s="1263">
        <f t="shared" si="5"/>
        <v>1</v>
      </c>
    </row>
    <row r="46" spans="1:29" ht="14.4">
      <c r="A46" s="416" t="s">
        <v>1844</v>
      </c>
      <c r="B46" s="1829" t="s">
        <v>1879</v>
      </c>
      <c r="C46" s="602" t="s">
        <v>0</v>
      </c>
      <c r="D46" s="418"/>
      <c r="E46" s="419">
        <f>土地案例!AW2</f>
        <v>22692</v>
      </c>
      <c r="F46" s="420"/>
      <c r="G46" s="421">
        <f>土地案例!AW3</f>
        <v>22811</v>
      </c>
      <c r="H46" s="422"/>
      <c r="I46" s="419">
        <f>土地案例!AW4</f>
        <v>20750</v>
      </c>
      <c r="J46" s="422"/>
      <c r="K46" s="674"/>
      <c r="L46" s="2494"/>
      <c r="M46" s="2487"/>
      <c r="N46" s="2487"/>
      <c r="O46" s="2487"/>
      <c r="P46" s="3363" t="str">
        <f>A46</f>
        <v>成交单价</v>
      </c>
      <c r="Q46" s="3363"/>
      <c r="R46" s="3368">
        <f>E46</f>
        <v>22692</v>
      </c>
      <c r="S46" s="3368"/>
      <c r="T46" s="3368">
        <f>G46</f>
        <v>22811</v>
      </c>
      <c r="U46" s="3368"/>
      <c r="V46" s="3368">
        <f>I46</f>
        <v>20750</v>
      </c>
      <c r="W46" s="3368"/>
      <c r="X46" s="385"/>
      <c r="Y46" s="673"/>
      <c r="Z46" s="385"/>
      <c r="AA46" s="385"/>
      <c r="AB46" s="385"/>
      <c r="AC46" s="385"/>
    </row>
    <row r="47" spans="1:29" ht="15" thickBot="1">
      <c r="A47" s="423" t="s">
        <v>1793</v>
      </c>
      <c r="B47" s="603"/>
      <c r="C47" s="426">
        <f>R48</f>
        <v>21778</v>
      </c>
      <c r="D47" s="2140" t="s">
        <v>2138</v>
      </c>
      <c r="E47" s="426">
        <f>R47</f>
        <v>22484</v>
      </c>
      <c r="F47" s="2141"/>
      <c r="G47" s="425">
        <f>T47</f>
        <v>22989</v>
      </c>
      <c r="H47" s="2141"/>
      <c r="I47" s="426">
        <f>V47</f>
        <v>19862</v>
      </c>
      <c r="J47" s="2141"/>
      <c r="K47" s="2143">
        <f>F47+H47+J47</f>
        <v>0</v>
      </c>
      <c r="L47" s="2494"/>
      <c r="M47" s="2487"/>
      <c r="N47" s="2487"/>
      <c r="O47" s="2487"/>
      <c r="P47" s="3363" t="str">
        <f>A47</f>
        <v>比较价值（元/平方米）</v>
      </c>
      <c r="Q47" s="3363"/>
      <c r="R47" s="3356">
        <f>ROUND(PRODUCT(R46,AA7:AA45),0)</f>
        <v>22484</v>
      </c>
      <c r="S47" s="3356"/>
      <c r="T47" s="3356">
        <f>ROUND(PRODUCT(T46,AB7:AB45),0)</f>
        <v>22989</v>
      </c>
      <c r="U47" s="3356"/>
      <c r="V47" s="3356">
        <f>ROUND(PRODUCT(V46,AC7:AC45),0)</f>
        <v>19862</v>
      </c>
      <c r="W47" s="3356"/>
      <c r="X47" s="385"/>
      <c r="Y47" s="385"/>
      <c r="Z47" s="385"/>
      <c r="AA47" s="385"/>
      <c r="AB47" s="385"/>
      <c r="AC47" s="385"/>
    </row>
    <row r="48" spans="1:29" ht="15" thickBot="1">
      <c r="A48" s="427" t="s">
        <v>1880</v>
      </c>
      <c r="B48" s="428"/>
      <c r="C48" s="429">
        <f>R48</f>
        <v>21778</v>
      </c>
      <c r="D48" s="429"/>
      <c r="E48" s="429"/>
      <c r="F48" s="429"/>
      <c r="G48" s="429"/>
      <c r="H48" s="429"/>
      <c r="I48" s="429"/>
      <c r="J48" s="429"/>
      <c r="K48" s="675"/>
      <c r="L48" s="2494"/>
      <c r="M48" s="2487"/>
      <c r="N48" s="2487"/>
      <c r="O48" s="2487"/>
      <c r="P48" s="3357" t="str">
        <f>A48</f>
        <v>估价对象XX用房的比较价值（楼面单价，元/平方米）</v>
      </c>
      <c r="Q48" s="3358"/>
      <c r="R48" s="3359">
        <f>ROUND(IF(D47="简单平均",AVERAGE(R47:W47),R47*F47+T47*H47+V47*J47),0)</f>
        <v>21778</v>
      </c>
      <c r="S48" s="3359"/>
      <c r="T48" s="3359"/>
      <c r="U48" s="3359"/>
      <c r="V48" s="3359"/>
      <c r="W48" s="3359"/>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f>IF(E46&lt;E47,E47/E46-1,E46/E47-1)</f>
        <v>9.2510229496531871E-3</v>
      </c>
      <c r="F51" s="435" t="str">
        <f>IF(OR(E51&gt;=0.3,E51&lt;=-0.3),"超过30%","")</f>
        <v/>
      </c>
      <c r="G51" s="434">
        <f>IF(G46&lt;G47,G47/G46-1,G46/G47-1)</f>
        <v>7.8032528166236403E-3</v>
      </c>
      <c r="H51" s="435" t="str">
        <f>IF(OR(G51&gt;=0.3,G51&lt;=-0.3),"超过30%","")</f>
        <v/>
      </c>
      <c r="I51" s="434">
        <f>IF(I46&lt;I47,I47/I46-1,I46/I47-1)</f>
        <v>4.4708488571140848E-2</v>
      </c>
      <c r="J51" s="435" t="str">
        <f>IF(OR(I51&gt;=0.3,I51&lt;=-0.3),"超过30%","")</f>
        <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f>IF(E47&lt;G47,G47/E47-1,E47/G47-1)</f>
        <v>2.2460416296032681E-2</v>
      </c>
      <c r="F52" s="435" t="str">
        <f>IF(OR(E52&gt;=0.2,E52&lt;=-0.2),"超过20%","")</f>
        <v/>
      </c>
      <c r="G52" s="434">
        <f>IF(G47&lt;I47,I47/G47-1,G47/I47-1)</f>
        <v>0.15743631054274498</v>
      </c>
      <c r="H52" s="435" t="str">
        <f>IF(OR(G52&gt;=0.2,G52&lt;=-0.2),"超过20%","")</f>
        <v/>
      </c>
      <c r="I52" s="434">
        <f>IF(I47&lt;E47,E47/I47-1,I47/E47-1)</f>
        <v>0.13201087503776066</v>
      </c>
      <c r="J52" s="435" t="str">
        <f>IF(OR(I52&gt;=0.2,I52&lt;=-0.2),"超过20%","")</f>
        <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f>IF(E46&lt;G46,G46/E46-1,E46/G46-1)</f>
        <v>5.2441389035784436E-3</v>
      </c>
      <c r="F53" s="435" t="str">
        <f>IF(OR(E53&gt;=0.3,E53&lt;=-0.3),"超过30%","")</f>
        <v/>
      </c>
      <c r="G53" s="434">
        <f>IF(G46&lt;I46,I46/G46-1,G46/I46-1)</f>
        <v>9.9325301204819194E-2</v>
      </c>
      <c r="H53" s="435" t="str">
        <f>IF(OR(G53&gt;=0.3,G53&lt;=-0.3),"超过30%","")</f>
        <v/>
      </c>
      <c r="I53" s="434">
        <f>IF(I46&lt;E46,E46/I46-1,I46/E46-1)</f>
        <v>9.3590361445783143E-2</v>
      </c>
      <c r="J53" s="435" t="str">
        <f>IF(OR(I53&gt;=0.3,I53&lt;=-0.3),"超过30%","")</f>
        <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4.4"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360" t="s">
        <v>1887</v>
      </c>
      <c r="H55" s="3361"/>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f>C48</f>
        <v>21778</v>
      </c>
      <c r="C56" s="610">
        <v>1</v>
      </c>
      <c r="D56" s="890">
        <v>1</v>
      </c>
      <c r="E56" s="610">
        <f>'数据-汇总表'!E8+'数据-汇总表'!E9</f>
        <v>9577.27</v>
      </c>
      <c r="F56" s="833">
        <f t="shared" ref="F56:F64" si="15">ROUND(B56*E56/10000,0)</f>
        <v>20857</v>
      </c>
      <c r="G56" s="3362"/>
      <c r="H56" s="3363"/>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f>ROUND($C$48*C57*D57,0)</f>
        <v>3267</v>
      </c>
      <c r="C57" s="163">
        <f t="shared" ref="C57:C64" si="16">IF($C$55="北京市系数",I57,J57)</f>
        <v>0.6</v>
      </c>
      <c r="D57" s="891">
        <v>0.25</v>
      </c>
      <c r="E57" s="614"/>
      <c r="F57" s="833">
        <f t="shared" si="15"/>
        <v>0</v>
      </c>
      <c r="G57" s="2750" t="s">
        <v>1892</v>
      </c>
      <c r="H57" s="834" t="str">
        <f>项目基本情况!B37</f>
        <v>三级</v>
      </c>
      <c r="I57" s="838">
        <f>SUMIF(修正!A57:A68,H57,修正!B57:B68)</f>
        <v>0.6</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f t="shared" ref="B58:B64" si="17">ROUND($C$48*C58*D58,0)</f>
        <v>1633</v>
      </c>
      <c r="C58" s="163">
        <f t="shared" si="16"/>
        <v>0.3</v>
      </c>
      <c r="D58" s="891">
        <v>0.25</v>
      </c>
      <c r="E58" s="614"/>
      <c r="F58" s="833">
        <f t="shared" si="15"/>
        <v>0</v>
      </c>
      <c r="G58" s="2751"/>
      <c r="H58" s="834" t="str">
        <f>项目基本情况!B37</f>
        <v>三级</v>
      </c>
      <c r="I58" s="838">
        <f>SUMIF(修正!A57:A68,H58,修正!C57:C68)</f>
        <v>0.3</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f t="shared" si="17"/>
        <v>1361</v>
      </c>
      <c r="C59" s="163">
        <f t="shared" si="16"/>
        <v>0.25</v>
      </c>
      <c r="D59" s="891">
        <v>0.25</v>
      </c>
      <c r="E59" s="614"/>
      <c r="F59" s="833">
        <f t="shared" si="15"/>
        <v>0</v>
      </c>
      <c r="G59" s="2751"/>
      <c r="H59" s="834" t="str">
        <f>项目基本情况!B37</f>
        <v>三级</v>
      </c>
      <c r="I59" s="838">
        <f>SUMIF(修正!A57:A68,H59,修正!D57:D68)</f>
        <v>0.25</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f t="shared" si="17"/>
        <v>1361</v>
      </c>
      <c r="C60" s="163">
        <f t="shared" si="16"/>
        <v>0.25</v>
      </c>
      <c r="D60" s="891">
        <v>0.25</v>
      </c>
      <c r="E60" s="209">
        <f>'数据-汇总表'!E11</f>
        <v>7880.05</v>
      </c>
      <c r="F60" s="833">
        <f t="shared" si="15"/>
        <v>1072</v>
      </c>
      <c r="G60" s="1834" t="s">
        <v>1896</v>
      </c>
      <c r="H60" s="834" t="str">
        <f>项目基本情况!C37</f>
        <v>三级</v>
      </c>
      <c r="I60" s="838">
        <f>SUMIF(修正!A57:A68,H60,修正!E57:E68)</f>
        <v>0.25</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f t="shared" si="17"/>
        <v>1361</v>
      </c>
      <c r="C61" s="163">
        <f t="shared" si="16"/>
        <v>0.25</v>
      </c>
      <c r="D61" s="891">
        <v>0.25</v>
      </c>
      <c r="E61" s="209">
        <f>'数据-汇总表'!E12</f>
        <v>0</v>
      </c>
      <c r="F61" s="833">
        <f t="shared" si="15"/>
        <v>0</v>
      </c>
      <c r="G61" s="839" t="s">
        <v>1898</v>
      </c>
      <c r="H61" s="834" t="str">
        <f>IF(G61="商业",项目基本情况!B37,IF(G61="办公",项目基本情况!C37,IF(G61="住宅",项目基本情况!D37,项目基本情况!E37)))</f>
        <v>三级</v>
      </c>
      <c r="I61" s="838">
        <f>SUMIF(修正!A57:A68,H61,修正!F57:F68)</f>
        <v>0.25</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f t="shared" si="17"/>
        <v>0</v>
      </c>
      <c r="C62" s="163">
        <f t="shared" si="16"/>
        <v>0</v>
      </c>
      <c r="D62" s="891">
        <v>0.25</v>
      </c>
      <c r="E62" s="209">
        <f>'数据-汇总表'!E13</f>
        <v>0</v>
      </c>
      <c r="F62" s="833">
        <f t="shared" si="15"/>
        <v>0</v>
      </c>
      <c r="G62" s="839" t="s">
        <v>3587</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f t="shared" si="17"/>
        <v>817</v>
      </c>
      <c r="C63" s="163">
        <f t="shared" si="16"/>
        <v>0.15</v>
      </c>
      <c r="D63" s="891">
        <v>0.25</v>
      </c>
      <c r="E63" s="209">
        <f>'数据-汇总表'!E14</f>
        <v>0</v>
      </c>
      <c r="F63" s="833">
        <f t="shared" si="15"/>
        <v>0</v>
      </c>
      <c r="G63" s="1834" t="s">
        <v>1892</v>
      </c>
      <c r="H63" s="834" t="str">
        <f>项目基本情况!B37</f>
        <v>三级</v>
      </c>
      <c r="I63" s="838">
        <f>SUMIF(修正!A57:A68,H63,修正!G57:G68)</f>
        <v>0.15</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4.4" thickBot="1">
      <c r="A64" s="613" t="s">
        <v>1902</v>
      </c>
      <c r="B64" s="210">
        <f t="shared" si="17"/>
        <v>817</v>
      </c>
      <c r="C64" s="163">
        <f t="shared" si="16"/>
        <v>0.15</v>
      </c>
      <c r="D64" s="891">
        <v>0.25</v>
      </c>
      <c r="E64" s="209">
        <f>'数据-汇总表'!E15</f>
        <v>0</v>
      </c>
      <c r="F64" s="833">
        <f t="shared" si="15"/>
        <v>0</v>
      </c>
      <c r="G64" s="1835" t="s">
        <v>1896</v>
      </c>
      <c r="H64" s="844" t="str">
        <f>项目基本情况!C37</f>
        <v>三级</v>
      </c>
      <c r="I64" s="840">
        <f>SUMIF(修正!A57:A68,H64,修正!G57:G68)</f>
        <v>0.15</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thickBot="1">
      <c r="A65" s="615" t="s">
        <v>1903</v>
      </c>
      <c r="B65" s="616" t="s">
        <v>22</v>
      </c>
      <c r="C65" s="616" t="s">
        <v>23</v>
      </c>
      <c r="D65" s="616" t="s">
        <v>392</v>
      </c>
      <c r="E65" s="616">
        <f>IF(B46="楼面地价",SUM(E56:E64),'数据-汇总表'!D3)</f>
        <v>17457.32</v>
      </c>
      <c r="F65" s="617">
        <f>IF(B46="楼面地价",SUM(F56:F64),ROUND(C48*E65/10000,0))</f>
        <v>21929</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2024-8-1</v>
      </c>
      <c r="D67" s="656">
        <f>EDATE(C67,-3)</f>
        <v>45413</v>
      </c>
      <c r="E67" s="656">
        <f>EDATE(D67,-3)</f>
        <v>45323</v>
      </c>
      <c r="F67" s="656">
        <f t="shared" ref="F67:O67" si="18">EDATE(E67,-3)</f>
        <v>45231</v>
      </c>
      <c r="G67" s="656">
        <f t="shared" si="18"/>
        <v>45139</v>
      </c>
      <c r="H67" s="656">
        <f t="shared" si="18"/>
        <v>45047</v>
      </c>
      <c r="I67" s="656">
        <f t="shared" si="18"/>
        <v>44958</v>
      </c>
      <c r="J67" s="656">
        <f t="shared" si="18"/>
        <v>44866</v>
      </c>
      <c r="K67" s="656">
        <f t="shared" si="18"/>
        <v>44774</v>
      </c>
      <c r="L67" s="656">
        <f t="shared" si="18"/>
        <v>44682</v>
      </c>
      <c r="M67" s="656">
        <f t="shared" si="18"/>
        <v>44593</v>
      </c>
      <c r="N67" s="656">
        <f t="shared" si="18"/>
        <v>44501</v>
      </c>
      <c r="O67" s="656">
        <f t="shared" si="18"/>
        <v>44409</v>
      </c>
      <c r="P67" s="2487"/>
      <c r="Q67" s="2487"/>
      <c r="R67" s="2487"/>
      <c r="S67" s="2487"/>
      <c r="T67" s="2487"/>
      <c r="U67" s="2487"/>
      <c r="V67" s="2487"/>
      <c r="W67" s="2487"/>
      <c r="X67" s="2487"/>
      <c r="Y67" s="2487"/>
      <c r="Z67" s="2487"/>
      <c r="AA67" s="2487"/>
      <c r="AB67" s="2487"/>
      <c r="AC67" s="2487"/>
    </row>
    <row r="68" spans="1:29" ht="22.2"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4.4">
      <c r="A69" s="1629" t="s">
        <v>1904</v>
      </c>
      <c r="B69" s="1046"/>
      <c r="C69" s="1100" t="str">
        <f>YEAR(C67)&amp;"-"&amp;ROUNDUP(MONTH(C67)/3,0)</f>
        <v>2024-3</v>
      </c>
      <c r="D69" s="1100" t="str">
        <f>YEAR(D67)&amp;"-"&amp;ROUNDUP(MONTH(D67)/3,0)</f>
        <v>2024-2</v>
      </c>
      <c r="E69" s="1100" t="str">
        <f t="shared" ref="E69:O69" si="19">YEAR(E67)&amp;"-"&amp;ROUNDUP(MONTH(E67)/3,0)</f>
        <v>2024-1</v>
      </c>
      <c r="F69" s="1100" t="str">
        <f t="shared" si="19"/>
        <v>2023-4</v>
      </c>
      <c r="G69" s="1100" t="str">
        <f t="shared" si="19"/>
        <v>2023-3</v>
      </c>
      <c r="H69" s="1100" t="str">
        <f t="shared" si="19"/>
        <v>2023-2</v>
      </c>
      <c r="I69" s="1100" t="str">
        <f t="shared" si="19"/>
        <v>2023-1</v>
      </c>
      <c r="J69" s="1100" t="str">
        <f t="shared" si="19"/>
        <v>2022-4</v>
      </c>
      <c r="K69" s="1100" t="str">
        <f t="shared" si="19"/>
        <v>2022-3</v>
      </c>
      <c r="L69" s="1100" t="str">
        <f t="shared" si="19"/>
        <v>2022-2</v>
      </c>
      <c r="M69" s="1100" t="str">
        <f t="shared" si="19"/>
        <v>2022-1</v>
      </c>
      <c r="N69" s="1100" t="str">
        <f t="shared" si="19"/>
        <v>2021-4</v>
      </c>
      <c r="O69" s="1100" t="str">
        <f t="shared" si="19"/>
        <v>2021-3</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f>C70-0.2</f>
        <v>99.8</v>
      </c>
      <c r="E70" s="6">
        <f t="shared" ref="E70:O70" si="20">D70-0.2</f>
        <v>99.6</v>
      </c>
      <c r="F70" s="6">
        <f t="shared" si="20"/>
        <v>99.399999999999991</v>
      </c>
      <c r="G70" s="6">
        <f t="shared" si="20"/>
        <v>99.199999999999989</v>
      </c>
      <c r="H70" s="6">
        <f t="shared" si="20"/>
        <v>98.999999999999986</v>
      </c>
      <c r="I70" s="6">
        <f t="shared" si="20"/>
        <v>98.799999999999983</v>
      </c>
      <c r="J70" s="6">
        <f t="shared" si="20"/>
        <v>98.59999999999998</v>
      </c>
      <c r="K70" s="6">
        <f t="shared" si="20"/>
        <v>98.399999999999977</v>
      </c>
      <c r="L70" s="6">
        <f t="shared" si="20"/>
        <v>98.199999999999974</v>
      </c>
      <c r="M70" s="6">
        <f t="shared" si="20"/>
        <v>97.999999999999972</v>
      </c>
      <c r="N70" s="6">
        <f t="shared" si="20"/>
        <v>97.799999999999969</v>
      </c>
      <c r="O70" s="6">
        <f t="shared" si="20"/>
        <v>97.599999999999966</v>
      </c>
      <c r="P70" s="2508"/>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ht="14.4">
      <c r="A74" s="379" t="s">
        <v>1719</v>
      </c>
      <c r="B74" s="460" t="s">
        <v>1685</v>
      </c>
      <c r="C74" s="462" t="s">
        <v>3585</v>
      </c>
      <c r="D74" s="462" t="s">
        <v>3586</v>
      </c>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4.4" thickBot="1">
      <c r="A75" s="367"/>
      <c r="B75" s="466"/>
      <c r="C75" s="467">
        <v>100</v>
      </c>
      <c r="D75" s="467">
        <v>95</v>
      </c>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9.4"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4.4"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 thickTop="1">
      <c r="A78" s="367"/>
      <c r="B78" s="477" t="s">
        <v>1689</v>
      </c>
      <c r="C78" s="478" t="str">
        <f>C79&amp;"（含）"&amp;"-"&amp;D79</f>
        <v>0（含）-1</v>
      </c>
      <c r="D78" s="478" t="str">
        <f t="shared" ref="D78:L78" si="21">D79&amp;"（含）"&amp;"-"&amp;E79</f>
        <v>1（含）-2</v>
      </c>
      <c r="E78" s="478" t="str">
        <f t="shared" si="21"/>
        <v>2（含）-3</v>
      </c>
      <c r="F78" s="478" t="str">
        <f t="shared" si="21"/>
        <v>3（含）-4</v>
      </c>
      <c r="G78" s="478" t="str">
        <f t="shared" si="21"/>
        <v>4（含）-5</v>
      </c>
      <c r="H78" s="478" t="str">
        <f t="shared" si="21"/>
        <v>5（含）-6</v>
      </c>
      <c r="I78" s="478" t="str">
        <f t="shared" si="21"/>
        <v>6（含）-7</v>
      </c>
      <c r="J78" s="478" t="str">
        <f t="shared" si="21"/>
        <v>7（含）-8</v>
      </c>
      <c r="K78" s="478" t="str">
        <f t="shared" si="21"/>
        <v>8（含）-</v>
      </c>
      <c r="L78" s="478" t="str">
        <f t="shared" si="21"/>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c r="A79" s="367"/>
      <c r="B79" s="479"/>
      <c r="C79" s="480">
        <v>0</v>
      </c>
      <c r="D79" s="480">
        <v>1</v>
      </c>
      <c r="E79" s="480">
        <v>2</v>
      </c>
      <c r="F79" s="480">
        <v>3</v>
      </c>
      <c r="G79" s="480">
        <v>4</v>
      </c>
      <c r="H79" s="480">
        <v>5</v>
      </c>
      <c r="I79" s="480">
        <v>6</v>
      </c>
      <c r="J79" s="480">
        <v>7</v>
      </c>
      <c r="K79" s="481">
        <v>8</v>
      </c>
      <c r="L79" s="482"/>
      <c r="M79" s="483"/>
      <c r="N79" s="2521"/>
      <c r="O79" s="2521"/>
      <c r="P79" s="2520"/>
      <c r="Q79" s="2508"/>
      <c r="R79" s="2487"/>
      <c r="S79" s="2487"/>
      <c r="T79" s="2487"/>
      <c r="U79" s="2487"/>
      <c r="V79" s="2487"/>
      <c r="W79" s="2487"/>
      <c r="X79" s="2487"/>
      <c r="Y79" s="2487"/>
      <c r="Z79" s="2487"/>
      <c r="AA79" s="2487"/>
      <c r="AB79" s="2487"/>
      <c r="AC79" s="2487"/>
    </row>
    <row r="80" spans="1:29" ht="14.4" thickBot="1">
      <c r="A80" s="367"/>
      <c r="B80" s="466"/>
      <c r="C80" s="475">
        <v>100</v>
      </c>
      <c r="D80" s="475">
        <f t="shared" ref="D80:M80" si="22">IF($B$46="单位面积地价",C80+$K11,C80-$K11)</f>
        <v>97</v>
      </c>
      <c r="E80" s="475">
        <f t="shared" si="22"/>
        <v>94</v>
      </c>
      <c r="F80" s="475">
        <f t="shared" si="22"/>
        <v>91</v>
      </c>
      <c r="G80" s="475">
        <f t="shared" si="22"/>
        <v>88</v>
      </c>
      <c r="H80" s="475">
        <f t="shared" si="22"/>
        <v>85</v>
      </c>
      <c r="I80" s="475">
        <f t="shared" si="22"/>
        <v>82</v>
      </c>
      <c r="J80" s="475">
        <f t="shared" si="22"/>
        <v>79</v>
      </c>
      <c r="K80" s="475">
        <f t="shared" si="22"/>
        <v>76</v>
      </c>
      <c r="L80" s="475">
        <f t="shared" si="22"/>
        <v>73</v>
      </c>
      <c r="M80" s="475">
        <f t="shared" si="22"/>
        <v>70</v>
      </c>
      <c r="N80" s="2522"/>
      <c r="O80" s="2522"/>
      <c r="P80" s="2520"/>
      <c r="Q80" s="2508"/>
      <c r="R80" s="2487"/>
      <c r="S80" s="2487"/>
      <c r="T80" s="2487"/>
      <c r="U80" s="2487"/>
      <c r="V80" s="2487"/>
      <c r="W80" s="2487"/>
      <c r="X80" s="2487"/>
      <c r="Y80" s="2487"/>
      <c r="Z80" s="2487"/>
      <c r="AA80" s="2487"/>
      <c r="AB80" s="2487"/>
      <c r="AC80" s="2487"/>
    </row>
    <row r="81" spans="1:29" s="408" customFormat="1" ht="14.4"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4.4"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4.4"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4.4"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4.4"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4.4"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ht="14.4">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4.4" thickBot="1">
      <c r="A92" s="367"/>
      <c r="B92" s="474"/>
      <c r="C92" s="475">
        <v>100</v>
      </c>
      <c r="D92" s="475">
        <f>C92-$K19</f>
        <v>97</v>
      </c>
      <c r="E92" s="475">
        <f>D92-$K19</f>
        <v>94</v>
      </c>
      <c r="F92" s="475">
        <f>E92-$K19</f>
        <v>91</v>
      </c>
      <c r="G92" s="475">
        <f>F92-$K19</f>
        <v>88</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4.4" thickBot="1">
      <c r="A94" s="367"/>
      <c r="B94" s="474"/>
      <c r="C94" s="475">
        <v>100</v>
      </c>
      <c r="D94" s="475">
        <f>C94-$K21</f>
        <v>97</v>
      </c>
      <c r="E94" s="475">
        <f>D94-$K21</f>
        <v>94</v>
      </c>
      <c r="F94" s="475">
        <f>E94-$K21</f>
        <v>91</v>
      </c>
      <c r="G94" s="475">
        <f>F94-$K21</f>
        <v>88</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97</v>
      </c>
      <c r="E98" s="475">
        <f>D98-$K25</f>
        <v>94</v>
      </c>
      <c r="F98" s="475">
        <f>E98-$K25</f>
        <v>91</v>
      </c>
      <c r="G98" s="475">
        <f>F98-$K25</f>
        <v>88</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4.4" thickBot="1">
      <c r="A100" s="484"/>
      <c r="B100" s="474"/>
      <c r="C100" s="475">
        <v>100</v>
      </c>
      <c r="D100" s="475">
        <f>C100-$K27</f>
        <v>97</v>
      </c>
      <c r="E100" s="475">
        <f>D100-$K27</f>
        <v>94</v>
      </c>
      <c r="F100" s="475">
        <f>E100-$K27</f>
        <v>91</v>
      </c>
      <c r="G100" s="475">
        <f>F100-$K27</f>
        <v>88</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4.4" thickBot="1">
      <c r="A102" s="484"/>
      <c r="B102" s="477"/>
      <c r="C102" s="475">
        <v>100</v>
      </c>
      <c r="D102" s="475">
        <f>C102-$K29</f>
        <v>99</v>
      </c>
      <c r="E102" s="475">
        <f>D102-$K29</f>
        <v>98</v>
      </c>
      <c r="F102" s="475">
        <f>E102-$K29</f>
        <v>97</v>
      </c>
      <c r="G102" s="475">
        <f>F102-$K29</f>
        <v>96</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4.4" thickBot="1">
      <c r="A104" s="367"/>
      <c r="B104" s="474"/>
      <c r="C104" s="475">
        <v>100</v>
      </c>
      <c r="D104" s="475">
        <f t="shared" ref="D104:M104" si="23">C104-$K31</f>
        <v>100</v>
      </c>
      <c r="E104" s="475">
        <f t="shared" si="23"/>
        <v>100</v>
      </c>
      <c r="F104" s="475">
        <f t="shared" si="23"/>
        <v>100</v>
      </c>
      <c r="G104" s="475">
        <f t="shared" si="23"/>
        <v>100</v>
      </c>
      <c r="H104" s="475">
        <f t="shared" si="23"/>
        <v>100</v>
      </c>
      <c r="I104" s="475">
        <f t="shared" si="23"/>
        <v>100</v>
      </c>
      <c r="J104" s="475">
        <f t="shared" si="23"/>
        <v>100</v>
      </c>
      <c r="K104" s="475">
        <f t="shared" si="23"/>
        <v>100</v>
      </c>
      <c r="L104" s="475">
        <f t="shared" si="23"/>
        <v>100</v>
      </c>
      <c r="M104" s="475">
        <f t="shared" si="23"/>
        <v>100</v>
      </c>
      <c r="N104" s="2522"/>
      <c r="O104" s="2522"/>
      <c r="P104" s="2520"/>
      <c r="Q104" s="2508"/>
      <c r="R104" s="2487"/>
      <c r="S104" s="2487"/>
      <c r="T104" s="2487"/>
      <c r="U104" s="2487"/>
      <c r="V104" s="2487"/>
      <c r="W104" s="2487"/>
      <c r="X104" s="2487"/>
      <c r="Y104" s="2487"/>
      <c r="Z104" s="2487"/>
      <c r="AA104" s="2487"/>
      <c r="AB104" s="2487"/>
      <c r="AC104" s="2487"/>
    </row>
    <row r="105" spans="1:29" ht="29.4" thickTop="1">
      <c r="A105" s="367"/>
      <c r="B105" s="469" t="s">
        <v>1815</v>
      </c>
      <c r="C105" s="3171" t="s">
        <v>3573</v>
      </c>
      <c r="D105" s="3171" t="s">
        <v>3575</v>
      </c>
      <c r="E105" s="3171" t="s">
        <v>3576</v>
      </c>
      <c r="F105" s="3171" t="s">
        <v>3578</v>
      </c>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4">C106-$K32</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5">
        <f t="shared" si="24"/>
        <v>80</v>
      </c>
      <c r="N106" s="2522"/>
      <c r="O106" s="2522"/>
      <c r="P106" s="2520"/>
      <c r="Q106" s="2508"/>
      <c r="R106" s="2487"/>
      <c r="S106" s="2487"/>
      <c r="T106" s="2487"/>
      <c r="U106" s="2487"/>
      <c r="V106" s="2487"/>
      <c r="W106" s="2487"/>
      <c r="X106" s="2487"/>
      <c r="Y106" s="2487"/>
      <c r="Z106" s="2487"/>
      <c r="AA106" s="2487"/>
      <c r="AB106" s="2487"/>
      <c r="AC106" s="2487"/>
    </row>
    <row r="107" spans="1:29" ht="1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5">C108-$K34</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5">
        <f t="shared" si="25"/>
        <v>100</v>
      </c>
      <c r="N108" s="2522"/>
      <c r="O108" s="2522"/>
      <c r="P108" s="2520"/>
      <c r="Q108" s="2508"/>
      <c r="R108" s="2487"/>
      <c r="S108" s="2487"/>
      <c r="T108" s="2487"/>
      <c r="U108" s="2487"/>
      <c r="V108" s="2487"/>
      <c r="W108" s="2487"/>
      <c r="X108" s="2487"/>
      <c r="Y108" s="2487"/>
      <c r="Z108" s="2487"/>
      <c r="AA108" s="2487"/>
      <c r="AB108" s="2487"/>
      <c r="AC108" s="2487"/>
    </row>
    <row r="109" spans="1:29" ht="14.4"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4.4"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4.4"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4.4"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4.4"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4.4"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ht="27.6">
      <c r="A115" s="379" t="s">
        <v>1694</v>
      </c>
      <c r="B115" s="460" t="s">
        <v>1913</v>
      </c>
      <c r="C115" s="461" t="str">
        <f>C116&amp;"(含)"&amp;"-"&amp;D116</f>
        <v>0(含)-10000</v>
      </c>
      <c r="D115" s="461" t="str">
        <f t="shared" ref="D115:M115" si="26">D116&amp;"(含)"&amp;"-"&amp;E116</f>
        <v>10000(含)-30000</v>
      </c>
      <c r="E115" s="461" t="str">
        <f t="shared" si="26"/>
        <v>30000(含)-50000</v>
      </c>
      <c r="F115" s="461" t="str">
        <f t="shared" si="26"/>
        <v>50000(含)-70000</v>
      </c>
      <c r="G115" s="461" t="str">
        <f t="shared" si="26"/>
        <v>70000(含)-</v>
      </c>
      <c r="H115" s="461" t="str">
        <f t="shared" si="26"/>
        <v>(含)-</v>
      </c>
      <c r="I115" s="461" t="str">
        <f t="shared" si="26"/>
        <v>(含)-</v>
      </c>
      <c r="J115" s="461" t="str">
        <f t="shared" si="26"/>
        <v>(含)-</v>
      </c>
      <c r="K115" s="461" t="str">
        <f t="shared" si="26"/>
        <v>(含)-</v>
      </c>
      <c r="L115" s="461" t="str">
        <f t="shared" si="26"/>
        <v>(含)-</v>
      </c>
      <c r="M115" s="461" t="str">
        <f t="shared" si="26"/>
        <v>(含)-</v>
      </c>
      <c r="N115" s="2521"/>
      <c r="O115" s="2521"/>
      <c r="P115" s="2520"/>
      <c r="Q115" s="2508"/>
      <c r="R115" s="2487"/>
      <c r="S115" s="2487"/>
      <c r="T115" s="2487"/>
      <c r="U115" s="2487"/>
      <c r="V115" s="2487"/>
      <c r="W115" s="2487"/>
      <c r="X115" s="2487"/>
      <c r="Y115" s="2487"/>
      <c r="Z115" s="2487"/>
      <c r="AA115" s="2487"/>
      <c r="AB115" s="2487"/>
      <c r="AC115" s="2487"/>
    </row>
    <row r="116" spans="1:29">
      <c r="A116" s="367"/>
      <c r="B116" s="477"/>
      <c r="C116" s="6">
        <v>0</v>
      </c>
      <c r="D116" s="6">
        <v>10000</v>
      </c>
      <c r="E116" s="6">
        <v>30000</v>
      </c>
      <c r="F116" s="6">
        <v>50000</v>
      </c>
      <c r="G116" s="6">
        <v>70000</v>
      </c>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4.4" thickBot="1">
      <c r="A117" s="367"/>
      <c r="B117" s="474"/>
      <c r="C117" s="501">
        <v>98</v>
      </c>
      <c r="D117" s="521">
        <v>99</v>
      </c>
      <c r="E117" s="521">
        <v>100</v>
      </c>
      <c r="F117" s="521">
        <v>99</v>
      </c>
      <c r="G117" s="521">
        <v>98</v>
      </c>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4.4" thickBot="1">
      <c r="A119" s="367"/>
      <c r="B119" s="474"/>
      <c r="C119" s="475">
        <v>100</v>
      </c>
      <c r="D119" s="475">
        <f t="shared" ref="D119:M119" si="27">C119-$K39</f>
        <v>100</v>
      </c>
      <c r="E119" s="475">
        <f t="shared" si="27"/>
        <v>100</v>
      </c>
      <c r="F119" s="475">
        <f t="shared" si="27"/>
        <v>100</v>
      </c>
      <c r="G119" s="475">
        <f t="shared" si="27"/>
        <v>100</v>
      </c>
      <c r="H119" s="475">
        <f t="shared" si="27"/>
        <v>100</v>
      </c>
      <c r="I119" s="475">
        <f t="shared" si="27"/>
        <v>100</v>
      </c>
      <c r="J119" s="475">
        <f t="shared" si="27"/>
        <v>100</v>
      </c>
      <c r="K119" s="475">
        <f t="shared" si="27"/>
        <v>100</v>
      </c>
      <c r="L119" s="475">
        <f t="shared" si="27"/>
        <v>100</v>
      </c>
      <c r="M119" s="476">
        <f t="shared" si="27"/>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t="s">
        <v>3463</v>
      </c>
      <c r="D120" s="485" t="s">
        <v>3457</v>
      </c>
      <c r="E120" s="485" t="s">
        <v>3458</v>
      </c>
      <c r="F120" s="513" t="s">
        <v>3583</v>
      </c>
      <c r="G120" s="513" t="s">
        <v>3584</v>
      </c>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4.4" thickBot="1">
      <c r="A121" s="367"/>
      <c r="B121" s="474"/>
      <c r="C121" s="475">
        <v>100</v>
      </c>
      <c r="D121" s="475">
        <f t="shared" ref="D121:M121" si="28">C121-$K40</f>
        <v>98</v>
      </c>
      <c r="E121" s="475">
        <f t="shared" si="28"/>
        <v>96</v>
      </c>
      <c r="F121" s="475">
        <f t="shared" si="28"/>
        <v>94</v>
      </c>
      <c r="G121" s="475">
        <f t="shared" si="28"/>
        <v>92</v>
      </c>
      <c r="H121" s="475">
        <f t="shared" si="28"/>
        <v>90</v>
      </c>
      <c r="I121" s="475">
        <f t="shared" si="28"/>
        <v>88</v>
      </c>
      <c r="J121" s="475">
        <f t="shared" si="28"/>
        <v>86</v>
      </c>
      <c r="K121" s="475">
        <f t="shared" si="28"/>
        <v>84</v>
      </c>
      <c r="L121" s="475">
        <f t="shared" si="28"/>
        <v>82</v>
      </c>
      <c r="M121" s="476">
        <f t="shared" si="28"/>
        <v>80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t="s">
        <v>3572</v>
      </c>
      <c r="D122" s="485" t="s">
        <v>3579</v>
      </c>
      <c r="E122" s="485" t="s">
        <v>3580</v>
      </c>
      <c r="F122" s="485" t="s">
        <v>3581</v>
      </c>
      <c r="G122" s="485" t="s">
        <v>3582</v>
      </c>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4.4" thickBot="1">
      <c r="A123" s="484"/>
      <c r="B123" s="474"/>
      <c r="C123" s="475">
        <v>100</v>
      </c>
      <c r="D123" s="475">
        <f t="shared" ref="D123:M123" si="29">C123-$K41</f>
        <v>99</v>
      </c>
      <c r="E123" s="475">
        <f t="shared" si="29"/>
        <v>98</v>
      </c>
      <c r="F123" s="475">
        <f t="shared" si="29"/>
        <v>97</v>
      </c>
      <c r="G123" s="475">
        <f t="shared" si="29"/>
        <v>96</v>
      </c>
      <c r="H123" s="475">
        <f t="shared" si="29"/>
        <v>95</v>
      </c>
      <c r="I123" s="475">
        <f t="shared" si="29"/>
        <v>94</v>
      </c>
      <c r="J123" s="475">
        <f t="shared" si="29"/>
        <v>93</v>
      </c>
      <c r="K123" s="475">
        <f t="shared" si="29"/>
        <v>92</v>
      </c>
      <c r="L123" s="475">
        <f t="shared" si="29"/>
        <v>91</v>
      </c>
      <c r="M123" s="476">
        <f t="shared" si="29"/>
        <v>90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t="s">
        <v>3463</v>
      </c>
      <c r="D124" s="485" t="s">
        <v>3457</v>
      </c>
      <c r="E124" s="513" t="s">
        <v>3458</v>
      </c>
      <c r="F124" s="513" t="s">
        <v>3583</v>
      </c>
      <c r="G124" s="513" t="s">
        <v>3584</v>
      </c>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 t="shared" ref="D125:M125" si="30">C125-$K42</f>
        <v>98</v>
      </c>
      <c r="E125" s="475">
        <f t="shared" si="30"/>
        <v>96</v>
      </c>
      <c r="F125" s="475">
        <f t="shared" si="30"/>
        <v>94</v>
      </c>
      <c r="G125" s="475">
        <f t="shared" si="30"/>
        <v>92</v>
      </c>
      <c r="H125" s="475">
        <f t="shared" si="30"/>
        <v>90</v>
      </c>
      <c r="I125" s="475">
        <f t="shared" si="30"/>
        <v>88</v>
      </c>
      <c r="J125" s="475">
        <f t="shared" si="30"/>
        <v>86</v>
      </c>
      <c r="K125" s="475">
        <f t="shared" si="30"/>
        <v>84</v>
      </c>
      <c r="L125" s="475">
        <f t="shared" si="30"/>
        <v>82</v>
      </c>
      <c r="M125" s="476">
        <f t="shared" si="30"/>
        <v>80</v>
      </c>
      <c r="N125" s="2522"/>
      <c r="O125" s="2522"/>
      <c r="P125" s="2520"/>
      <c r="Q125" s="2508"/>
      <c r="R125" s="2487"/>
      <c r="S125" s="2487"/>
      <c r="T125" s="2487"/>
      <c r="U125" s="2487"/>
      <c r="V125" s="2487"/>
      <c r="W125" s="2487"/>
      <c r="X125" s="2487"/>
      <c r="Y125" s="2487"/>
      <c r="Z125" s="2487"/>
      <c r="AA125" s="2487"/>
      <c r="AB125" s="2487"/>
      <c r="AC125" s="2487"/>
    </row>
    <row r="126" spans="1:29" ht="14.4"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4.4"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4.4"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4.4"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4.4"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4.4"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31" priority="13" stopIfTrue="1">
      <formula>$F$51="超过30%"</formula>
    </cfRule>
  </conditionalFormatting>
  <conditionalFormatting sqref="E52">
    <cfRule type="expression" dxfId="130" priority="11" stopIfTrue="1">
      <formula>$F$52="超过20%"</formula>
    </cfRule>
  </conditionalFormatting>
  <conditionalFormatting sqref="E53">
    <cfRule type="expression" dxfId="129" priority="10" stopIfTrue="1">
      <formula>$F$53="超过30%"</formula>
    </cfRule>
  </conditionalFormatting>
  <conditionalFormatting sqref="F7:F45 H7:H45 J7:J45">
    <cfRule type="cellIs" dxfId="128" priority="1" operator="notEqual">
      <formula>100</formula>
    </cfRule>
  </conditionalFormatting>
  <conditionalFormatting sqref="F47">
    <cfRule type="expression" dxfId="127" priority="4">
      <formula>$D$47="简单平均"</formula>
    </cfRule>
  </conditionalFormatting>
  <conditionalFormatting sqref="F51:F53 H51:H53 J51:J53">
    <cfRule type="containsText" dxfId="126" priority="14" stopIfTrue="1" operator="containsText" text="超过">
      <formula>NOT(ISERROR(SEARCH("超过",F51)))</formula>
    </cfRule>
  </conditionalFormatting>
  <conditionalFormatting sqref="G51">
    <cfRule type="expression" dxfId="125" priority="9" stopIfTrue="1">
      <formula>$H$53+$H$51="超过30%"</formula>
    </cfRule>
  </conditionalFormatting>
  <conditionalFormatting sqref="G52">
    <cfRule type="expression" dxfId="124" priority="8" stopIfTrue="1">
      <formula>$H$52="超过20%"</formula>
    </cfRule>
  </conditionalFormatting>
  <conditionalFormatting sqref="G53">
    <cfRule type="expression" dxfId="123" priority="12" stopIfTrue="1">
      <formula>$H$53="超过30%"</formula>
    </cfRule>
  </conditionalFormatting>
  <conditionalFormatting sqref="H47">
    <cfRule type="expression" dxfId="122" priority="3">
      <formula>$D$47="简单平均"</formula>
    </cfRule>
  </conditionalFormatting>
  <conditionalFormatting sqref="I51">
    <cfRule type="expression" dxfId="121" priority="7" stopIfTrue="1">
      <formula>$J$51="超过30%"</formula>
    </cfRule>
  </conditionalFormatting>
  <conditionalFormatting sqref="I52">
    <cfRule type="expression" dxfId="120" priority="6" stopIfTrue="1">
      <formula>$J$52="超过20%"</formula>
    </cfRule>
  </conditionalFormatting>
  <conditionalFormatting sqref="I53">
    <cfRule type="expression" dxfId="119" priority="5" stopIfTrue="1">
      <formula>$J$53="超过30%"</formula>
    </cfRule>
  </conditionalFormatting>
  <conditionalFormatting sqref="J47">
    <cfRule type="expression" dxfId="118" priority="2">
      <formula>$D$47="简单平均"</formula>
    </cfRule>
  </conditionalFormatting>
  <dataValidations count="25">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1" xr:uid="{00000000-0002-0000-1300-000013000000}">
      <formula1>"商业,办公,住宅,工业"</formula1>
    </dataValidation>
    <dataValidation type="list" allowBlank="1" showInputMessage="1" showErrorMessage="1" sqref="G62" xr:uid="{00000000-0002-0000-1300-000014000000}">
      <formula1>"住宅,工业"</formula1>
    </dataValidation>
    <dataValidation type="list" allowBlank="1" showInputMessage="1" showErrorMessage="1" sqref="C30 E30 G30 I30" xr:uid="{00000000-0002-0000-1300-000015000000}">
      <formula1>基础设施水平</formula1>
    </dataValidation>
    <dataValidation type="list" allowBlank="1" showInputMessage="1" showErrorMessage="1" sqref="A70" xr:uid="{00000000-0002-0000-1300-000016000000}">
      <formula1>"综合,商业,办公,住宅"</formula1>
    </dataValidation>
    <dataValidation type="list" allowBlank="1" showInputMessage="1" showErrorMessage="1" sqref="D47" xr:uid="{00000000-0002-0000-1300-000017000000}">
      <formula1>"简单平均,加权平均"</formula1>
    </dataValidation>
    <dataValidation type="list" allowBlank="1" showInputMessage="1" showErrorMessage="1" sqref="D57:D64" xr:uid="{00000000-0002-0000-13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4"/>
  <sheetViews>
    <sheetView workbookViewId="0">
      <selection activeCell="R3" sqref="R3"/>
    </sheetView>
  </sheetViews>
  <sheetFormatPr defaultColWidth="9" defaultRowHeight="13.2"/>
  <cols>
    <col min="1" max="1" width="9" style="3170"/>
    <col min="2" max="8" width="0" style="3170" hidden="1" customWidth="1"/>
    <col min="9" max="10" width="9.109375" style="3170" bestFit="1" customWidth="1"/>
    <col min="11" max="14" width="0" style="3170" hidden="1" customWidth="1"/>
    <col min="15" max="18" width="9" style="3170"/>
    <col min="19" max="19" width="9.109375" style="3170" bestFit="1" customWidth="1"/>
    <col min="20" max="20" width="9.109375" style="3170" hidden="1" customWidth="1"/>
    <col min="21" max="29" width="0" style="3170" hidden="1" customWidth="1"/>
    <col min="30" max="32" width="11.6640625" style="3170" hidden="1" customWidth="1"/>
    <col min="33" max="33" width="11.6640625" style="3170" bestFit="1" customWidth="1"/>
    <col min="34" max="36" width="9" style="3170"/>
    <col min="37" max="39" width="0" style="3170" hidden="1" customWidth="1"/>
    <col min="40" max="41" width="9.109375" style="3170" hidden="1" customWidth="1"/>
    <col min="42" max="42" width="0" style="3170" hidden="1" customWidth="1"/>
    <col min="43" max="43" width="9.109375" style="3170" bestFit="1" customWidth="1"/>
    <col min="44" max="48" width="9.109375" style="3170" hidden="1" customWidth="1"/>
    <col min="49" max="49" width="9.109375" style="3170" bestFit="1" customWidth="1"/>
    <col min="50" max="51" width="0" style="3170" hidden="1" customWidth="1"/>
    <col min="52" max="52" width="9.109375" style="3170" bestFit="1" customWidth="1"/>
    <col min="53" max="54" width="9" style="3170"/>
    <col min="55" max="55" width="9.109375" style="3170" bestFit="1" customWidth="1"/>
    <col min="56" max="16384" width="9" style="3170"/>
  </cols>
  <sheetData>
    <row r="1" spans="1:61" s="3168" customFormat="1" ht="15">
      <c r="A1" s="3168" t="s">
        <v>3471</v>
      </c>
      <c r="B1" s="3168" t="s">
        <v>3472</v>
      </c>
      <c r="C1" s="3168" t="s">
        <v>3473</v>
      </c>
      <c r="D1" s="3168" t="s">
        <v>3474</v>
      </c>
      <c r="E1" s="3168" t="s">
        <v>3475</v>
      </c>
      <c r="F1" s="3168" t="s">
        <v>3476</v>
      </c>
      <c r="G1" s="3168" t="s">
        <v>3477</v>
      </c>
      <c r="H1" s="3168" t="s">
        <v>3478</v>
      </c>
      <c r="I1" s="3168" t="s">
        <v>3479</v>
      </c>
      <c r="J1" s="3168" t="s">
        <v>3480</v>
      </c>
      <c r="K1" s="3168" t="s">
        <v>3481</v>
      </c>
      <c r="L1" s="3168" t="s">
        <v>3482</v>
      </c>
      <c r="M1" s="3168" t="s">
        <v>3483</v>
      </c>
      <c r="N1" s="3168" t="s">
        <v>3484</v>
      </c>
      <c r="O1" s="3168" t="s">
        <v>3485</v>
      </c>
      <c r="P1" s="3168" t="s">
        <v>3486</v>
      </c>
      <c r="Q1" s="3168" t="s">
        <v>3487</v>
      </c>
      <c r="R1" s="3168" t="s">
        <v>3488</v>
      </c>
      <c r="S1" s="3168" t="s">
        <v>3489</v>
      </c>
      <c r="T1" s="3168" t="s">
        <v>3490</v>
      </c>
      <c r="U1" s="3168" t="s">
        <v>3491</v>
      </c>
      <c r="V1" s="3168" t="s">
        <v>3492</v>
      </c>
      <c r="W1" s="3168" t="s">
        <v>3493</v>
      </c>
      <c r="X1" s="3168" t="s">
        <v>3494</v>
      </c>
      <c r="Y1" s="3168" t="s">
        <v>3495</v>
      </c>
      <c r="Z1" s="3168" t="s">
        <v>3496</v>
      </c>
      <c r="AA1" s="3168" t="s">
        <v>3497</v>
      </c>
      <c r="AB1" s="3168" t="s">
        <v>3498</v>
      </c>
      <c r="AC1" s="3168" t="s">
        <v>3499</v>
      </c>
      <c r="AD1" s="3168" t="s">
        <v>3500</v>
      </c>
      <c r="AE1" s="3168" t="s">
        <v>3501</v>
      </c>
      <c r="AF1" s="3168" t="s">
        <v>3502</v>
      </c>
      <c r="AG1" s="3168" t="s">
        <v>3503</v>
      </c>
      <c r="AH1" s="3168" t="s">
        <v>3504</v>
      </c>
      <c r="AI1" s="3168" t="s">
        <v>3505</v>
      </c>
      <c r="AJ1" s="3168" t="s">
        <v>3506</v>
      </c>
      <c r="AK1" s="3168" t="s">
        <v>3507</v>
      </c>
      <c r="AL1" s="3168" t="s">
        <v>3508</v>
      </c>
      <c r="AM1" s="3168" t="s">
        <v>3509</v>
      </c>
      <c r="AN1" s="3168" t="s">
        <v>3510</v>
      </c>
      <c r="AO1" s="3168" t="s">
        <v>3511</v>
      </c>
      <c r="AP1" s="3168" t="s">
        <v>3512</v>
      </c>
      <c r="AQ1" s="3168" t="s">
        <v>3513</v>
      </c>
      <c r="AR1" s="3168" t="s">
        <v>3514</v>
      </c>
      <c r="AS1" s="3168" t="s">
        <v>3515</v>
      </c>
      <c r="AT1" s="3168" t="s">
        <v>3516</v>
      </c>
      <c r="AU1" s="3168" t="s">
        <v>3517</v>
      </c>
      <c r="AV1" s="3168" t="s">
        <v>3518</v>
      </c>
      <c r="AW1" s="3168" t="s">
        <v>3519</v>
      </c>
      <c r="AX1" s="3168" t="s">
        <v>3520</v>
      </c>
      <c r="AY1" s="3168" t="s">
        <v>3521</v>
      </c>
      <c r="AZ1" s="3168" t="s">
        <v>3522</v>
      </c>
      <c r="BA1" s="3168" t="s">
        <v>3523</v>
      </c>
      <c r="BB1" s="3168" t="s">
        <v>3524</v>
      </c>
      <c r="BC1" s="3168" t="s">
        <v>3525</v>
      </c>
      <c r="BD1" s="3168" t="s">
        <v>3526</v>
      </c>
      <c r="BE1" s="3168" t="s">
        <v>3527</v>
      </c>
      <c r="BF1" s="3168" t="s">
        <v>3528</v>
      </c>
      <c r="BG1" s="3168" t="s">
        <v>3529</v>
      </c>
      <c r="BH1" s="3168" t="s">
        <v>3530</v>
      </c>
      <c r="BI1" s="3168" t="s">
        <v>3531</v>
      </c>
    </row>
    <row r="2" spans="1:61" s="3168" customFormat="1" ht="15">
      <c r="A2" s="3168" t="s">
        <v>3532</v>
      </c>
      <c r="B2" s="3168" t="s">
        <v>3533</v>
      </c>
      <c r="C2" s="3168" t="s">
        <v>3534</v>
      </c>
      <c r="D2" s="3168" t="s">
        <v>3535</v>
      </c>
      <c r="E2" s="3168" t="s">
        <v>3536</v>
      </c>
      <c r="F2" s="3168" t="s">
        <v>3537</v>
      </c>
      <c r="G2" s="3168" t="s">
        <v>3538</v>
      </c>
      <c r="H2" s="3168" t="s">
        <v>3539</v>
      </c>
      <c r="I2" s="3168">
        <v>7467</v>
      </c>
      <c r="J2" s="3168">
        <v>52000</v>
      </c>
      <c r="K2" s="3168" t="s">
        <v>3465</v>
      </c>
      <c r="L2" s="3168" t="s">
        <v>3465</v>
      </c>
      <c r="M2" s="3168">
        <v>0</v>
      </c>
      <c r="N2" s="3168">
        <v>0</v>
      </c>
      <c r="O2" s="3168" t="s">
        <v>3540</v>
      </c>
      <c r="P2" s="3168" t="s">
        <v>3541</v>
      </c>
      <c r="Q2" s="3168" t="s">
        <v>3542</v>
      </c>
      <c r="R2" s="3168" t="s">
        <v>3543</v>
      </c>
      <c r="S2" s="3168" t="s">
        <v>3544</v>
      </c>
      <c r="T2" s="3168">
        <v>7</v>
      </c>
      <c r="U2" s="3168" t="s">
        <v>3465</v>
      </c>
      <c r="V2" s="3168" t="s">
        <v>3465</v>
      </c>
      <c r="W2" s="3168">
        <v>90</v>
      </c>
      <c r="X2" s="3168" t="s">
        <v>3545</v>
      </c>
      <c r="Y2" s="3168" t="s">
        <v>3466</v>
      </c>
      <c r="Z2" s="3168" t="s">
        <v>3465</v>
      </c>
      <c r="AA2" s="3168" t="s">
        <v>3465</v>
      </c>
      <c r="AB2" s="3168" t="s">
        <v>3465</v>
      </c>
      <c r="AC2" s="3168" t="s">
        <v>3465</v>
      </c>
      <c r="AD2" s="3169">
        <v>45254.000497685185</v>
      </c>
      <c r="AE2" s="3169">
        <v>45274.000497685185</v>
      </c>
      <c r="AF2" s="3169">
        <v>45288.000497685185</v>
      </c>
      <c r="AG2" s="3169">
        <v>45288.000497685185</v>
      </c>
      <c r="AH2" s="3168" t="s">
        <v>3546</v>
      </c>
      <c r="AI2" s="3168" t="s">
        <v>3547</v>
      </c>
      <c r="AJ2" s="3168" t="s">
        <v>3548</v>
      </c>
      <c r="AK2" s="3168" t="s">
        <v>3549</v>
      </c>
      <c r="AL2" s="3168" t="s">
        <v>3550</v>
      </c>
      <c r="AM2" s="3168" t="s">
        <v>3465</v>
      </c>
      <c r="AN2" s="3168">
        <v>118000</v>
      </c>
      <c r="AO2" s="3168">
        <v>24000</v>
      </c>
      <c r="AP2" s="3168" t="s">
        <v>3467</v>
      </c>
      <c r="AQ2" s="3168">
        <v>118000</v>
      </c>
      <c r="AR2" s="3168">
        <v>158028.66</v>
      </c>
      <c r="AS2" s="3168">
        <v>158028.66</v>
      </c>
      <c r="AT2" s="3168">
        <v>10535.24</v>
      </c>
      <c r="AU2" s="3168">
        <v>10535.24</v>
      </c>
      <c r="AV2" s="3168">
        <v>22692</v>
      </c>
      <c r="AW2" s="3168">
        <v>22692</v>
      </c>
      <c r="AX2" s="3168" t="s">
        <v>3465</v>
      </c>
      <c r="AY2" s="3168" t="s">
        <v>3465</v>
      </c>
      <c r="AZ2" s="3168">
        <v>0</v>
      </c>
      <c r="BA2" s="3168" t="s">
        <v>3465</v>
      </c>
      <c r="BB2" s="3168" t="s">
        <v>3465</v>
      </c>
      <c r="BC2" s="3168" t="s">
        <v>3465</v>
      </c>
      <c r="BD2" s="3168" t="s">
        <v>3465</v>
      </c>
      <c r="BE2" s="3168" t="s">
        <v>3465</v>
      </c>
      <c r="BF2" s="3168" t="s">
        <v>3465</v>
      </c>
      <c r="BG2" s="3168" t="s">
        <v>3465</v>
      </c>
      <c r="BH2" s="3168" t="s">
        <v>3551</v>
      </c>
      <c r="BI2" s="3168" t="s">
        <v>3468</v>
      </c>
    </row>
    <row r="3" spans="1:61" s="3168" customFormat="1" ht="15">
      <c r="A3" s="3168" t="s">
        <v>3552</v>
      </c>
      <c r="B3" s="3168" t="s">
        <v>3533</v>
      </c>
      <c r="C3" s="3168" t="s">
        <v>3534</v>
      </c>
      <c r="D3" s="3168" t="s">
        <v>3535</v>
      </c>
      <c r="E3" s="3168" t="s">
        <v>3536</v>
      </c>
      <c r="F3" s="3168" t="s">
        <v>3553</v>
      </c>
      <c r="G3" s="3168" t="s">
        <v>3554</v>
      </c>
      <c r="H3" s="3168" t="s">
        <v>3539</v>
      </c>
      <c r="I3" s="3168">
        <v>67829.210000000006</v>
      </c>
      <c r="J3" s="3168">
        <v>298100</v>
      </c>
      <c r="K3" s="3168" t="s">
        <v>3465</v>
      </c>
      <c r="L3" s="3168" t="s">
        <v>3465</v>
      </c>
      <c r="M3" s="3168">
        <v>0</v>
      </c>
      <c r="N3" s="3168">
        <v>0</v>
      </c>
      <c r="O3" s="3168" t="s">
        <v>3540</v>
      </c>
      <c r="P3" s="3168" t="s">
        <v>3555</v>
      </c>
      <c r="Q3" s="3168" t="s">
        <v>3556</v>
      </c>
      <c r="R3" s="3168" t="s">
        <v>3557</v>
      </c>
      <c r="S3" s="3168">
        <v>4.4000000000000004</v>
      </c>
      <c r="T3" s="3168">
        <v>4.4000000000000004</v>
      </c>
      <c r="U3" s="3168" t="s">
        <v>3465</v>
      </c>
      <c r="V3" s="3168" t="s">
        <v>3465</v>
      </c>
      <c r="W3" s="3168" t="s">
        <v>3465</v>
      </c>
      <c r="X3" s="3168" t="s">
        <v>3545</v>
      </c>
      <c r="Y3" s="3168" t="s">
        <v>3466</v>
      </c>
      <c r="Z3" s="3168" t="s">
        <v>3465</v>
      </c>
      <c r="AA3" s="3168" t="s">
        <v>3465</v>
      </c>
      <c r="AB3" s="3168" t="s">
        <v>3465</v>
      </c>
      <c r="AC3" s="3168" t="s">
        <v>3465</v>
      </c>
      <c r="AD3" s="3169">
        <v>45056.000497685185</v>
      </c>
      <c r="AE3" s="3169">
        <v>45076.000497685185</v>
      </c>
      <c r="AF3" s="3169">
        <v>45090.000497685185</v>
      </c>
      <c r="AG3" s="3169">
        <v>45090.000497685185</v>
      </c>
      <c r="AH3" s="3168" t="s">
        <v>3546</v>
      </c>
      <c r="AI3" s="3168" t="s">
        <v>3547</v>
      </c>
      <c r="AJ3" s="3168" t="s">
        <v>3558</v>
      </c>
      <c r="AK3" s="3168" t="s">
        <v>3559</v>
      </c>
      <c r="AL3" s="3168" t="s">
        <v>3560</v>
      </c>
      <c r="AM3" s="3168" t="s">
        <v>3561</v>
      </c>
      <c r="AN3" s="3168">
        <v>680000</v>
      </c>
      <c r="AO3" s="3168">
        <v>136000</v>
      </c>
      <c r="AP3" s="3168" t="s">
        <v>3469</v>
      </c>
      <c r="AQ3" s="3168">
        <v>680000</v>
      </c>
      <c r="AR3" s="3168">
        <v>100251.8</v>
      </c>
      <c r="AS3" s="3168">
        <v>100251.8</v>
      </c>
      <c r="AT3" s="3168">
        <v>6683.45</v>
      </c>
      <c r="AU3" s="3168">
        <v>6683.45</v>
      </c>
      <c r="AV3" s="3168">
        <v>22811</v>
      </c>
      <c r="AW3" s="3168">
        <v>22811</v>
      </c>
      <c r="AX3" s="3168" t="s">
        <v>3465</v>
      </c>
      <c r="AY3" s="3168" t="s">
        <v>3465</v>
      </c>
      <c r="AZ3" s="3168">
        <v>0</v>
      </c>
      <c r="BA3" s="3168" t="s">
        <v>3465</v>
      </c>
      <c r="BB3" s="3168" t="s">
        <v>3465</v>
      </c>
      <c r="BC3" s="3168" t="s">
        <v>3465</v>
      </c>
      <c r="BD3" s="3168" t="s">
        <v>3465</v>
      </c>
      <c r="BE3" s="3168" t="s">
        <v>3465</v>
      </c>
      <c r="BF3" s="3168" t="s">
        <v>3465</v>
      </c>
      <c r="BG3" s="3168" t="s">
        <v>3465</v>
      </c>
      <c r="BH3" s="3168" t="s">
        <v>3551</v>
      </c>
      <c r="BI3" s="3168" t="s">
        <v>3468</v>
      </c>
    </row>
    <row r="4" spans="1:61" s="3168" customFormat="1" ht="15">
      <c r="A4" s="3168" t="s">
        <v>3562</v>
      </c>
      <c r="B4" s="3168" t="s">
        <v>3533</v>
      </c>
      <c r="C4" s="3168" t="s">
        <v>3534</v>
      </c>
      <c r="D4" s="3168" t="s">
        <v>3535</v>
      </c>
      <c r="E4" s="3168" t="s">
        <v>3536</v>
      </c>
      <c r="F4" s="3168" t="s">
        <v>3563</v>
      </c>
      <c r="G4" s="3168" t="s">
        <v>3564</v>
      </c>
      <c r="H4" s="3168" t="s">
        <v>3539</v>
      </c>
      <c r="I4" s="3168">
        <v>12629.88</v>
      </c>
      <c r="J4" s="3168">
        <v>80000</v>
      </c>
      <c r="K4" s="3168" t="s">
        <v>3465</v>
      </c>
      <c r="L4" s="3168" t="s">
        <v>3465</v>
      </c>
      <c r="M4" s="3168">
        <v>0</v>
      </c>
      <c r="N4" s="3168">
        <v>0</v>
      </c>
      <c r="O4" s="3168" t="s">
        <v>3540</v>
      </c>
      <c r="P4" s="3168" t="s">
        <v>3541</v>
      </c>
      <c r="Q4" s="3168" t="s">
        <v>3565</v>
      </c>
      <c r="R4" s="3168" t="s">
        <v>3557</v>
      </c>
      <c r="S4" s="3168" t="s">
        <v>3566</v>
      </c>
      <c r="T4" s="3168">
        <v>6.33</v>
      </c>
      <c r="U4" s="3168" t="s">
        <v>3465</v>
      </c>
      <c r="V4" s="3168">
        <v>0.4</v>
      </c>
      <c r="W4" s="3168" t="s">
        <v>3465</v>
      </c>
      <c r="X4" s="3168" t="s">
        <v>3545</v>
      </c>
      <c r="Y4" s="3168" t="s">
        <v>3466</v>
      </c>
      <c r="Z4" s="3168" t="s">
        <v>3465</v>
      </c>
      <c r="AA4" s="3168" t="s">
        <v>3465</v>
      </c>
      <c r="AB4" s="3168" t="s">
        <v>3465</v>
      </c>
      <c r="AC4" s="3168" t="s">
        <v>3465</v>
      </c>
      <c r="AD4" s="3169">
        <v>44764.000497685185</v>
      </c>
      <c r="AE4" s="3169">
        <v>44784.000497685185</v>
      </c>
      <c r="AF4" s="3169">
        <v>44798.000497685185</v>
      </c>
      <c r="AG4" s="3169">
        <v>44798.000497685185</v>
      </c>
      <c r="AH4" s="3168" t="s">
        <v>3546</v>
      </c>
      <c r="AI4" s="3168" t="s">
        <v>3547</v>
      </c>
      <c r="AJ4" s="3168" t="s">
        <v>3567</v>
      </c>
      <c r="AK4" s="3168" t="s">
        <v>3568</v>
      </c>
      <c r="AL4" s="3168" t="s">
        <v>3569</v>
      </c>
      <c r="AM4" s="3168" t="s">
        <v>3570</v>
      </c>
      <c r="AN4" s="3168">
        <v>166000</v>
      </c>
      <c r="AO4" s="3168">
        <v>34000</v>
      </c>
      <c r="AP4" s="3168" t="s">
        <v>3470</v>
      </c>
      <c r="AQ4" s="3168">
        <v>166000</v>
      </c>
      <c r="AR4" s="3168">
        <v>131434.34</v>
      </c>
      <c r="AS4" s="3168">
        <v>131434.34</v>
      </c>
      <c r="AT4" s="3168">
        <v>8762.2900000000009</v>
      </c>
      <c r="AU4" s="3168">
        <v>8762.2900000000009</v>
      </c>
      <c r="AV4" s="3168">
        <v>20750</v>
      </c>
      <c r="AW4" s="3168">
        <v>20750</v>
      </c>
      <c r="AX4" s="3168" t="s">
        <v>3465</v>
      </c>
      <c r="AY4" s="3168" t="s">
        <v>3465</v>
      </c>
      <c r="AZ4" s="3168">
        <v>0</v>
      </c>
      <c r="BA4" s="3168" t="s">
        <v>3465</v>
      </c>
      <c r="BB4" s="3168" t="s">
        <v>3465</v>
      </c>
      <c r="BC4" s="3168">
        <v>0</v>
      </c>
      <c r="BD4" s="3168" t="s">
        <v>3465</v>
      </c>
      <c r="BE4" s="3168" t="s">
        <v>3465</v>
      </c>
      <c r="BF4" s="3168" t="s">
        <v>3465</v>
      </c>
      <c r="BG4" s="3168" t="s">
        <v>3465</v>
      </c>
      <c r="BH4" s="3168" t="s">
        <v>3551</v>
      </c>
      <c r="BI4" s="3168" t="s">
        <v>3468</v>
      </c>
    </row>
  </sheetData>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I57"/>
  <sheetViews>
    <sheetView view="pageBreakPreview" zoomScale="85" zoomScaleNormal="70" zoomScaleSheetLayoutView="85" workbookViewId="0">
      <selection activeCell="C6" sqref="C6"/>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c r="C1" s="190"/>
      <c r="D1" s="190"/>
      <c r="E1" s="190"/>
      <c r="F1" s="190"/>
      <c r="G1" s="1062">
        <f>MATCH(B1,'数据-取费表'!A6:A16,0)+5</f>
        <v>7</v>
      </c>
    </row>
    <row r="2" spans="1:9" s="192" customFormat="1" ht="18" customHeight="1">
      <c r="A2" s="193" t="s">
        <v>1462</v>
      </c>
      <c r="B2" s="194">
        <f ca="1">IF(D2="——",C52,C52-E2)</f>
        <v>46898</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26864</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22947</v>
      </c>
      <c r="D5" s="203" t="s">
        <v>1469</v>
      </c>
      <c r="E5" s="204" t="s">
        <v>1470</v>
      </c>
      <c r="F5" s="204" t="s">
        <v>1471</v>
      </c>
      <c r="G5" s="205"/>
    </row>
    <row r="6" spans="1:9" s="206" customFormat="1" ht="13.5" customHeight="1">
      <c r="A6" s="732" t="s">
        <v>1472</v>
      </c>
      <c r="B6" s="207" t="s">
        <v>1473</v>
      </c>
      <c r="C6" s="208">
        <f>'土地比较法-住宅、综合'!F65</f>
        <v>21929</v>
      </c>
      <c r="D6" s="209"/>
      <c r="E6" s="210"/>
      <c r="F6" s="210"/>
      <c r="G6" s="211"/>
    </row>
    <row r="7" spans="1:9" s="206" customFormat="1" ht="13.5" customHeight="1">
      <c r="A7" s="732" t="s">
        <v>1474</v>
      </c>
      <c r="B7" s="207" t="s">
        <v>1475</v>
      </c>
      <c r="C7" s="212">
        <f>ROUND(C6*F7,0)</f>
        <v>669</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349</v>
      </c>
      <c r="D8" s="214"/>
      <c r="E8" s="212"/>
      <c r="F8" s="213"/>
      <c r="G8" s="1713" t="s">
        <v>3459</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4" t="s">
        <v>3460</v>
      </c>
      <c r="H9" s="1070"/>
      <c r="I9" s="1715" t="s">
        <v>1479</v>
      </c>
    </row>
    <row r="10" spans="1:9" s="206" customFormat="1" ht="13.5" customHeight="1">
      <c r="A10" s="733" t="s">
        <v>356</v>
      </c>
      <c r="B10" s="216" t="s">
        <v>1480</v>
      </c>
      <c r="C10" s="217">
        <f ca="1">ROUND(D10*E10/10000,0)</f>
        <v>349</v>
      </c>
      <c r="D10" s="795">
        <f ca="1">IF(B1="",'数据-汇总表'!E6,IF(INDIRECT("'数据-取费表'!c"&amp;$G$1)="住宅",INDIRECT("'数据-取费表'!s"&amp;$G$1),INDIRECT("'数据-取费表'!k"&amp;$G$1)+INDIRECT("'数据-取费表'!s"&amp;$G$1)))</f>
        <v>17457.32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17457.32</v>
      </c>
      <c r="E19" s="203">
        <f>'数据-取费表'!B31</f>
        <v>200</v>
      </c>
      <c r="F19" s="223"/>
      <c r="G19" s="1713" t="s">
        <v>3461</v>
      </c>
    </row>
    <row r="20" spans="1:7" s="206" customFormat="1" ht="13.5" customHeight="1">
      <c r="A20" s="247" t="s">
        <v>1493</v>
      </c>
      <c r="B20" s="202" t="s">
        <v>1494</v>
      </c>
      <c r="C20" s="224">
        <f>ROUND((C5+C19)*F20,0)</f>
        <v>574</v>
      </c>
      <c r="D20" s="224"/>
      <c r="E20" s="224"/>
      <c r="F20" s="225">
        <f>'数据-取费表'!B37</f>
        <v>2.5000000000000001E-2</v>
      </c>
      <c r="G20" s="226" t="s">
        <v>1495</v>
      </c>
    </row>
    <row r="21" spans="1:7" s="206" customFormat="1" ht="13.5" customHeight="1">
      <c r="A21" s="247" t="s">
        <v>1496</v>
      </c>
      <c r="B21" s="202" t="s">
        <v>1497</v>
      </c>
      <c r="C21" s="227">
        <f>F21</f>
        <v>2.5000000000000001E-2</v>
      </c>
      <c r="D21" s="228" t="s">
        <v>1498</v>
      </c>
      <c r="E21" s="224"/>
      <c r="F21" s="225">
        <f>'数据-取费表'!B38</f>
        <v>2.5000000000000001E-2</v>
      </c>
      <c r="G21" s="226" t="s">
        <v>1499</v>
      </c>
    </row>
    <row r="22" spans="1:7" s="206" customFormat="1" ht="13.5" customHeight="1">
      <c r="A22" s="247" t="s">
        <v>1500</v>
      </c>
      <c r="B22" s="202" t="s">
        <v>1501</v>
      </c>
      <c r="C22" s="1041">
        <f ca="1">ROUND(SUM(C23:C25),0)</f>
        <v>1994</v>
      </c>
      <c r="D22" s="227">
        <f ca="1">C26</f>
        <v>1.1000000000000001E-3</v>
      </c>
      <c r="E22" s="228" t="s">
        <v>1498</v>
      </c>
      <c r="F22" s="229">
        <f ca="1">'数据-取费表'!B40</f>
        <v>3.3500000000000002E-2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1970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24</v>
      </c>
      <c r="D25" s="230"/>
      <c r="E25" s="233"/>
      <c r="F25" s="231"/>
      <c r="G25" s="234" t="s">
        <v>1510</v>
      </c>
    </row>
    <row r="26" spans="1:7" s="206" customFormat="1">
      <c r="A26" s="734" t="s">
        <v>350</v>
      </c>
      <c r="B26" s="207" t="s">
        <v>1511</v>
      </c>
      <c r="C26" s="230">
        <f ca="1">ROUND(IF('数据-取费表'!B22&lt;=1,F21*F22*'数据-取费表'!B23/2,F21*(POWER((1+F22),'数据-取费表'!B23/2)-1)),4)</f>
        <v>1.1000000000000001E-3</v>
      </c>
      <c r="D26" s="230"/>
      <c r="E26" s="233"/>
      <c r="F26" s="231"/>
      <c r="G26" s="235"/>
    </row>
    <row r="27" spans="1:7" s="206" customFormat="1" ht="26.4">
      <c r="A27" s="247" t="s">
        <v>1512</v>
      </c>
      <c r="B27" s="236" t="s">
        <v>1513</v>
      </c>
      <c r="C27" s="237">
        <f ca="1">C28</f>
        <v>4704</v>
      </c>
      <c r="D27" s="227">
        <f ca="1">C29</f>
        <v>5.0000000000000001E-3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4704</v>
      </c>
      <c r="D28" s="227"/>
      <c r="E28" s="228"/>
      <c r="F28" s="238"/>
      <c r="G28" s="239"/>
    </row>
    <row r="29" spans="1:7" s="206" customFormat="1" ht="13.5" customHeight="1">
      <c r="A29" s="734" t="s">
        <v>347</v>
      </c>
      <c r="B29" s="240" t="s">
        <v>1517</v>
      </c>
      <c r="C29" s="230">
        <f ca="1">ROUND(C21*F27*'数据-取费表'!B21/'数据-取费表'!B20,4)</f>
        <v>5.0000000000000001E-3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33005</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12490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11347</v>
      </c>
      <c r="D34" s="209"/>
      <c r="E34" s="212"/>
      <c r="F34" s="249">
        <f ca="1">IF('数据-取费表'!B24=0,1,IF(B1="",'数据-取费表'!N16,INDIRECT("'数据-取费表'!n"&amp;$G$1)))</f>
        <v>1</v>
      </c>
      <c r="G34" s="211" t="s">
        <v>1526</v>
      </c>
    </row>
    <row r="35" spans="1:7" ht="13.5" customHeight="1">
      <c r="A35" s="734" t="s">
        <v>351</v>
      </c>
      <c r="B35" s="207" t="s">
        <v>1527</v>
      </c>
      <c r="C35" s="212">
        <f ca="1">ROUND(C34*F35,0)</f>
        <v>567</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349</v>
      </c>
      <c r="D37" s="209">
        <f ca="1">D19</f>
        <v>17457.32</v>
      </c>
      <c r="E37" s="241">
        <f>'数据-取费表'!B35</f>
        <v>200</v>
      </c>
      <c r="F37" s="251"/>
      <c r="G37" s="253" t="s">
        <v>1532</v>
      </c>
    </row>
    <row r="38" spans="1:7" ht="13.5" customHeight="1">
      <c r="A38" s="734" t="s">
        <v>354</v>
      </c>
      <c r="B38" s="207" t="s">
        <v>1533</v>
      </c>
      <c r="C38" s="212">
        <f ca="1">ROUND(C34*F38,0)</f>
        <v>227</v>
      </c>
      <c r="D38" s="212"/>
      <c r="E38" s="212"/>
      <c r="F38" s="251">
        <f>'数据-取费表'!B36</f>
        <v>0.02</v>
      </c>
      <c r="G38" s="211" t="s">
        <v>1528</v>
      </c>
    </row>
    <row r="39" spans="1:7" s="206" customFormat="1" ht="13.5" customHeight="1">
      <c r="A39" s="247" t="s">
        <v>1534</v>
      </c>
      <c r="B39" s="202" t="s">
        <v>1535</v>
      </c>
      <c r="C39" s="224">
        <f ca="1">ROUND(C33*F20,0)</f>
        <v>312</v>
      </c>
      <c r="D39" s="224"/>
      <c r="E39" s="224"/>
      <c r="F39" s="225">
        <f>F20</f>
        <v>2.5000000000000001E-2</v>
      </c>
      <c r="G39" s="226" t="s">
        <v>1536</v>
      </c>
    </row>
    <row r="40" spans="1:7" s="206" customFormat="1" ht="13.5" customHeight="1">
      <c r="A40" s="247" t="s">
        <v>1537</v>
      </c>
      <c r="B40" s="202" t="s">
        <v>1538</v>
      </c>
      <c r="C40" s="227">
        <f>F21</f>
        <v>2.5000000000000001E-2</v>
      </c>
      <c r="D40" s="228" t="s">
        <v>1539</v>
      </c>
      <c r="E40" s="224"/>
      <c r="F40" s="225">
        <f>F21</f>
        <v>2.5000000000000001E-2</v>
      </c>
      <c r="G40" s="226" t="s">
        <v>1540</v>
      </c>
    </row>
    <row r="41" spans="1:7" s="206" customFormat="1" ht="13.5" customHeight="1">
      <c r="A41" s="247" t="s">
        <v>1541</v>
      </c>
      <c r="B41" s="202" t="s">
        <v>1542</v>
      </c>
      <c r="C41" s="224">
        <f ca="1">ROUND(SUM(C42:C43),0)</f>
        <v>538</v>
      </c>
      <c r="D41" s="227">
        <f ca="1">C44</f>
        <v>1.1000000000000001E-3</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525</v>
      </c>
      <c r="D42" s="230"/>
      <c r="E42" s="230"/>
      <c r="F42" s="231"/>
      <c r="G42" s="3398" t="s">
        <v>1544</v>
      </c>
    </row>
    <row r="43" spans="1:7" ht="13.5" customHeight="1">
      <c r="A43" s="734" t="s">
        <v>347</v>
      </c>
      <c r="B43" s="207" t="s">
        <v>1545</v>
      </c>
      <c r="C43" s="230">
        <f ca="1">ROUND(IF('数据-取费表'!B22&lt;=1,C39*F22*'数据-取费表'!B21/2,C39*(POWER((1+F22),'数据-取费表'!B21/2)-1)),0)</f>
        <v>13</v>
      </c>
      <c r="D43" s="230"/>
      <c r="E43" s="230"/>
      <c r="F43" s="231"/>
      <c r="G43" s="3399"/>
    </row>
    <row r="44" spans="1:7" ht="13.5" customHeight="1">
      <c r="A44" s="734" t="s">
        <v>348</v>
      </c>
      <c r="B44" s="207" t="s">
        <v>1546</v>
      </c>
      <c r="C44" s="230">
        <f ca="1">ROUND(IF('数据-取费表'!B22&lt;=1,C40*F22*'数据-取费表'!B21/2,C40*(POWER((1+F22),'数据-取费表'!B21/2)-1)),4)</f>
        <v>1.1000000000000001E-3</v>
      </c>
      <c r="D44" s="230"/>
      <c r="E44" s="230"/>
      <c r="F44" s="231"/>
      <c r="G44" s="3400"/>
    </row>
    <row r="45" spans="1:7" s="206" customFormat="1" ht="13.5" customHeight="1">
      <c r="A45" s="247" t="s">
        <v>1547</v>
      </c>
      <c r="B45" s="236" t="s">
        <v>1513</v>
      </c>
      <c r="C45" s="237">
        <f ca="1">C46</f>
        <v>2560</v>
      </c>
      <c r="D45" s="227">
        <f ca="1">C47</f>
        <v>5.0000000000000001E-3</v>
      </c>
      <c r="E45" s="228" t="s">
        <v>1539</v>
      </c>
      <c r="F45" s="238">
        <f ca="1">F27</f>
        <v>0.2</v>
      </c>
      <c r="G45" s="239" t="s">
        <v>1548</v>
      </c>
    </row>
    <row r="46" spans="1:7" s="206" customFormat="1" ht="13.5" customHeight="1">
      <c r="A46" s="734" t="s">
        <v>346</v>
      </c>
      <c r="B46" s="240" t="s">
        <v>1549</v>
      </c>
      <c r="C46" s="241">
        <f ca="1">ROUND((C33+C39)*F27,0)</f>
        <v>2560</v>
      </c>
      <c r="D46" s="255"/>
      <c r="E46" s="228"/>
      <c r="F46" s="238"/>
      <c r="G46" s="239"/>
    </row>
    <row r="47" spans="1:7" s="206" customFormat="1" ht="13.5" customHeight="1">
      <c r="A47" s="734" t="s">
        <v>347</v>
      </c>
      <c r="B47" s="240" t="s">
        <v>1550</v>
      </c>
      <c r="C47" s="230">
        <f ca="1">ROUND(C40*F27,4)</f>
        <v>5.0000000000000001E-3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17366</v>
      </c>
      <c r="D49" s="224"/>
      <c r="E49" s="224"/>
      <c r="F49" s="256"/>
      <c r="G49" s="226" t="s">
        <v>1554</v>
      </c>
    </row>
    <row r="50" spans="1:7" s="250" customFormat="1" ht="24">
      <c r="A50" s="247" t="s">
        <v>1555</v>
      </c>
      <c r="B50" s="202" t="s">
        <v>1556</v>
      </c>
      <c r="C50" s="224"/>
      <c r="D50" s="224"/>
      <c r="E50" s="224"/>
      <c r="F50" s="256">
        <f>IF('数据-取费表'!B24=0,'数据-取费表'!N16,1)</f>
        <v>0.8</v>
      </c>
      <c r="G50" s="239" t="s">
        <v>1557</v>
      </c>
    </row>
    <row r="51" spans="1:7" ht="16.5" customHeight="1">
      <c r="A51" s="247" t="s">
        <v>1558</v>
      </c>
      <c r="B51" s="202" t="s">
        <v>1559</v>
      </c>
      <c r="C51" s="224">
        <f ca="1">ROUND(C49*F50,0)</f>
        <v>13893</v>
      </c>
      <c r="D51" s="224"/>
      <c r="E51" s="224"/>
      <c r="F51" s="256"/>
      <c r="G51" s="226" t="s">
        <v>1560</v>
      </c>
    </row>
    <row r="52" spans="1:7" s="200" customFormat="1" ht="16.8" thickBot="1">
      <c r="A52" s="257" t="s">
        <v>1561</v>
      </c>
      <c r="B52" s="258"/>
      <c r="C52" s="259">
        <f ca="1">C31+C51</f>
        <v>46898</v>
      </c>
      <c r="D52" s="258"/>
      <c r="E52" s="258"/>
      <c r="F52" s="258"/>
      <c r="G52" s="260"/>
    </row>
    <row r="55" spans="1:7" ht="15">
      <c r="B55" s="262" t="s">
        <v>1562</v>
      </c>
      <c r="C55" s="263"/>
    </row>
    <row r="56" spans="1:7">
      <c r="B56" s="265" t="s">
        <v>802</v>
      </c>
      <c r="C56" s="267">
        <f ca="1">1-C57</f>
        <v>0.70399999999999996</v>
      </c>
    </row>
    <row r="57" spans="1:7">
      <c r="B57" s="265" t="s">
        <v>803</v>
      </c>
      <c r="C57" s="266">
        <f ca="1">ROUND(C51/C52,3)</f>
        <v>0.29599999999999999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9" xr:uid="{00000000-0002-0000-1500-000003000000}">
      <formula1>"部分缴纳,全部缴纳"</formula1>
    </dataValidation>
    <dataValidation type="list" allowBlank="1" showInputMessage="1" showErrorMessage="1" sqref="G2" xr:uid="{00000000-0002-0000-1500-000004000000}">
      <formula1>估价方法</formula1>
    </dataValidation>
    <dataValidation type="list" allowBlank="1" showInputMessage="1" showErrorMessage="1" sqref="D2" xr:uid="{00000000-0002-0000-15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14898.575699999999</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8534</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3491464</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3491464</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3491464</v>
      </c>
      <c r="D10" s="795">
        <f ca="1">IF(B1="",'数据-汇总表'!E6,IF(INDIRECT("'数据-取费表'!c"&amp;$G$1)="住宅",INDIRECT("'数据-取费表'!s"&amp;$G$1),INDIRECT("'数据-取费表'!k"&amp;$G$1)+INDIRECT("'数据-取费表'!s"&amp;$G$1)))</f>
        <v>17457.32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3491464</v>
      </c>
      <c r="D19" s="204">
        <f ca="1">D9+D10</f>
        <v>17457.32</v>
      </c>
      <c r="E19" s="203">
        <f>'数据-取费表'!B31</f>
        <v>200</v>
      </c>
      <c r="F19" s="223"/>
      <c r="G19" s="1713"/>
    </row>
    <row r="20" spans="1:7" s="206" customFormat="1" ht="13.5" customHeight="1">
      <c r="A20" s="247" t="s">
        <v>1574</v>
      </c>
      <c r="B20" s="202" t="s">
        <v>1575</v>
      </c>
      <c r="C20" s="224">
        <f ca="1">ROUND((C5+C19)*F20,0)</f>
        <v>174573</v>
      </c>
      <c r="D20" s="224"/>
      <c r="E20" s="224"/>
      <c r="F20" s="225">
        <f>'数据-取费表'!B37</f>
        <v>2.5000000000000001E-2</v>
      </c>
      <c r="G20" s="226" t="s">
        <v>1576</v>
      </c>
    </row>
    <row r="21" spans="1:7" s="206" customFormat="1" ht="13.5" customHeight="1">
      <c r="A21" s="247" t="s">
        <v>1577</v>
      </c>
      <c r="B21" s="202" t="s">
        <v>1578</v>
      </c>
      <c r="C21" s="227">
        <f>F21</f>
        <v>2.5000000000000001E-2</v>
      </c>
      <c r="D21" s="228" t="s">
        <v>1579</v>
      </c>
      <c r="E21" s="224"/>
      <c r="F21" s="225">
        <f>'数据-取费表'!B38</f>
        <v>2.5000000000000001E-2</v>
      </c>
      <c r="G21" s="226" t="s">
        <v>1580</v>
      </c>
    </row>
    <row r="22" spans="1:7" s="206" customFormat="1" ht="13.5" customHeight="1">
      <c r="A22" s="247" t="s">
        <v>1581</v>
      </c>
      <c r="B22" s="202" t="s">
        <v>1582</v>
      </c>
      <c r="C22" s="224">
        <f ca="1">ROUND(SUM(C23:C25),0)</f>
        <v>606937</v>
      </c>
      <c r="D22" s="227">
        <f ca="1">C26</f>
        <v>1.1000000000000001E-3</v>
      </c>
      <c r="E22" s="228" t="s">
        <v>1579</v>
      </c>
      <c r="F22" s="229">
        <f ca="1">'数据-取费表'!B40</f>
        <v>3.3500000000000002E-2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299798</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299798</v>
      </c>
      <c r="D24" s="230"/>
      <c r="E24" s="230"/>
      <c r="F24" s="231"/>
      <c r="G24" s="232" t="s">
        <v>1586</v>
      </c>
    </row>
    <row r="25" spans="1:7" s="206" customFormat="1" ht="24">
      <c r="A25" s="734" t="s">
        <v>1476</v>
      </c>
      <c r="B25" s="207" t="s">
        <v>1587</v>
      </c>
      <c r="C25" s="230">
        <f ca="1">ROUND(IF('数据-取费表'!B22&lt;=1,C20*F22*'数据-取费表'!B22/2,C20*(POWER((1+F22),'数据-取费表'!B22/2)-1)),0)</f>
        <v>7341</v>
      </c>
      <c r="D25" s="230"/>
      <c r="E25" s="233"/>
      <c r="F25" s="231"/>
      <c r="G25" s="234" t="s">
        <v>1588</v>
      </c>
    </row>
    <row r="26" spans="1:7" s="206" customFormat="1">
      <c r="A26" s="734" t="s">
        <v>350</v>
      </c>
      <c r="B26" s="207" t="s">
        <v>1511</v>
      </c>
      <c r="C26" s="230">
        <f ca="1">ROUND(IF('数据-取费表'!B22&lt;=1,F21*F22*'数据-取费表'!B22/2,F21*(POWER((1+F22),'数据-取费表'!B22/2)-1)),4)</f>
        <v>1.1000000000000001E-3</v>
      </c>
      <c r="D26" s="230"/>
      <c r="E26" s="233"/>
      <c r="F26" s="231"/>
      <c r="G26" s="235"/>
    </row>
    <row r="27" spans="1:7" s="206" customFormat="1" ht="26.4">
      <c r="A27" s="247" t="s">
        <v>1512</v>
      </c>
      <c r="B27" s="236" t="s">
        <v>1513</v>
      </c>
      <c r="C27" s="237">
        <f ca="1">C28</f>
        <v>1431500</v>
      </c>
      <c r="D27" s="227">
        <f ca="1">C29</f>
        <v>5.0000000000000001E-3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1431500</v>
      </c>
      <c r="D28" s="227"/>
      <c r="E28" s="228"/>
      <c r="F28" s="238"/>
      <c r="G28" s="239"/>
    </row>
    <row r="29" spans="1:7" s="206" customFormat="1" ht="13.5" customHeight="1">
      <c r="A29" s="734" t="s">
        <v>347</v>
      </c>
      <c r="B29" s="240" t="s">
        <v>1517</v>
      </c>
      <c r="C29" s="230">
        <f ca="1">ROUND(C21*F27,4)</f>
        <v>5.0000000000000001E-3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10043619</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124907125</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113472580</v>
      </c>
      <c r="D34" s="209"/>
      <c r="E34" s="212"/>
      <c r="F34" s="249"/>
      <c r="G34" s="211"/>
    </row>
    <row r="35" spans="1:7" ht="13.5" customHeight="1">
      <c r="A35" s="734" t="s">
        <v>351</v>
      </c>
      <c r="B35" s="207" t="s">
        <v>1527</v>
      </c>
      <c r="C35" s="212">
        <f ca="1">ROUND(C34*F35,0)</f>
        <v>5673629</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3491464</v>
      </c>
      <c r="D37" s="209">
        <f ca="1">D19</f>
        <v>17457.32</v>
      </c>
      <c r="E37" s="241">
        <f>'数据-取费表'!B35</f>
        <v>200</v>
      </c>
      <c r="F37" s="251"/>
      <c r="G37" s="253"/>
    </row>
    <row r="38" spans="1:7" ht="13.5" customHeight="1">
      <c r="A38" s="734" t="s">
        <v>354</v>
      </c>
      <c r="B38" s="207" t="s">
        <v>1533</v>
      </c>
      <c r="C38" s="212">
        <f ca="1">ROUND(C34*F38,0)</f>
        <v>2269452</v>
      </c>
      <c r="D38" s="212"/>
      <c r="E38" s="212"/>
      <c r="F38" s="251">
        <f>'数据-取费表'!B36</f>
        <v>0.02</v>
      </c>
      <c r="G38" s="211" t="s">
        <v>1528</v>
      </c>
    </row>
    <row r="39" spans="1:7" s="206" customFormat="1" ht="13.5" customHeight="1">
      <c r="A39" s="247" t="s">
        <v>1534</v>
      </c>
      <c r="B39" s="202" t="s">
        <v>1535</v>
      </c>
      <c r="C39" s="224">
        <f ca="1">ROUND(C33*F20,0)</f>
        <v>3122678</v>
      </c>
      <c r="D39" s="224"/>
      <c r="E39" s="224"/>
      <c r="F39" s="225">
        <f>F20</f>
        <v>2.5000000000000001E-2</v>
      </c>
      <c r="G39" s="226" t="s">
        <v>1536</v>
      </c>
    </row>
    <row r="40" spans="1:7" s="206" customFormat="1" ht="13.5" customHeight="1">
      <c r="A40" s="247" t="s">
        <v>1537</v>
      </c>
      <c r="B40" s="202" t="s">
        <v>1538</v>
      </c>
      <c r="C40" s="227">
        <f>F21</f>
        <v>2.5000000000000001E-2</v>
      </c>
      <c r="D40" s="228" t="s">
        <v>1539</v>
      </c>
      <c r="E40" s="224"/>
      <c r="F40" s="225">
        <f>F21</f>
        <v>2.5000000000000001E-2</v>
      </c>
      <c r="G40" s="226" t="s">
        <v>1540</v>
      </c>
    </row>
    <row r="41" spans="1:7" s="206" customFormat="1" ht="13.5" customHeight="1">
      <c r="A41" s="247" t="s">
        <v>1541</v>
      </c>
      <c r="B41" s="202" t="s">
        <v>1542</v>
      </c>
      <c r="C41" s="224">
        <f ca="1">ROUND(SUM(C42:C43),0)</f>
        <v>5383513</v>
      </c>
      <c r="D41" s="227">
        <f ca="1">C44</f>
        <v>1.1000000000000001E-3</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5252208</v>
      </c>
      <c r="D42" s="230"/>
      <c r="E42" s="230"/>
      <c r="F42" s="231"/>
      <c r="G42" s="3398" t="s">
        <v>1591</v>
      </c>
    </row>
    <row r="43" spans="1:7" ht="13.5" customHeight="1">
      <c r="A43" s="734" t="s">
        <v>347</v>
      </c>
      <c r="B43" s="207" t="s">
        <v>1545</v>
      </c>
      <c r="C43" s="230">
        <f ca="1">ROUND(IF('数据-取费表'!B22&lt;=1,C39*F22*'数据-取费表'!B20/2,C39*(POWER((1+F22),'数据-取费表'!B20/2)-1)),0)</f>
        <v>131305</v>
      </c>
      <c r="D43" s="230"/>
      <c r="E43" s="230"/>
      <c r="F43" s="231"/>
      <c r="G43" s="3399"/>
    </row>
    <row r="44" spans="1:7" ht="13.5" customHeight="1">
      <c r="A44" s="734" t="s">
        <v>348</v>
      </c>
      <c r="B44" s="207" t="s">
        <v>1546</v>
      </c>
      <c r="C44" s="230">
        <f ca="1">ROUND(IF('数据-取费表'!B22&lt;=1,C40*F22*'数据-取费表'!B20/2,C40*(POWER((1+F22),'数据-取费表'!B20/2)-1)),4)</f>
        <v>1.1000000000000001E-3</v>
      </c>
      <c r="D44" s="230"/>
      <c r="E44" s="230"/>
      <c r="F44" s="231"/>
      <c r="G44" s="3400"/>
    </row>
    <row r="45" spans="1:7" s="206" customFormat="1" ht="13.5" customHeight="1">
      <c r="A45" s="247" t="s">
        <v>1547</v>
      </c>
      <c r="B45" s="236" t="s">
        <v>1513</v>
      </c>
      <c r="C45" s="237">
        <f ca="1">C46</f>
        <v>25605961</v>
      </c>
      <c r="D45" s="227">
        <f ca="1">C47</f>
        <v>5.0000000000000001E-3</v>
      </c>
      <c r="E45" s="228" t="s">
        <v>1539</v>
      </c>
      <c r="F45" s="238">
        <f ca="1">F27</f>
        <v>0.2</v>
      </c>
      <c r="G45" s="239" t="s">
        <v>1548</v>
      </c>
    </row>
    <row r="46" spans="1:7" s="206" customFormat="1" ht="13.5" customHeight="1">
      <c r="A46" s="734" t="s">
        <v>346</v>
      </c>
      <c r="B46" s="240" t="s">
        <v>1549</v>
      </c>
      <c r="C46" s="241">
        <f ca="1">ROUND((C33+C39)*F27,0)</f>
        <v>25605961</v>
      </c>
      <c r="D46" s="255"/>
      <c r="E46" s="228"/>
      <c r="F46" s="238"/>
      <c r="G46" s="239"/>
    </row>
    <row r="47" spans="1:7" s="206" customFormat="1" ht="13.5" customHeight="1">
      <c r="A47" s="734" t="s">
        <v>347</v>
      </c>
      <c r="B47" s="240" t="s">
        <v>1550</v>
      </c>
      <c r="C47" s="230">
        <f ca="1">ROUND(C40*F27,4)</f>
        <v>5.0000000000000001E-3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173677673</v>
      </c>
      <c r="D49" s="224"/>
      <c r="E49" s="224"/>
      <c r="F49" s="256"/>
      <c r="G49" s="226" t="s">
        <v>1554</v>
      </c>
    </row>
    <row r="50" spans="1:7" s="250" customFormat="1">
      <c r="A50" s="247" t="s">
        <v>1555</v>
      </c>
      <c r="B50" s="202" t="s">
        <v>1556</v>
      </c>
      <c r="C50" s="224"/>
      <c r="D50" s="224"/>
      <c r="E50" s="224"/>
      <c r="F50" s="256">
        <f>IF('数据-取费表'!B24=0,'数据-取费表'!N16,1)</f>
        <v>0.8</v>
      </c>
      <c r="G50" s="239"/>
    </row>
    <row r="51" spans="1:7" ht="16.5" customHeight="1">
      <c r="A51" s="247" t="s">
        <v>1558</v>
      </c>
      <c r="B51" s="202" t="s">
        <v>1593</v>
      </c>
      <c r="C51" s="224">
        <f ca="1">ROUND(C49*F50,0)</f>
        <v>138942138</v>
      </c>
      <c r="D51" s="224"/>
      <c r="E51" s="224"/>
      <c r="F51" s="256"/>
      <c r="G51" s="226" t="s">
        <v>1560</v>
      </c>
    </row>
    <row r="52" spans="1:7" s="200" customFormat="1" ht="16.8" thickBot="1">
      <c r="A52" s="257" t="s">
        <v>1561</v>
      </c>
      <c r="B52" s="258"/>
      <c r="C52" s="259">
        <f ca="1">C31+C51</f>
        <v>148985757</v>
      </c>
      <c r="D52" s="258"/>
      <c r="E52" s="258"/>
      <c r="F52" s="258"/>
      <c r="G52" s="260"/>
    </row>
    <row r="55" spans="1:7" ht="15">
      <c r="B55" s="262" t="s">
        <v>1562</v>
      </c>
      <c r="C55" s="263"/>
    </row>
    <row r="56" spans="1:7">
      <c r="B56" s="265" t="s">
        <v>802</v>
      </c>
      <c r="C56" s="267">
        <f ca="1">1-C57</f>
        <v>6.6999999999999948E-2</v>
      </c>
    </row>
    <row r="57" spans="1:7">
      <c r="B57" s="265" t="s">
        <v>803</v>
      </c>
      <c r="C57" s="266">
        <f ca="1">ROUND(C51/C52,3)</f>
        <v>0.93300000000000005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09"/>
      <c r="D1" s="1108"/>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17457.32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17457.32</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5"/>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7"/>
      <c r="I19" s="761"/>
      <c r="J19" s="761"/>
      <c r="K19" s="762"/>
    </row>
    <row r="20" spans="1:33" s="755" customFormat="1" ht="13.5" customHeight="1">
      <c r="A20" s="752" t="s">
        <v>361</v>
      </c>
      <c r="B20" s="753" t="s">
        <v>1627</v>
      </c>
      <c r="C20" s="21">
        <f ca="1">ROUND(D20*E20/10000,0)</f>
        <v>349</v>
      </c>
      <c r="D20" s="796">
        <f ca="1">IF(C1="",'数据-汇总表'!E6,IF(INDIRECT("'数据-取费表'!c"&amp;$K$1)="住宅",INDIRECT("'数据-取费表'!s"&amp;$K$1),INDIRECT("'数据-取费表'!k"&amp;$K$1)+INDIRECT("'数据-取费表'!s"&amp;$K$1)))</f>
        <v>17457.32</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2.5000000000000001E-2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2.5000000000000001E-2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zoomScale="70" zoomScaleNormal="70" zoomScaleSheetLayoutView="70" workbookViewId="0">
      <selection activeCell="J49" sqref="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3"/>
      <c r="C1" s="1286" t="s">
        <v>3408</v>
      </c>
      <c r="D1" s="1270" t="s">
        <v>43</v>
      </c>
      <c r="E1" s="1271" t="s">
        <v>678</v>
      </c>
      <c r="F1" s="999">
        <f ca="1">J53</f>
        <v>24.29</v>
      </c>
      <c r="G1" s="1285">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f ca="1">C40+J29+L46</f>
        <v>54401</v>
      </c>
      <c r="C2" s="1288" t="s">
        <v>805</v>
      </c>
      <c r="D2" s="1288"/>
      <c r="E2" s="1294"/>
      <c r="F2" s="1295"/>
      <c r="G2" s="2478"/>
      <c r="H2" s="2468"/>
      <c r="I2" s="2468"/>
      <c r="J2" s="2468"/>
      <c r="K2" s="2469"/>
      <c r="L2" s="2468"/>
      <c r="M2" s="2468"/>
    </row>
    <row r="3" spans="1:37" ht="18" customHeight="1" thickBot="1">
      <c r="A3" s="1296" t="s">
        <v>806</v>
      </c>
      <c r="B3" s="1297">
        <f ca="1">IF(ISERROR(B2*10000/F43),0,ROUND(B2*10000/F43,0))</f>
        <v>31162</v>
      </c>
      <c r="C3" s="1288" t="s">
        <v>807</v>
      </c>
      <c r="D3" s="1288"/>
      <c r="E3" s="1294"/>
      <c r="F3" s="1295"/>
      <c r="G3" s="2478"/>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4153</v>
      </c>
      <c r="D5" s="1272" t="s">
        <v>693</v>
      </c>
      <c r="E5" s="1008"/>
      <c r="F5" s="1009"/>
      <c r="G5" s="1291"/>
      <c r="H5" s="291">
        <v>1</v>
      </c>
      <c r="I5" s="292" t="s">
        <v>692</v>
      </c>
      <c r="J5" s="1007">
        <f ca="1">J6+J10+J12</f>
        <v>0</v>
      </c>
      <c r="K5" s="1272" t="s">
        <v>693</v>
      </c>
      <c r="L5" s="1008"/>
      <c r="M5" s="1009"/>
    </row>
    <row r="6" spans="1:37" ht="18" customHeight="1">
      <c r="A6" s="1006" t="s">
        <v>398</v>
      </c>
      <c r="B6" s="3403" t="s">
        <v>694</v>
      </c>
      <c r="C6" s="1011">
        <f ca="1">ROUND(F6*F8*F7*(1-F9)/10000,0)</f>
        <v>4148</v>
      </c>
      <c r="D6" s="147" t="s">
        <v>2109</v>
      </c>
      <c r="E6" s="294" t="s">
        <v>696</v>
      </c>
      <c r="F6" s="295">
        <f ca="1">INDIRECT("'数据-取费表'!u"&amp;$G$1)</f>
        <v>7</v>
      </c>
      <c r="G6" s="1291"/>
      <c r="H6" s="1006" t="s">
        <v>398</v>
      </c>
      <c r="I6" s="3403" t="s">
        <v>694</v>
      </c>
      <c r="J6" s="293">
        <f ca="1">ROUND(M6*M8*M7*(1-M9)/10000,0)</f>
        <v>0</v>
      </c>
      <c r="K6" s="147" t="s">
        <v>2108</v>
      </c>
      <c r="L6" s="294" t="s">
        <v>696</v>
      </c>
      <c r="M6" s="295">
        <f ca="1">INDIRECT("'数据-取费表'!z"&amp;$G$1)</f>
        <v>0</v>
      </c>
    </row>
    <row r="7" spans="1:37" ht="18" customHeight="1">
      <c r="A7" s="1010"/>
      <c r="B7" s="3404"/>
      <c r="C7" s="1012"/>
      <c r="D7" s="299"/>
      <c r="E7" s="1013" t="s">
        <v>697</v>
      </c>
      <c r="F7" s="295">
        <f ca="1">IF(INDIRECT("'数据-取费表'!ah"&amp;$G$1)="",INDIRECT("'数据-取费表'!k"&amp;$G$1),INDIRECT("'数据-取费表'!ah"&amp;$G$1))</f>
        <v>17457.32</v>
      </c>
      <c r="G7" s="1291"/>
      <c r="H7" s="296"/>
      <c r="I7" s="3404"/>
      <c r="J7" s="298"/>
      <c r="K7" s="299"/>
      <c r="L7" s="294" t="s">
        <v>697</v>
      </c>
      <c r="M7" s="295">
        <f ca="1">F7</f>
        <v>17457.32</v>
      </c>
    </row>
    <row r="8" spans="1:37" ht="18" customHeight="1">
      <c r="A8" s="296"/>
      <c r="B8" s="3404"/>
      <c r="C8" s="298"/>
      <c r="D8" s="299"/>
      <c r="E8" s="294" t="s">
        <v>698</v>
      </c>
      <c r="F8" s="295">
        <f ca="1">INDIRECT("'数据-取费表'!ai"&amp;$G$1)</f>
        <v>365</v>
      </c>
      <c r="G8" s="1291"/>
      <c r="H8" s="296"/>
      <c r="I8" s="3404"/>
      <c r="J8" s="298"/>
      <c r="K8" s="299"/>
      <c r="L8" s="294" t="s">
        <v>698</v>
      </c>
      <c r="M8" s="295">
        <f ca="1">INDIRECT("'数据-取费表'!ai"&amp;$G$1)</f>
        <v>365</v>
      </c>
    </row>
    <row r="9" spans="1:37" ht="18" customHeight="1">
      <c r="A9" s="296"/>
      <c r="B9" s="3405"/>
      <c r="C9" s="298"/>
      <c r="D9" s="299"/>
      <c r="E9" s="294" t="s">
        <v>699</v>
      </c>
      <c r="F9" s="304">
        <f ca="1">INDIRECT("'数据-取费表'!w"&amp;$G$1)</f>
        <v>7.0000000000000007E-2</v>
      </c>
      <c r="G9" s="1291"/>
      <c r="H9" s="296"/>
      <c r="I9" s="3405"/>
      <c r="J9" s="298"/>
      <c r="K9" s="299"/>
      <c r="L9" s="305" t="s">
        <v>699</v>
      </c>
      <c r="M9" s="306">
        <f ca="1">INDIRECT("'数据-取费表'!ab"&amp;$G$1)</f>
        <v>0</v>
      </c>
    </row>
    <row r="10" spans="1:37" ht="18" customHeight="1">
      <c r="A10" s="1006" t="s">
        <v>402</v>
      </c>
      <c r="B10" s="1273" t="s">
        <v>700</v>
      </c>
      <c r="C10" s="308">
        <f ca="1">ROUND(IF(F10="押一",C6/12*F11,IF(F10="押二",C6/12*2*F11,IF(F10="押三",C6/12*3*F11,C11*F11))),0)</f>
        <v>5</v>
      </c>
      <c r="D10" s="150" t="s">
        <v>2117</v>
      </c>
      <c r="E10" s="305" t="s">
        <v>701</v>
      </c>
      <c r="F10" s="1053" t="s">
        <v>3426</v>
      </c>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13893</v>
      </c>
      <c r="D13" s="1018" t="s">
        <v>705</v>
      </c>
      <c r="E13" s="1018" t="s">
        <v>706</v>
      </c>
      <c r="F13" s="1019">
        <f ca="1">INDIRECT("'数据-取费表'!y"&amp;$G$1)</f>
        <v>0.8</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11347</v>
      </c>
      <c r="D14" s="1256" t="s">
        <v>708</v>
      </c>
      <c r="E14" s="1254"/>
      <c r="F14" s="311"/>
      <c r="G14" s="1291"/>
      <c r="H14" s="928" t="s">
        <v>398</v>
      </c>
      <c r="I14" s="294" t="s">
        <v>709</v>
      </c>
      <c r="J14" s="21">
        <f ca="1">C29</f>
        <v>17366</v>
      </c>
      <c r="K14" s="12"/>
      <c r="L14" s="759"/>
      <c r="M14" s="760"/>
    </row>
    <row r="15" spans="1:37" s="1303" customFormat="1" ht="18" customHeight="1" thickBot="1">
      <c r="A15" s="928" t="s">
        <v>399</v>
      </c>
      <c r="B15" s="294" t="s">
        <v>710</v>
      </c>
      <c r="C15" s="21">
        <f ca="1">ROUND(C14*F15,0)</f>
        <v>567</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94</v>
      </c>
      <c r="K16" s="1024" t="s">
        <v>715</v>
      </c>
      <c r="L16" s="1025"/>
      <c r="M16" s="1009"/>
    </row>
    <row r="17" spans="1:37" s="1303" customFormat="1" ht="18" customHeight="1">
      <c r="A17" s="928" t="s">
        <v>681</v>
      </c>
      <c r="B17" s="294" t="s">
        <v>716</v>
      </c>
      <c r="C17" s="21">
        <f ca="1">ROUND(F17*(F43+INDIRECT("'数据-取费表'!S"&amp;$G$1))/10000,0)</f>
        <v>349</v>
      </c>
      <c r="D17" s="294" t="s">
        <v>717</v>
      </c>
      <c r="E17" s="294" t="s">
        <v>718</v>
      </c>
      <c r="F17" s="23">
        <f>'数据-取费表'!B35</f>
        <v>200</v>
      </c>
      <c r="G17" s="1302"/>
      <c r="H17" s="928" t="s">
        <v>398</v>
      </c>
      <c r="I17" s="294" t="s">
        <v>719</v>
      </c>
      <c r="J17" s="2139">
        <f ca="1">ROUND(IF(AND(项目基本情况!B11="自然人",项目基本情况!B10="北京市"),J6*M17/(1+'数据-取费表'!C42),J18+J19+J20),2)</f>
        <v>6.95</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227</v>
      </c>
      <c r="D18" s="294" t="s">
        <v>711</v>
      </c>
      <c r="E18" s="294" t="s">
        <v>712</v>
      </c>
      <c r="F18" s="314">
        <f>'数据-取费表'!B36</f>
        <v>0.02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12490</v>
      </c>
      <c r="D19" s="123" t="s">
        <v>726</v>
      </c>
      <c r="E19" s="1268"/>
      <c r="F19" s="23"/>
      <c r="G19" s="1291"/>
      <c r="H19" s="928" t="s">
        <v>399</v>
      </c>
      <c r="I19" s="294" t="s">
        <v>727</v>
      </c>
      <c r="J19" s="21">
        <f ca="1">IF(K19="按租金收入计税",ROUND(J6*M19/(1+'数据-取费表'!C42),2),ROUND(C29*M19*0.7,2))</f>
        <v>0</v>
      </c>
      <c r="K19" s="1277" t="s">
        <v>3336</v>
      </c>
      <c r="L19" s="294" t="s">
        <v>712</v>
      </c>
      <c r="M19" s="314">
        <f>IF(K19="按租金收入计税",'数据-取费表'!B51,'数据-取费表'!B50)</f>
        <v>0.12</v>
      </c>
    </row>
    <row r="20" spans="1:37" s="1303" customFormat="1" ht="18" customHeight="1">
      <c r="A20" s="928" t="s">
        <v>402</v>
      </c>
      <c r="B20" s="294" t="s">
        <v>728</v>
      </c>
      <c r="C20" s="21">
        <f ca="1">ROUND(C19*F20,0)</f>
        <v>312</v>
      </c>
      <c r="D20" s="315" t="s">
        <v>729</v>
      </c>
      <c r="E20" s="294" t="s">
        <v>712</v>
      </c>
      <c r="F20" s="314">
        <f>'数据-取费表'!B37</f>
        <v>2.5000000000000001E-2</v>
      </c>
      <c r="G20" s="1302"/>
      <c r="H20" s="928" t="s">
        <v>680</v>
      </c>
      <c r="I20" s="147" t="s">
        <v>730</v>
      </c>
      <c r="J20" s="22">
        <f ca="1">ROUND(M20*M21/10000,2)</f>
        <v>6.95</v>
      </c>
      <c r="K20" s="316" t="s">
        <v>731</v>
      </c>
      <c r="L20" s="294" t="s">
        <v>732</v>
      </c>
      <c r="M20" s="317">
        <f>'数据-取费表'!B52</f>
        <v>18</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2.5000000000000001E-2</v>
      </c>
      <c r="G21" s="1302"/>
      <c r="H21" s="318"/>
      <c r="I21" s="303"/>
      <c r="J21" s="26"/>
      <c r="K21" s="319"/>
      <c r="L21" s="294" t="s">
        <v>736</v>
      </c>
      <c r="M21" s="295">
        <f ca="1">INDIRECT("'数据-取费表'!r"&amp;$G$1)</f>
        <v>3862.4</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ROUND(J14*M22,2)</f>
        <v>86.83</v>
      </c>
      <c r="K22" s="1255" t="s">
        <v>739</v>
      </c>
      <c r="L22" s="294" t="s">
        <v>712</v>
      </c>
      <c r="M22" s="320">
        <f ca="1">INDIRECT("'数据-取费表'!Ak"&amp;$G$1)</f>
        <v>5.0000000000000001E-3</v>
      </c>
    </row>
    <row r="23" spans="1:37" s="1303" customFormat="1" ht="18" customHeight="1">
      <c r="A23" s="928" t="s">
        <v>397</v>
      </c>
      <c r="B23" s="294" t="s">
        <v>740</v>
      </c>
      <c r="C23" s="21">
        <f ca="1">IF('数据-取费表'!B22&lt;=1,ROUND(C19*F24*F23/2,0)+ROUND(C20*F24*F23/2,0),ROUND(C19*(POWER((1+F24),F23/2)-1),0)+ROUND(C20*(POWER((1+F24),F23/2)-1),0))</f>
        <v>538</v>
      </c>
      <c r="D23" s="138" t="str">
        <f>IF(F23&lt;=1,"(建造成本+管理费用)×利率×(建设周期÷2)","(建造成本+管理费用)×((1+利率)^(建设周期÷2)-1)")</f>
        <v>(建造成本+管理费用)×((1+利率)^(建设周期÷2)-1)</v>
      </c>
      <c r="E23" s="294" t="s">
        <v>741</v>
      </c>
      <c r="F23" s="317">
        <f>'数据-取费表'!B20</f>
        <v>2.5</v>
      </c>
      <c r="G23" s="1302"/>
      <c r="H23" s="928"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1.1000000000000001E-3</v>
      </c>
      <c r="D24" s="138" t="str">
        <f>IF(F23&lt;=1,"销售费用×利率×(建设周期÷2)","销售费用×((1+利率)^(建设周期÷2)-1)")</f>
        <v>销售费用×((1+利率)^(建设周期÷2)-1)</v>
      </c>
      <c r="E24" s="294" t="s">
        <v>747</v>
      </c>
      <c r="F24" s="322">
        <f ca="1">'数据-取费表'!B40</f>
        <v>3.3500000000000002E-2</v>
      </c>
      <c r="G24" s="1302"/>
      <c r="H24" s="1026" t="s">
        <v>684</v>
      </c>
      <c r="I24" s="1027" t="s">
        <v>728</v>
      </c>
      <c r="J24" s="1028">
        <f ca="1">ROUND(J5*M24,2)</f>
        <v>0</v>
      </c>
      <c r="K24" s="1029" t="s">
        <v>748</v>
      </c>
      <c r="L24" s="1027" t="s">
        <v>744</v>
      </c>
      <c r="M24" s="1023">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-94</v>
      </c>
      <c r="K25" s="1032" t="s">
        <v>753</v>
      </c>
      <c r="L25" s="1033"/>
      <c r="M25" s="1034"/>
    </row>
    <row r="26" spans="1:37">
      <c r="A26" s="928" t="s">
        <v>397</v>
      </c>
      <c r="B26" s="294" t="s">
        <v>754</v>
      </c>
      <c r="C26" s="21">
        <f ca="1">ROUND((C19+C20)*F26,0)</f>
        <v>2560</v>
      </c>
      <c r="D26" s="315" t="s">
        <v>755</v>
      </c>
      <c r="E26" s="305" t="s">
        <v>756</v>
      </c>
      <c r="F26" s="304">
        <f ca="1">INDIRECT("'数据-取费表'!q"&amp;$G$1)</f>
        <v>0.2</v>
      </c>
      <c r="G26" s="1291"/>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5.0000000000000001E-3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17366</v>
      </c>
      <c r="D29" s="1029"/>
      <c r="E29" s="1027"/>
      <c r="F29" s="1030"/>
      <c r="G29" s="1302"/>
      <c r="H29" s="325" t="s">
        <v>396</v>
      </c>
      <c r="I29" s="326" t="s">
        <v>768</v>
      </c>
      <c r="J29" s="327">
        <f ca="1">ROUND(J26/(1+F40)^F41,0)</f>
        <v>0</v>
      </c>
      <c r="K29" s="328" t="s">
        <v>769</v>
      </c>
      <c r="L29" s="329"/>
      <c r="M29" s="330">
        <f ca="1">INDIRECT("'数据-取费表'!k"&amp;$G$1)</f>
        <v>17457.32</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824</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ROUND(IF(AND(项目基本情况!B11="自然人",项目基本情况!B10="北京市"),C6*F31/(1+'数据-取费表'!C42),C32+C33+C34),2)</f>
        <v>702.24</v>
      </c>
      <c r="D31" s="1256" t="s">
        <v>720</v>
      </c>
      <c r="E31" s="1255" t="s">
        <v>770</v>
      </c>
      <c r="F31" s="2138" t="str">
        <f>IF(项目基本情况!B11="企业","——",IF(M47="住宅",IF(F6*F7*F8/12/(1+'数据-取费表'!F30)&gt;100000,4%,2.5%),IF(F6*F7*F8/12/(1+'数据-取费表'!F30)&gt;100000,12%,7%)))</f>
        <v>——</v>
      </c>
      <c r="G31" s="1291"/>
      <c r="H31" s="2569" t="s">
        <v>2306</v>
      </c>
      <c r="I31" s="1304"/>
      <c r="J31" s="1305"/>
      <c r="K31" s="121"/>
      <c r="L31" s="2471"/>
      <c r="M31" s="2472"/>
    </row>
    <row r="32" spans="1:37" ht="18" customHeight="1">
      <c r="A32" s="928" t="s">
        <v>397</v>
      </c>
      <c r="B32" s="294" t="s">
        <v>723</v>
      </c>
      <c r="C32" s="21">
        <f ca="1">IF(项目基本情况!B11="自然人","——",ROUND(C6*F32/(1+'数据-取费表'!C42),2))</f>
        <v>221.23</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474.06</v>
      </c>
      <c r="D33" s="1277" t="s">
        <v>3336</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f ca="1">IF(项目基本情况!B11="自然人","——",ROUND(F34*F35/10000,2))</f>
        <v>6.95</v>
      </c>
      <c r="D34" s="316" t="s">
        <v>731</v>
      </c>
      <c r="E34" s="294" t="s">
        <v>732</v>
      </c>
      <c r="F34" s="317">
        <f>'数据-取费表'!B52</f>
        <v>18</v>
      </c>
      <c r="G34" s="1291"/>
      <c r="H34" s="2470"/>
      <c r="I34" s="1304"/>
      <c r="J34" s="1305"/>
      <c r="K34" s="2475"/>
      <c r="L34" s="2476"/>
      <c r="M34" s="2476"/>
    </row>
    <row r="35" spans="1:18" ht="18" customHeight="1">
      <c r="A35" s="1040"/>
      <c r="B35" s="1038"/>
      <c r="C35" s="26"/>
      <c r="D35" s="319"/>
      <c r="E35" s="294" t="s">
        <v>736</v>
      </c>
      <c r="F35" s="295">
        <f ca="1">INDIRECT("'数据-取费表'!r"&amp;$G$1)</f>
        <v>3862.4</v>
      </c>
      <c r="G35" s="1291"/>
      <c r="H35" s="2470"/>
      <c r="I35" s="1304"/>
      <c r="J35" s="1305"/>
      <c r="K35" s="2474"/>
      <c r="L35" s="2473"/>
      <c r="M35" s="2473"/>
    </row>
    <row r="36" spans="1:18" ht="18" customHeight="1">
      <c r="A36" s="1039" t="s">
        <v>402</v>
      </c>
      <c r="B36" s="294" t="s">
        <v>738</v>
      </c>
      <c r="C36" s="21">
        <f ca="1">ROUND(C29*F36,2)</f>
        <v>86.83</v>
      </c>
      <c r="D36" s="1255" t="s">
        <v>771</v>
      </c>
      <c r="E36" s="294" t="s">
        <v>712</v>
      </c>
      <c r="F36" s="320">
        <f ca="1">INDIRECT("'数据-取费表'!Ak"&amp;$G$1)</f>
        <v>5.0000000000000001E-3</v>
      </c>
      <c r="G36" s="1291"/>
      <c r="H36" s="2473"/>
      <c r="I36" s="1304"/>
      <c r="J36" s="1305"/>
      <c r="K36" s="2330"/>
      <c r="L36" s="2473"/>
      <c r="M36" s="2473"/>
    </row>
    <row r="37" spans="1:18" ht="18" customHeight="1">
      <c r="A37" s="928" t="s">
        <v>437</v>
      </c>
      <c r="B37" s="294" t="s">
        <v>742</v>
      </c>
      <c r="C37" s="21">
        <f ca="1">ROUND(C13*F37,2)</f>
        <v>13.89</v>
      </c>
      <c r="D37" s="1255" t="s">
        <v>743</v>
      </c>
      <c r="E37" s="294" t="s">
        <v>744</v>
      </c>
      <c r="F37" s="321">
        <f ca="1">INDIRECT("'数据-取费表'!Al"&amp;$G$1)</f>
        <v>1E-3</v>
      </c>
      <c r="G37" s="1291"/>
      <c r="H37" s="2473"/>
      <c r="I37" s="1304"/>
      <c r="J37" s="1305"/>
      <c r="K37" s="2330"/>
      <c r="L37" s="2473"/>
      <c r="M37" s="2473"/>
    </row>
    <row r="38" spans="1:18" ht="18" customHeight="1" thickBot="1">
      <c r="A38" s="1026" t="s">
        <v>684</v>
      </c>
      <c r="B38" s="1027" t="s">
        <v>728</v>
      </c>
      <c r="C38" s="1028">
        <f ca="1">ROUND(C5*F38,2)</f>
        <v>20.77</v>
      </c>
      <c r="D38" s="1029" t="s">
        <v>748</v>
      </c>
      <c r="E38" s="1027" t="s">
        <v>744</v>
      </c>
      <c r="F38" s="1023">
        <f ca="1">INDIRECT("'数据-取费表'!Am"&amp;$G$1)</f>
        <v>5.0000000000000001E-3</v>
      </c>
      <c r="G38" s="1291"/>
      <c r="H38" s="2473"/>
      <c r="I38" s="1304"/>
      <c r="J38" s="1305"/>
      <c r="K38" s="2471"/>
      <c r="L38" s="2473"/>
      <c r="M38" s="2473"/>
    </row>
    <row r="39" spans="1:18" ht="24.6" customHeight="1" thickTop="1">
      <c r="A39" s="1016" t="s">
        <v>394</v>
      </c>
      <c r="B39" s="1031" t="s">
        <v>772</v>
      </c>
      <c r="C39" s="302">
        <f ca="1">C5-C30</f>
        <v>3329</v>
      </c>
      <c r="D39" s="1032" t="s">
        <v>773</v>
      </c>
      <c r="E39" s="1033"/>
      <c r="F39" s="1034"/>
      <c r="G39" s="1291"/>
      <c r="H39" s="2473"/>
      <c r="I39" s="1304">
        <f ca="1">C39/C5</f>
        <v>0.80158921261738503</v>
      </c>
      <c r="J39" s="1305"/>
      <c r="K39" s="2471"/>
      <c r="L39" s="2473"/>
      <c r="M39" s="2473"/>
    </row>
    <row r="40" spans="1:18" ht="18" customHeight="1">
      <c r="A40" s="291" t="s">
        <v>395</v>
      </c>
      <c r="B40" s="292" t="s">
        <v>774</v>
      </c>
      <c r="C40" s="293">
        <f ca="1">ROUND(C39*(1-((1+F42)/(1+F40))^F41)/(F40-F42),0)</f>
        <v>53202</v>
      </c>
      <c r="D40" s="316" t="s">
        <v>758</v>
      </c>
      <c r="E40" s="294" t="s">
        <v>759</v>
      </c>
      <c r="F40" s="304">
        <f ca="1">INDIRECT("'数据-取费表'!I"&amp;$G$1)</f>
        <v>5.5E-2</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24.29</v>
      </c>
      <c r="G41" s="1291"/>
      <c r="H41" s="121"/>
      <c r="I41" s="1304"/>
      <c r="J41" s="1305"/>
      <c r="K41" s="2330"/>
      <c r="L41" s="121"/>
      <c r="M41" s="121"/>
    </row>
    <row r="42" spans="1:18" ht="18" customHeight="1">
      <c r="A42" s="300"/>
      <c r="B42" s="301"/>
      <c r="C42" s="302"/>
      <c r="D42" s="319"/>
      <c r="E42" s="294" t="s">
        <v>766</v>
      </c>
      <c r="F42" s="304">
        <f ca="1">INDIRECT("'数据-取费表'!v"&amp;$G$1)</f>
        <v>0.02</v>
      </c>
      <c r="G42" s="1291"/>
      <c r="H42" s="121"/>
      <c r="I42" s="1304"/>
      <c r="J42" s="1305"/>
      <c r="K42" s="2330"/>
      <c r="L42" s="121"/>
      <c r="M42" s="121"/>
    </row>
    <row r="43" spans="1:18" ht="18" customHeight="1" thickBot="1">
      <c r="A43" s="325" t="s">
        <v>396</v>
      </c>
      <c r="B43" s="326" t="s">
        <v>776</v>
      </c>
      <c r="C43" s="327">
        <f ca="1">ROUND(C40*10000/F43,0)</f>
        <v>30475</v>
      </c>
      <c r="D43" s="328" t="s">
        <v>777</v>
      </c>
      <c r="E43" s="329" t="s">
        <v>778</v>
      </c>
      <c r="F43" s="330">
        <f ca="1">INDIRECT("'数据-取费表'!k"&amp;$G$1)</f>
        <v>17457.32</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7" t="s">
        <v>808</v>
      </c>
      <c r="P45" s="1365"/>
      <c r="Q45" s="1365"/>
      <c r="R45" s="1365"/>
    </row>
    <row r="46" spans="1:18" s="1291" customFormat="1" ht="13.8" thickBot="1">
      <c r="A46" s="1310" t="s">
        <v>809</v>
      </c>
      <c r="C46" s="1311">
        <f ca="1">C68-C40</f>
        <v>-54631</v>
      </c>
      <c r="D46" s="1312" t="str">
        <f>C2</f>
        <v>万元</v>
      </c>
      <c r="E46" s="1306"/>
      <c r="F46" s="1306"/>
      <c r="I46" s="1313" t="s">
        <v>810</v>
      </c>
      <c r="J46" s="1314"/>
      <c r="K46" s="1315"/>
      <c r="L46" s="1316">
        <f ca="1">IF(M47="住宅",0,IF(L48&gt;J51,L60,J60))</f>
        <v>1199</v>
      </c>
      <c r="O46" s="1317" t="s">
        <v>811</v>
      </c>
      <c r="P46" s="1318" t="s">
        <v>812</v>
      </c>
      <c r="Q46" s="1319" t="s">
        <v>813</v>
      </c>
      <c r="R46" s="1319" t="s">
        <v>814</v>
      </c>
    </row>
    <row r="47" spans="1:18" s="1291" customFormat="1" ht="13.8" thickBot="1">
      <c r="A47" s="892" t="s">
        <v>687</v>
      </c>
      <c r="B47" s="924" t="s">
        <v>688</v>
      </c>
      <c r="C47" s="1054" t="s">
        <v>689</v>
      </c>
      <c r="D47" s="924" t="s">
        <v>690</v>
      </c>
      <c r="E47" s="995" t="s">
        <v>691</v>
      </c>
      <c r="F47" s="996"/>
      <c r="G47" s="681"/>
      <c r="I47" s="1320" t="s">
        <v>815</v>
      </c>
      <c r="J47" s="1321" t="s">
        <v>3427</v>
      </c>
      <c r="K47" s="1322" t="s">
        <v>816</v>
      </c>
      <c r="L47" s="1323">
        <f ca="1">INDIRECT("'数据-取费表'!d"&amp;$G$1)</f>
        <v>50</v>
      </c>
      <c r="M47" s="1287" t="str">
        <f>IF(ISNUMBER(FIND("住宅",C1)),"住宅","非住宅")</f>
        <v>非住宅</v>
      </c>
      <c r="O47" s="1324" t="s">
        <v>403</v>
      </c>
      <c r="P47" s="1325" t="s">
        <v>817</v>
      </c>
      <c r="Q47" s="1326">
        <f ca="1">C40+J29</f>
        <v>53202</v>
      </c>
      <c r="R47" s="1326" t="s">
        <v>818</v>
      </c>
    </row>
    <row r="48" spans="1:18" s="1291" customFormat="1" ht="40.200000000000003" thickBot="1">
      <c r="A48" s="1047" t="s">
        <v>438</v>
      </c>
      <c r="B48" s="292" t="s">
        <v>692</v>
      </c>
      <c r="C48" s="1267">
        <f ca="1">C49+C53+C55</f>
        <v>0</v>
      </c>
      <c r="D48" s="1049"/>
      <c r="E48" s="1050"/>
      <c r="F48" s="908"/>
      <c r="G48" s="681"/>
      <c r="H48" s="682"/>
      <c r="I48" s="1327" t="s">
        <v>819</v>
      </c>
      <c r="J48" s="1328" t="s">
        <v>3428</v>
      </c>
      <c r="K48" s="1329" t="s">
        <v>820</v>
      </c>
      <c r="L48" s="1330">
        <f ca="1">INDIRECT("'数据-取费表'!f"&amp;$G$1)</f>
        <v>24.29</v>
      </c>
      <c r="O48" s="1324" t="s">
        <v>404</v>
      </c>
      <c r="P48" s="1325" t="s">
        <v>821</v>
      </c>
      <c r="Q48" s="1326">
        <f ca="1">J60</f>
        <v>1199</v>
      </c>
      <c r="R48" s="1326" t="s">
        <v>822</v>
      </c>
    </row>
    <row r="49" spans="1:18" s="1291" customFormat="1" ht="13.8" thickBot="1">
      <c r="A49" s="921" t="s">
        <v>439</v>
      </c>
      <c r="B49" s="1278" t="s">
        <v>779</v>
      </c>
      <c r="C49" s="1051">
        <f ca="1">ROUND(F49*F51*F50*(1-F52)/10000,0)</f>
        <v>0</v>
      </c>
      <c r="D49" s="992" t="s">
        <v>2110</v>
      </c>
      <c r="E49" s="1279" t="s">
        <v>780</v>
      </c>
      <c r="F49" s="997"/>
      <c r="H49" s="682"/>
      <c r="I49" s="1327" t="s">
        <v>823</v>
      </c>
      <c r="J49" s="1331">
        <v>1998</v>
      </c>
      <c r="K49" s="1329" t="s">
        <v>824</v>
      </c>
      <c r="L49" s="1332"/>
      <c r="O49" s="1333" t="s">
        <v>405</v>
      </c>
      <c r="P49" s="1325" t="s">
        <v>825</v>
      </c>
      <c r="Q49" s="1326">
        <f ca="1">C29</f>
        <v>17366</v>
      </c>
      <c r="R49" s="1326" t="s">
        <v>818</v>
      </c>
    </row>
    <row r="50" spans="1:18" s="1291" customFormat="1" ht="13.8" thickBot="1">
      <c r="A50" s="922"/>
      <c r="B50" s="925"/>
      <c r="C50" s="1055"/>
      <c r="D50" s="899"/>
      <c r="E50" s="993" t="s">
        <v>697</v>
      </c>
      <c r="F50" s="994">
        <f ca="1">F7</f>
        <v>17457.32</v>
      </c>
      <c r="H50" s="682"/>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3"/>
      <c r="B51" s="925"/>
      <c r="C51" s="926"/>
      <c r="D51" s="899"/>
      <c r="E51" s="927" t="s">
        <v>698</v>
      </c>
      <c r="F51" s="295">
        <f ca="1">F8</f>
        <v>365</v>
      </c>
      <c r="I51" s="1337" t="s">
        <v>829</v>
      </c>
      <c r="J51" s="1330">
        <f>IF(J49="",J50,J49+J50-YEAR('数据-取费表'!B2))</f>
        <v>34</v>
      </c>
      <c r="K51" s="1338" t="s">
        <v>830</v>
      </c>
      <c r="L51" s="1339">
        <f ca="1">ROUND(-PV(INDIRECT("'数据-取费表'!h"&amp;$G$1),J51,(C39-C13*C76),0),0)</f>
        <v>38158</v>
      </c>
      <c r="M51" s="1340"/>
      <c r="O51" s="1333" t="s">
        <v>407</v>
      </c>
      <c r="P51" s="1325" t="s">
        <v>831</v>
      </c>
      <c r="Q51" s="1336">
        <f>J52</f>
        <v>7.4999999999999997E-2</v>
      </c>
      <c r="R51" s="1326"/>
    </row>
    <row r="52" spans="1:18" s="1291" customFormat="1" ht="13.8" thickBot="1">
      <c r="A52" s="923"/>
      <c r="B52" s="925"/>
      <c r="C52" s="926"/>
      <c r="D52" s="899"/>
      <c r="E52" s="927" t="s">
        <v>699</v>
      </c>
      <c r="F52" s="991"/>
      <c r="I52" s="1341" t="s">
        <v>832</v>
      </c>
      <c r="J52" s="1342">
        <v>7.4999999999999997E-2</v>
      </c>
      <c r="K52" s="1341" t="s">
        <v>833</v>
      </c>
      <c r="L52" s="1342"/>
      <c r="O52" s="1333" t="s">
        <v>408</v>
      </c>
      <c r="P52" s="1325" t="s">
        <v>834</v>
      </c>
      <c r="Q52" s="1326">
        <f ca="1">J53</f>
        <v>24.29</v>
      </c>
      <c r="R52" s="1326" t="s">
        <v>835</v>
      </c>
    </row>
    <row r="53" spans="1:18" s="1291" customFormat="1" ht="36.6" thickBot="1">
      <c r="A53" s="1079"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24.29</v>
      </c>
      <c r="K53" s="3401" t="s">
        <v>837</v>
      </c>
      <c r="L53" s="3402"/>
      <c r="O53" s="1324" t="s">
        <v>409</v>
      </c>
      <c r="P53" s="1325" t="s">
        <v>838</v>
      </c>
      <c r="Q53" s="1326">
        <f ca="1">Q47+Q48</f>
        <v>54401</v>
      </c>
      <c r="R53" s="1326" t="s">
        <v>410</v>
      </c>
    </row>
    <row r="54" spans="1:18" s="1291" customFormat="1" ht="24.6"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20" t="s">
        <v>437</v>
      </c>
      <c r="B55" s="1276" t="s">
        <v>703</v>
      </c>
      <c r="C55" s="1021"/>
      <c r="D55" s="150"/>
      <c r="E55" s="1281"/>
      <c r="F55" s="1344"/>
      <c r="I55" s="1347" t="s">
        <v>840</v>
      </c>
      <c r="J55" s="1348">
        <f ca="1">ROUND(IF(J47="钢混",J57/J50,1-(1-2%)*(J50-J57)/J50),3)</f>
        <v>0.16200000000000001</v>
      </c>
      <c r="K55" s="1349" t="s">
        <v>841</v>
      </c>
      <c r="L55" s="1350"/>
      <c r="O55" s="1317" t="s">
        <v>811</v>
      </c>
      <c r="P55" s="1318" t="s">
        <v>812</v>
      </c>
      <c r="Q55" s="1319" t="s">
        <v>813</v>
      </c>
      <c r="R55" s="1319" t="s">
        <v>814</v>
      </c>
    </row>
    <row r="56" spans="1:18" s="1291" customFormat="1" ht="37.200000000000003" thickTop="1" thickBot="1">
      <c r="A56" s="903">
        <v>2</v>
      </c>
      <c r="B56" s="904" t="s">
        <v>704</v>
      </c>
      <c r="C56" s="224">
        <f ca="1">C13</f>
        <v>13893</v>
      </c>
      <c r="D56" s="1351"/>
      <c r="E56" s="1352"/>
      <c r="F56" s="1344"/>
      <c r="I56" s="1353" t="s">
        <v>842</v>
      </c>
      <c r="J56" s="1354" t="s">
        <v>3429</v>
      </c>
      <c r="K56" s="1327" t="s">
        <v>843</v>
      </c>
      <c r="L56" s="1330" t="str">
        <f ca="1">IF(L48&lt;J51,"——",L48-J53)</f>
        <v>——</v>
      </c>
      <c r="O56" s="1324" t="s">
        <v>403</v>
      </c>
      <c r="P56" s="1325" t="s">
        <v>817</v>
      </c>
      <c r="Q56" s="1326">
        <f ca="1">C40+J29</f>
        <v>53202</v>
      </c>
      <c r="R56" s="1326" t="s">
        <v>818</v>
      </c>
    </row>
    <row r="57" spans="1:18" s="1291" customFormat="1" ht="24.6" thickBot="1">
      <c r="A57" s="1355"/>
      <c r="B57" s="896" t="s">
        <v>767</v>
      </c>
      <c r="C57" s="230">
        <f ca="1">C29</f>
        <v>17366</v>
      </c>
      <c r="D57" s="1356"/>
      <c r="E57" s="1357"/>
      <c r="F57" s="1358"/>
      <c r="I57" s="1359" t="s">
        <v>844</v>
      </c>
      <c r="J57" s="1360">
        <f ca="1">IF(OR(M47="住宅",J51&lt;L48,J56="是"),"——",J51-L48)</f>
        <v>9.7100000000000009</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4" t="s">
        <v>714</v>
      </c>
      <c r="C58" s="308">
        <f ca="1">ROUND(C59+C64+C65+C66,0)</f>
        <v>108</v>
      </c>
      <c r="D58" s="906" t="s">
        <v>715</v>
      </c>
      <c r="E58" s="907"/>
      <c r="F58" s="908"/>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8" t="s">
        <v>398</v>
      </c>
      <c r="B59" s="896" t="s">
        <v>719</v>
      </c>
      <c r="C59" s="2139">
        <f ca="1">ROUND(IF(AND(项目基本情况!B11="自然人",项目基本情况!B10="北京市"),C49*F59/(1+'数据-取费表'!C42),C60+C61+C62),0)</f>
        <v>7</v>
      </c>
      <c r="D59" s="909" t="s">
        <v>720</v>
      </c>
      <c r="E59" s="910" t="s">
        <v>721</v>
      </c>
      <c r="F59" s="2138" t="str">
        <f>IF(项目基本情况!B11="企业","——",IF('数据-取费表'!B10="住宅",IF(F49*F50*F51/12/(1+'数据-取费表'!F30)&gt;100000,4%,2.5%),IF(F49*F50*F51/12/(1+'数据-取费表'!F30)&gt;100000,12%,7%)))</f>
        <v>——</v>
      </c>
      <c r="I59" s="1359" t="s">
        <v>851</v>
      </c>
      <c r="J59" s="1360">
        <f ca="1">IF(OR(M47="住宅",J51&lt;L48,J56="是"),"——",ROUND(C29*J58,0))</f>
        <v>6946</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2" t="s">
        <v>853</v>
      </c>
      <c r="J60" s="1363">
        <f ca="1">IF(OR(M47="住宅",J51&lt;L48,J56="是"),"0",ROUND(J59/(1+J52)^J53,0))</f>
        <v>1199</v>
      </c>
      <c r="K60" s="1364" t="s">
        <v>854</v>
      </c>
      <c r="L60" s="1363">
        <f ca="1">IF(OR(M47="住宅",L48&lt;J51),0,ROUND(L57*(L58/L59-1),0))</f>
        <v>0</v>
      </c>
      <c r="O60" s="1333" t="s">
        <v>407</v>
      </c>
      <c r="P60" s="1325" t="s">
        <v>855</v>
      </c>
      <c r="Q60" s="1326" t="e">
        <f ca="1">L58</f>
        <v>#DIV/0!</v>
      </c>
      <c r="R60" s="1326" t="s">
        <v>856</v>
      </c>
    </row>
    <row r="61" spans="1:18" s="1291" customFormat="1" ht="13.8" thickBot="1">
      <c r="A61" s="928" t="s">
        <v>781</v>
      </c>
      <c r="B61" s="896" t="s">
        <v>782</v>
      </c>
      <c r="C61" s="21">
        <f ca="1">IF(项目基本情况!B11="自然人","——",IF(D61="按租金收入计税",ROUND(C49*F61/(1+'数据-取费表'!C42),2),IF(D61="按房产原值计税",ROUND(C57*F61*0.7,2),INDIRECT("'数据-取费表'!Aj"&amp;$G$1))))</f>
        <v>0</v>
      </c>
      <c r="D61" s="1277" t="s">
        <v>3336</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8" t="s">
        <v>784</v>
      </c>
      <c r="B62" s="895" t="s">
        <v>785</v>
      </c>
      <c r="C62" s="22">
        <f ca="1">IF(项目基本情况!B11="自然人","——",ROUND(F62*F63/10000,2))</f>
        <v>6.95</v>
      </c>
      <c r="D62" s="911" t="s">
        <v>786</v>
      </c>
      <c r="E62" s="896" t="s">
        <v>787</v>
      </c>
      <c r="F62" s="317">
        <f t="shared" si="0"/>
        <v>18</v>
      </c>
      <c r="I62" s="1366" t="s">
        <v>858</v>
      </c>
      <c r="J62" s="610" t="s">
        <v>859</v>
      </c>
      <c r="K62" s="610" t="s">
        <v>860</v>
      </c>
      <c r="L62" s="610" t="s">
        <v>861</v>
      </c>
      <c r="M62" s="1367" t="s">
        <v>862</v>
      </c>
      <c r="O62" s="1324" t="s">
        <v>409</v>
      </c>
      <c r="P62" s="1325" t="s">
        <v>863</v>
      </c>
      <c r="Q62" s="1326">
        <f ca="1">Q56+Q57</f>
        <v>53202</v>
      </c>
      <c r="R62" s="1326" t="s">
        <v>410</v>
      </c>
    </row>
    <row r="63" spans="1:18" s="1291" customFormat="1" ht="13.8" thickBot="1">
      <c r="A63" s="318"/>
      <c r="B63" s="902"/>
      <c r="C63" s="26"/>
      <c r="D63" s="912"/>
      <c r="E63" s="896" t="s">
        <v>788</v>
      </c>
      <c r="F63" s="295">
        <f t="shared" ca="1" si="0"/>
        <v>3862.4</v>
      </c>
      <c r="I63" s="1366" t="s">
        <v>864</v>
      </c>
      <c r="J63" s="610">
        <v>70</v>
      </c>
      <c r="K63" s="610">
        <v>50</v>
      </c>
      <c r="L63" s="610">
        <v>80</v>
      </c>
      <c r="M63" s="1368">
        <v>0.02</v>
      </c>
      <c r="O63" s="1309" t="s">
        <v>865</v>
      </c>
      <c r="P63" s="1288"/>
      <c r="Q63" s="1288"/>
      <c r="R63" s="1288"/>
    </row>
    <row r="64" spans="1:18" s="1291" customFormat="1" ht="13.8" thickBot="1">
      <c r="A64" s="928" t="s">
        <v>789</v>
      </c>
      <c r="B64" s="896" t="s">
        <v>790</v>
      </c>
      <c r="C64" s="21">
        <f ca="1">ROUND(C57*F64,2)</f>
        <v>86.83</v>
      </c>
      <c r="D64" s="910" t="s">
        <v>791</v>
      </c>
      <c r="E64" s="896"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8" t="s">
        <v>792</v>
      </c>
      <c r="B65" s="896" t="s">
        <v>742</v>
      </c>
      <c r="C65" s="21">
        <f ca="1">ROUND(C56*F65,2)</f>
        <v>13.89</v>
      </c>
      <c r="D65" s="910" t="s">
        <v>743</v>
      </c>
      <c r="E65" s="896" t="s">
        <v>744</v>
      </c>
      <c r="F65" s="321">
        <f t="shared" ca="1" si="0"/>
        <v>1E-3</v>
      </c>
      <c r="I65" s="1366" t="s">
        <v>867</v>
      </c>
      <c r="J65" s="610">
        <v>40</v>
      </c>
      <c r="K65" s="610">
        <v>30</v>
      </c>
      <c r="L65" s="610">
        <v>50</v>
      </c>
      <c r="M65" s="1368">
        <v>0.02</v>
      </c>
      <c r="O65" s="1324" t="s">
        <v>403</v>
      </c>
      <c r="P65" s="1325" t="s">
        <v>868</v>
      </c>
      <c r="Q65" s="1326">
        <f ca="1">C40+J29</f>
        <v>53202</v>
      </c>
      <c r="R65" s="1326" t="s">
        <v>818</v>
      </c>
    </row>
    <row r="66" spans="1:18" s="1291" customFormat="1" ht="16.2" thickBot="1">
      <c r="A66" s="928" t="s">
        <v>793</v>
      </c>
      <c r="B66" s="896" t="s">
        <v>728</v>
      </c>
      <c r="C66" s="21">
        <f ca="1">ROUND(C48*F66,2)</f>
        <v>0</v>
      </c>
      <c r="D66" s="910" t="s">
        <v>794</v>
      </c>
      <c r="E66" s="896" t="s">
        <v>712</v>
      </c>
      <c r="F66" s="304">
        <f t="shared" ca="1" si="0"/>
        <v>5.0000000000000001E-3</v>
      </c>
      <c r="O66" s="1324" t="s">
        <v>404</v>
      </c>
      <c r="P66" s="1325" t="s">
        <v>846</v>
      </c>
      <c r="Q66" s="1326">
        <f ca="1">L60</f>
        <v>0</v>
      </c>
      <c r="R66" s="1326" t="s">
        <v>869</v>
      </c>
    </row>
    <row r="67" spans="1:18" s="1291" customFormat="1" ht="24.6" thickBot="1">
      <c r="A67" s="903" t="s">
        <v>394</v>
      </c>
      <c r="B67" s="913" t="s">
        <v>752</v>
      </c>
      <c r="C67" s="308">
        <f ca="1">C48-C58</f>
        <v>-108</v>
      </c>
      <c r="D67" s="909" t="s">
        <v>753</v>
      </c>
      <c r="E67" s="914"/>
      <c r="F67" s="915"/>
      <c r="O67" s="1333" t="s">
        <v>405</v>
      </c>
      <c r="P67" s="1325" t="s">
        <v>850</v>
      </c>
      <c r="Q67" s="1369">
        <f ca="1">L51</f>
        <v>38158</v>
      </c>
      <c r="R67" s="1326" t="s">
        <v>870</v>
      </c>
    </row>
    <row r="68" spans="1:18" s="1291" customFormat="1" ht="16.2" thickBot="1">
      <c r="A68" s="893" t="s">
        <v>395</v>
      </c>
      <c r="B68" s="894" t="s">
        <v>774</v>
      </c>
      <c r="C68" s="293">
        <f ca="1">ROUND(C67*(1-((1+F70)/(1+F68))^F69)/(F68-F70),0)</f>
        <v>-1429</v>
      </c>
      <c r="D68" s="911" t="s">
        <v>758</v>
      </c>
      <c r="E68" s="896" t="s">
        <v>759</v>
      </c>
      <c r="F68" s="304">
        <f ca="1">F40</f>
        <v>5.5E-2</v>
      </c>
      <c r="O68" s="1333" t="s">
        <v>406</v>
      </c>
      <c r="P68" s="1370" t="s">
        <v>871</v>
      </c>
      <c r="Q68" s="1326">
        <f ca="1">ROUND(Q69-Q70*Q71,0)</f>
        <v>2356</v>
      </c>
      <c r="R68" s="1326" t="s">
        <v>414</v>
      </c>
    </row>
    <row r="69" spans="1:18" s="1291" customFormat="1" ht="13.8" thickBot="1">
      <c r="A69" s="897"/>
      <c r="B69" s="898"/>
      <c r="C69" s="298"/>
      <c r="D69" s="916" t="s">
        <v>762</v>
      </c>
      <c r="E69" s="896" t="s">
        <v>763</v>
      </c>
      <c r="F69" s="324">
        <f ca="1">F41</f>
        <v>24.29</v>
      </c>
      <c r="O69" s="1333" t="s">
        <v>411</v>
      </c>
      <c r="P69" s="1370" t="s">
        <v>872</v>
      </c>
      <c r="Q69" s="1326">
        <f ca="1">C39</f>
        <v>3329</v>
      </c>
      <c r="R69" s="1326" t="s">
        <v>818</v>
      </c>
    </row>
    <row r="70" spans="1:18" s="1291" customFormat="1" ht="13.8" thickBot="1">
      <c r="A70" s="900"/>
      <c r="B70" s="901"/>
      <c r="C70" s="302"/>
      <c r="D70" s="912"/>
      <c r="E70" s="896" t="s">
        <v>766</v>
      </c>
      <c r="F70" s="991"/>
      <c r="O70" s="1333" t="s">
        <v>412</v>
      </c>
      <c r="P70" s="1370" t="s">
        <v>873</v>
      </c>
      <c r="Q70" s="1326">
        <f ca="1">C13</f>
        <v>13893</v>
      </c>
      <c r="R70" s="1326" t="s">
        <v>818</v>
      </c>
    </row>
    <row r="71" spans="1:18" s="1291" customFormat="1" ht="13.8" thickBot="1">
      <c r="A71" s="917" t="s">
        <v>396</v>
      </c>
      <c r="B71" s="918" t="s">
        <v>776</v>
      </c>
      <c r="C71" s="327">
        <f ca="1">ROUND(C68*10000/F71,0)</f>
        <v>-819</v>
      </c>
      <c r="D71" s="919" t="s">
        <v>777</v>
      </c>
      <c r="E71" s="920" t="s">
        <v>778</v>
      </c>
      <c r="F71" s="330">
        <f ca="1">F43</f>
        <v>17457.32</v>
      </c>
      <c r="O71" s="1333" t="s">
        <v>413</v>
      </c>
      <c r="P71" s="1370" t="s">
        <v>874</v>
      </c>
      <c r="Q71" s="1336">
        <f ca="1">C76</f>
        <v>7.0000000000000007E-2</v>
      </c>
      <c r="R71" s="1326"/>
    </row>
    <row r="72" spans="1:18" s="1291" customFormat="1" ht="13.8" thickBot="1">
      <c r="B72" s="685"/>
      <c r="C72" s="685"/>
      <c r="O72" s="1333" t="s">
        <v>407</v>
      </c>
      <c r="P72" s="1325" t="s">
        <v>852</v>
      </c>
      <c r="Q72" s="1336">
        <f>L52</f>
        <v>0</v>
      </c>
      <c r="R72" s="1326"/>
    </row>
    <row r="73" spans="1:18" ht="16.2" thickBot="1">
      <c r="A73" s="1291"/>
      <c r="B73" s="685"/>
      <c r="C73" s="685"/>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973</v>
      </c>
      <c r="D75" s="1291"/>
      <c r="E75" s="1291"/>
      <c r="F75" s="1291"/>
      <c r="K75" s="1308"/>
      <c r="L75" s="1291"/>
      <c r="O75" s="1324" t="s">
        <v>409</v>
      </c>
      <c r="P75" s="1325" t="s">
        <v>838</v>
      </c>
      <c r="Q75" s="1326">
        <f ca="1">Q65+Q66</f>
        <v>53202</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0.70799999999999996</v>
      </c>
    </row>
    <row r="80" spans="1:18">
      <c r="B80" s="331" t="s">
        <v>800</v>
      </c>
      <c r="C80" s="266">
        <f ca="1">ROUND(C75/C39,3)</f>
        <v>0.29199999999999998</v>
      </c>
    </row>
    <row r="81" spans="2:3">
      <c r="B81" s="262" t="s">
        <v>801</v>
      </c>
      <c r="C81" s="230"/>
    </row>
    <row r="82" spans="2:3">
      <c r="B82" s="265" t="s">
        <v>802</v>
      </c>
      <c r="C82" s="267">
        <f ca="1">1-C83</f>
        <v>0.73899999999999999</v>
      </c>
    </row>
    <row r="83" spans="2:3">
      <c r="B83" s="265" t="s">
        <v>803</v>
      </c>
      <c r="C83" s="266">
        <f ca="1">ROUND(C13/C40,3)</f>
        <v>0.26100000000000001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J11">
    <cfRule type="expression" dxfId="114" priority="2">
      <formula>$M$10="自定义"</formula>
    </cfRule>
  </conditionalFormatting>
  <conditionalFormatting sqref="K55 K60">
    <cfRule type="expression" dxfId="113" priority="56">
      <formula>$L$48&gt;$J$51</formula>
    </cfRule>
  </conditionalFormatting>
  <dataValidations count="9">
    <dataValidation type="list" allowBlank="1" showInputMessage="1" showErrorMessage="1" sqref="K19" xr:uid="{00000000-0002-0000-1800-000000000000}">
      <formula1>"按租金收入计税,按房产原值计税"</formula1>
    </dataValidation>
    <dataValidation type="list" allowBlank="1" showInputMessage="1" showErrorMessage="1" sqref="D33 D61" xr:uid="{00000000-0002-0000-1800-000001000000}">
      <formula1>"按租金收入计税,按房产原值计税,按票据"</formula1>
    </dataValidation>
    <dataValidation type="list" allowBlank="1" showInputMessage="1" showErrorMessage="1" sqref="C1" xr:uid="{00000000-0002-0000-1800-000002000000}">
      <formula1>项目类型</formula1>
    </dataValidation>
    <dataValidation type="list" allowBlank="1" showInputMessage="1" showErrorMessage="1" sqref="J47" xr:uid="{00000000-0002-0000-1800-000003000000}">
      <formula1>"钢,钢混,砖混"</formula1>
    </dataValidation>
    <dataValidation type="list" allowBlank="1" showInputMessage="1" showErrorMessage="1" sqref="J48" xr:uid="{00000000-0002-0000-1800-000004000000}">
      <formula1>"非生产用房,生产用房,受腐蚀的生产用房"</formula1>
    </dataValidation>
    <dataValidation type="list" allowBlank="1" showInputMessage="1" showErrorMessage="1" sqref="J56" xr:uid="{00000000-0002-0000-1800-000005000000}">
      <formula1>估价范围判定</formula1>
    </dataValidation>
    <dataValidation type="list" allowBlank="1" showInputMessage="1" showErrorMessage="1" sqref="L55" xr:uid="{00000000-0002-0000-1800-000006000000}">
      <formula1>"比较法,基准地价,收益还原"</formula1>
    </dataValidation>
    <dataValidation type="list" allowBlank="1" showInputMessage="1" showErrorMessage="1" sqref="M10 F10 F53"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H44" sqref="H44"/>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3"/>
      <c r="C1" s="1286"/>
      <c r="D1" s="1270" t="s">
        <v>43</v>
      </c>
      <c r="E1" s="1271" t="s">
        <v>678</v>
      </c>
      <c r="F1" s="999">
        <f ca="1">J53</f>
        <v>0</v>
      </c>
      <c r="G1" s="1285">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3" t="e">
        <f ca="1">ROUND(D2/10000,4)</f>
        <v>#DIV/0!</v>
      </c>
      <c r="C2" s="1288" t="s">
        <v>879</v>
      </c>
      <c r="D2" s="1374" t="e">
        <f ca="1">C40+J29+L46</f>
        <v>#DIV/0!</v>
      </c>
      <c r="E2" s="1294" t="s">
        <v>880</v>
      </c>
      <c r="F2" s="1295"/>
      <c r="G2" s="2478"/>
      <c r="H2" s="2468"/>
      <c r="I2" s="2468"/>
      <c r="J2" s="2468"/>
      <c r="K2" s="2469"/>
      <c r="L2" s="2468"/>
      <c r="M2" s="2468"/>
    </row>
    <row r="3" spans="1:37" ht="18" customHeight="1" thickBot="1">
      <c r="A3" s="1296" t="s">
        <v>881</v>
      </c>
      <c r="B3" s="1297">
        <f ca="1">IF(ISERROR(D2/F43),0,ROUND(D2/F43,0))</f>
        <v>0</v>
      </c>
      <c r="C3" s="1288" t="s">
        <v>882</v>
      </c>
      <c r="D3" s="1288"/>
      <c r="E3" s="1294"/>
      <c r="F3" s="1295"/>
      <c r="G3" s="2478"/>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0</v>
      </c>
      <c r="D5" s="1272" t="s">
        <v>889</v>
      </c>
      <c r="E5" s="1008"/>
      <c r="F5" s="1009"/>
      <c r="G5" s="1291"/>
      <c r="H5" s="291">
        <v>1</v>
      </c>
      <c r="I5" s="292" t="s">
        <v>888</v>
      </c>
      <c r="J5" s="1007">
        <f ca="1">J6+J10+J12</f>
        <v>0</v>
      </c>
      <c r="K5" s="1272" t="s">
        <v>889</v>
      </c>
      <c r="L5" s="1008"/>
      <c r="M5" s="1009"/>
    </row>
    <row r="6" spans="1:37" ht="18" customHeight="1">
      <c r="A6" s="1006" t="s">
        <v>398</v>
      </c>
      <c r="B6" s="3403" t="s">
        <v>694</v>
      </c>
      <c r="C6" s="1011">
        <f ca="1">ROUND(F6*F8*F7*(1-F9),0)</f>
        <v>0</v>
      </c>
      <c r="D6" s="147" t="s">
        <v>2106</v>
      </c>
      <c r="E6" s="294" t="s">
        <v>696</v>
      </c>
      <c r="F6" s="295">
        <f ca="1">INDIRECT("'数据-取费表'!u"&amp;$G$1)</f>
        <v>0</v>
      </c>
      <c r="G6" s="1291"/>
      <c r="H6" s="1006" t="s">
        <v>398</v>
      </c>
      <c r="I6" s="3403" t="s">
        <v>694</v>
      </c>
      <c r="J6" s="293">
        <f ca="1">ROUND(M6*M8*M7*(1-M9),0)</f>
        <v>0</v>
      </c>
      <c r="K6" s="1283" t="s">
        <v>2107</v>
      </c>
      <c r="L6" s="294" t="s">
        <v>696</v>
      </c>
      <c r="M6" s="295">
        <f ca="1">INDIRECT("'数据-取费表'!z"&amp;$G$1)</f>
        <v>0</v>
      </c>
    </row>
    <row r="7" spans="1:37" ht="18" customHeight="1">
      <c r="A7" s="1010"/>
      <c r="B7" s="3404"/>
      <c r="C7" s="1012"/>
      <c r="D7" s="299"/>
      <c r="E7" s="1013" t="s">
        <v>697</v>
      </c>
      <c r="F7" s="295">
        <f ca="1">IF(INDIRECT("'数据-取费表'!ah"&amp;$G$1)="",INDIRECT("'数据-取费表'!k"&amp;$G$1),INDIRECT("'数据-取费表'!ah"&amp;$G$1))</f>
        <v>0</v>
      </c>
      <c r="G7" s="1291"/>
      <c r="H7" s="296"/>
      <c r="I7" s="3404"/>
      <c r="J7" s="298"/>
      <c r="K7" s="299"/>
      <c r="L7" s="294" t="s">
        <v>697</v>
      </c>
      <c r="M7" s="295">
        <f ca="1">F7</f>
        <v>0</v>
      </c>
    </row>
    <row r="8" spans="1:37" ht="18" customHeight="1">
      <c r="A8" s="296"/>
      <c r="B8" s="3404"/>
      <c r="C8" s="298"/>
      <c r="D8" s="299"/>
      <c r="E8" s="294" t="s">
        <v>698</v>
      </c>
      <c r="F8" s="295">
        <f ca="1">INDIRECT("'数据-取费表'!ai"&amp;$G$1)</f>
        <v>0</v>
      </c>
      <c r="G8" s="1291"/>
      <c r="H8" s="296"/>
      <c r="I8" s="3404"/>
      <c r="J8" s="298"/>
      <c r="K8" s="299"/>
      <c r="L8" s="294" t="s">
        <v>698</v>
      </c>
      <c r="M8" s="295">
        <f ca="1">INDIRECT("'数据-取费表'!ai"&amp;$G$1)</f>
        <v>0</v>
      </c>
    </row>
    <row r="9" spans="1:37" ht="18" customHeight="1">
      <c r="A9" s="296"/>
      <c r="B9" s="3405"/>
      <c r="C9" s="298"/>
      <c r="D9" s="299"/>
      <c r="E9" s="294" t="s">
        <v>699</v>
      </c>
      <c r="F9" s="304">
        <f ca="1">INDIRECT("'数据-取费表'!w"&amp;$G$1)</f>
        <v>0</v>
      </c>
      <c r="G9" s="1291"/>
      <c r="H9" s="296"/>
      <c r="I9" s="3405"/>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2116</v>
      </c>
      <c r="E10" s="305" t="s">
        <v>701</v>
      </c>
      <c r="F10" s="1053"/>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ROUND(F17*(F43+INDIRECT("'数据-取费表'!S"&amp;$G$1)),0)</f>
        <v>0</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0.02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IF(K19="按租金收入计税",ROUND(J6*M19/(1+'数据-取费表'!C42),0),ROUND(C29*M19*0.7,0))</f>
        <v>0</v>
      </c>
      <c r="K19" s="1277" t="s">
        <v>3336</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2.5000000000000001E-2</v>
      </c>
      <c r="G20" s="1302"/>
      <c r="H20" s="928" t="s">
        <v>680</v>
      </c>
      <c r="I20" s="147" t="s">
        <v>730</v>
      </c>
      <c r="J20" s="22">
        <f ca="1">ROUND(M20*M21,0)</f>
        <v>0</v>
      </c>
      <c r="K20" s="316" t="s">
        <v>731</v>
      </c>
      <c r="L20" s="294" t="s">
        <v>732</v>
      </c>
      <c r="M20" s="317">
        <f>'数据-取费表'!B52</f>
        <v>18</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2.5000000000000001E-2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ROUND(J14*M22,0)</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2.5</v>
      </c>
      <c r="G23" s="1302"/>
      <c r="H23" s="928" t="s">
        <v>437</v>
      </c>
      <c r="I23" s="294" t="s">
        <v>742</v>
      </c>
      <c r="J23" s="21">
        <f ca="1">ROUND(J13*M23,0)</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1.1000000000000001E-3</v>
      </c>
      <c r="D24" s="138" t="str">
        <f>IF(F23&lt;=1,"销售费用×利率×(建设周期÷2)","销售费用×((1+利率)^(建设周期÷2)-1)")</f>
        <v>销售费用×((1+利率)^(建设周期÷2)-1)</v>
      </c>
      <c r="E24" s="294" t="s">
        <v>747</v>
      </c>
      <c r="F24" s="322">
        <f ca="1">'数据-取费表'!B40</f>
        <v>3.3500000000000002E-2</v>
      </c>
      <c r="G24" s="1302"/>
      <c r="H24" s="1026" t="s">
        <v>684</v>
      </c>
      <c r="I24" s="1027" t="s">
        <v>728</v>
      </c>
      <c r="J24" s="1028">
        <f ca="1">ROUND(J5*M24,0)</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9" t="s">
        <v>2306</v>
      </c>
      <c r="I31" s="1304"/>
      <c r="J31" s="1305"/>
      <c r="K31" s="121"/>
      <c r="L31" s="2471"/>
      <c r="M31" s="2472"/>
    </row>
    <row r="32" spans="1:37" ht="18" customHeight="1">
      <c r="A32" s="928" t="s">
        <v>397</v>
      </c>
      <c r="B32" s="294" t="s">
        <v>723</v>
      </c>
      <c r="C32" s="21">
        <f ca="1">IF(项目基本情况!B11="自然人","——",ROUND(C6*F32/(1+'数据-取费表'!C42),0))</f>
        <v>0</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7" t="s">
        <v>3336</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f ca="1">IF(项目基本情况!B11="自然人","——",ROUND(F34*F35,0))</f>
        <v>0</v>
      </c>
      <c r="D34" s="316" t="s">
        <v>731</v>
      </c>
      <c r="E34" s="294" t="s">
        <v>732</v>
      </c>
      <c r="F34" s="317">
        <f>'数据-取费表'!B52</f>
        <v>18</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ROUND(C29*F36,0)</f>
        <v>0</v>
      </c>
      <c r="D36" s="1255" t="s">
        <v>771</v>
      </c>
      <c r="E36" s="294" t="s">
        <v>712</v>
      </c>
      <c r="F36" s="320">
        <f ca="1">INDIRECT("'数据-取费表'!Ak"&amp;$G$1)</f>
        <v>0</v>
      </c>
      <c r="G36" s="1291"/>
      <c r="H36" s="2473"/>
      <c r="I36" s="1304"/>
      <c r="J36" s="1305"/>
      <c r="K36" s="2330"/>
      <c r="L36" s="2473"/>
      <c r="M36" s="2473"/>
    </row>
    <row r="37" spans="1:18" ht="18" customHeight="1">
      <c r="A37" s="928" t="s">
        <v>437</v>
      </c>
      <c r="B37" s="294" t="s">
        <v>742</v>
      </c>
      <c r="C37" s="21">
        <f ca="1">ROUND(C13*F37,0)</f>
        <v>0</v>
      </c>
      <c r="D37" s="1255" t="s">
        <v>743</v>
      </c>
      <c r="E37" s="294" t="s">
        <v>744</v>
      </c>
      <c r="F37" s="321">
        <f ca="1">INDIRECT("'数据-取费表'!Al"&amp;$G$1)</f>
        <v>0</v>
      </c>
      <c r="G37" s="1291"/>
      <c r="H37" s="2473"/>
      <c r="I37" s="1304"/>
      <c r="J37" s="1305"/>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1"/>
      <c r="H38" s="2473"/>
      <c r="I38" s="1304"/>
      <c r="J38" s="1305"/>
      <c r="K38" s="2471"/>
      <c r="L38" s="2473"/>
      <c r="M38" s="2473"/>
    </row>
    <row r="39" spans="1:18" ht="24.6" customHeight="1" thickTop="1">
      <c r="A39" s="1016" t="s">
        <v>394</v>
      </c>
      <c r="B39" s="1031" t="s">
        <v>772</v>
      </c>
      <c r="C39" s="302">
        <f ca="1">C5-C30</f>
        <v>0</v>
      </c>
      <c r="D39" s="1032" t="s">
        <v>773</v>
      </c>
      <c r="E39" s="1033"/>
      <c r="F39" s="1034"/>
      <c r="G39" s="1291"/>
      <c r="H39" s="2473"/>
      <c r="I39" s="1304"/>
      <c r="J39" s="1305"/>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9" t="s">
        <v>3352</v>
      </c>
      <c r="B45" s="1306"/>
      <c r="C45" s="1375" t="e">
        <f ca="1">ROUND((C68-C40)/10000,4)</f>
        <v>#DIV/0!</v>
      </c>
      <c r="D45" s="3130" t="s">
        <v>3353</v>
      </c>
      <c r="E45" s="1306"/>
      <c r="F45" s="1306"/>
      <c r="O45" s="1309" t="s">
        <v>808</v>
      </c>
      <c r="P45" s="1365"/>
      <c r="Q45" s="1365"/>
      <c r="R45" s="1365"/>
    </row>
    <row r="46" spans="1:18" s="1291" customFormat="1" ht="13.8"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8" thickBot="1">
      <c r="A47" s="892" t="s">
        <v>687</v>
      </c>
      <c r="B47" s="924" t="s">
        <v>688</v>
      </c>
      <c r="C47" s="92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40.200000000000003"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8" thickBot="1">
      <c r="A49" s="921" t="s">
        <v>439</v>
      </c>
      <c r="B49" s="1278" t="s">
        <v>779</v>
      </c>
      <c r="C49" s="1051">
        <f ca="1">ROUND(F49*F51*F50*(1-F52),0)</f>
        <v>0</v>
      </c>
      <c r="D49" s="992" t="s">
        <v>695</v>
      </c>
      <c r="E49" s="1279" t="s">
        <v>780</v>
      </c>
      <c r="F49" s="997"/>
      <c r="H49" s="682"/>
      <c r="I49" s="1327" t="s">
        <v>823</v>
      </c>
      <c r="J49" s="1331"/>
      <c r="K49" s="1329" t="s">
        <v>824</v>
      </c>
      <c r="L49" s="1332"/>
      <c r="O49" s="1333" t="s">
        <v>405</v>
      </c>
      <c r="P49" s="1325" t="s">
        <v>825</v>
      </c>
      <c r="Q49" s="1326">
        <f ca="1">C29</f>
        <v>0</v>
      </c>
      <c r="R49" s="1326" t="s">
        <v>818</v>
      </c>
    </row>
    <row r="50" spans="1:18" s="1291" customFormat="1" ht="13.8" thickBot="1">
      <c r="A50" s="922"/>
      <c r="B50" s="925"/>
      <c r="C50" s="926"/>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8"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8"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0</v>
      </c>
      <c r="K53" s="3401" t="s">
        <v>837</v>
      </c>
      <c r="L53" s="3402"/>
      <c r="O53" s="1324" t="s">
        <v>409</v>
      </c>
      <c r="P53" s="1325" t="s">
        <v>838</v>
      </c>
      <c r="Q53" s="1326" t="e">
        <f ca="1">Q47+Q48</f>
        <v>#DIV/0!</v>
      </c>
      <c r="R53" s="1326" t="s">
        <v>410</v>
      </c>
    </row>
    <row r="54" spans="1:18" s="1291" customFormat="1" ht="13.8"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8"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6" thickBot="1">
      <c r="A57" s="1355"/>
      <c r="B57" s="896" t="s">
        <v>767</v>
      </c>
      <c r="C57" s="230">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6" thickBot="1">
      <c r="A58" s="307" t="s">
        <v>393</v>
      </c>
      <c r="B58" s="904" t="s">
        <v>714</v>
      </c>
      <c r="C58" s="308">
        <f ca="1">ROUND(C59+C64+C65+C66,0)</f>
        <v>0</v>
      </c>
      <c r="D58" s="906" t="s">
        <v>715</v>
      </c>
      <c r="E58" s="907"/>
      <c r="F58" s="908"/>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8" thickBot="1">
      <c r="A61" s="928" t="s">
        <v>781</v>
      </c>
      <c r="B61" s="896" t="s">
        <v>782</v>
      </c>
      <c r="C61" s="21">
        <f ca="1">IF(项目基本情况!B11="自然人","——",IF(D61="按租金收入计税",ROUND(C49*F61/(1+'数据-取费表'!C42),0),IF(D61="按房产原值计税",ROUND(C57*F61*0.7,0),INDIRECT("'数据-取费表'!Aj"&amp;$G$1))))</f>
        <v>0</v>
      </c>
      <c r="D61" s="1277" t="s">
        <v>3336</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8" t="s">
        <v>784</v>
      </c>
      <c r="B62" s="895" t="s">
        <v>785</v>
      </c>
      <c r="C62" s="22">
        <f ca="1">IF(项目基本情况!B11="自然人","——",ROUND(F62*F63,0))</f>
        <v>0</v>
      </c>
      <c r="D62" s="911" t="s">
        <v>786</v>
      </c>
      <c r="E62" s="896" t="s">
        <v>787</v>
      </c>
      <c r="F62" s="317">
        <f t="shared" si="0"/>
        <v>18</v>
      </c>
      <c r="I62" s="1366" t="s">
        <v>858</v>
      </c>
      <c r="J62" s="610" t="s">
        <v>859</v>
      </c>
      <c r="K62" s="610" t="s">
        <v>860</v>
      </c>
      <c r="L62" s="610" t="s">
        <v>861</v>
      </c>
      <c r="M62" s="1367" t="s">
        <v>862</v>
      </c>
      <c r="O62" s="1324" t="s">
        <v>409</v>
      </c>
      <c r="P62" s="1325" t="s">
        <v>863</v>
      </c>
      <c r="Q62" s="1326" t="e">
        <f ca="1">Q56+Q57</f>
        <v>#DIV/0!</v>
      </c>
      <c r="R62" s="1326" t="s">
        <v>410</v>
      </c>
    </row>
    <row r="63" spans="1:18" s="1291" customFormat="1" ht="13.8"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8" t="s">
        <v>789</v>
      </c>
      <c r="B64" s="896" t="s">
        <v>790</v>
      </c>
      <c r="C64" s="21">
        <f ca="1">ROUND(C57*F64,0)</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8" thickBot="1">
      <c r="A65" s="928" t="s">
        <v>792</v>
      </c>
      <c r="B65" s="896" t="s">
        <v>742</v>
      </c>
      <c r="C65" s="21">
        <f ca="1">ROUND(C56*F65,0)</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2" thickBot="1">
      <c r="A66" s="928" t="s">
        <v>793</v>
      </c>
      <c r="B66" s="896" t="s">
        <v>728</v>
      </c>
      <c r="C66" s="21">
        <f ca="1">ROUND(C48*F66,0)</f>
        <v>0</v>
      </c>
      <c r="D66" s="910" t="s">
        <v>794</v>
      </c>
      <c r="E66" s="896" t="s">
        <v>712</v>
      </c>
      <c r="F66" s="304">
        <f t="shared" ca="1" si="0"/>
        <v>0</v>
      </c>
      <c r="O66" s="1324" t="s">
        <v>404</v>
      </c>
      <c r="P66" s="1325" t="s">
        <v>846</v>
      </c>
      <c r="Q66" s="1326" t="e">
        <f ca="1">L60</f>
        <v>#DIV/0!</v>
      </c>
      <c r="R66" s="1326" t="s">
        <v>869</v>
      </c>
    </row>
    <row r="67" spans="1:18" s="1291" customFormat="1" ht="24.6"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2"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8" thickBot="1">
      <c r="A69" s="897"/>
      <c r="B69" s="898"/>
      <c r="C69" s="298"/>
      <c r="D69" s="916" t="s">
        <v>762</v>
      </c>
      <c r="E69" s="896" t="s">
        <v>763</v>
      </c>
      <c r="F69" s="324">
        <f ca="1">F41</f>
        <v>0</v>
      </c>
      <c r="O69" s="1333" t="s">
        <v>411</v>
      </c>
      <c r="P69" s="1370" t="s">
        <v>872</v>
      </c>
      <c r="Q69" s="1326">
        <f ca="1">C39</f>
        <v>0</v>
      </c>
      <c r="R69" s="1326" t="s">
        <v>818</v>
      </c>
    </row>
    <row r="70" spans="1:18" s="1291" customFormat="1" ht="13.8" thickBot="1">
      <c r="A70" s="900"/>
      <c r="B70" s="901"/>
      <c r="C70" s="302"/>
      <c r="D70" s="912"/>
      <c r="E70" s="896" t="s">
        <v>766</v>
      </c>
      <c r="F70" s="991"/>
      <c r="O70" s="1333" t="s">
        <v>412</v>
      </c>
      <c r="P70" s="1370" t="s">
        <v>873</v>
      </c>
      <c r="Q70" s="1326">
        <f ca="1">C13</f>
        <v>0</v>
      </c>
      <c r="R70" s="1326" t="s">
        <v>818</v>
      </c>
    </row>
    <row r="71" spans="1:18" s="1291" customFormat="1" ht="13.8" thickBot="1">
      <c r="A71" s="917" t="s">
        <v>396</v>
      </c>
      <c r="B71" s="918" t="s">
        <v>776</v>
      </c>
      <c r="C71" s="327" t="e">
        <f ca="1">ROUND(C68/F71,0)</f>
        <v>#DIV/0!</v>
      </c>
      <c r="D71" s="919" t="s">
        <v>777</v>
      </c>
      <c r="E71" s="920" t="s">
        <v>778</v>
      </c>
      <c r="F71" s="330">
        <f ca="1">F43</f>
        <v>0</v>
      </c>
      <c r="O71" s="1333" t="s">
        <v>413</v>
      </c>
      <c r="P71" s="1370" t="s">
        <v>874</v>
      </c>
      <c r="Q71" s="1336">
        <f ca="1">C76</f>
        <v>0</v>
      </c>
      <c r="R71" s="1326"/>
    </row>
    <row r="72" spans="1:18" s="1291" customFormat="1" ht="13.8" thickBot="1">
      <c r="B72" s="685"/>
      <c r="C72" s="685"/>
      <c r="O72" s="1333" t="s">
        <v>407</v>
      </c>
      <c r="P72" s="1325" t="s">
        <v>852</v>
      </c>
      <c r="Q72" s="1336">
        <f>L52</f>
        <v>0</v>
      </c>
      <c r="R72" s="1326"/>
    </row>
    <row r="73" spans="1:18" ht="16.2" thickBot="1">
      <c r="A73" s="1291"/>
      <c r="B73" s="685"/>
      <c r="C73" s="685"/>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2" priority="3">
      <formula>$F$10="自定义"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J11">
    <cfRule type="expression" dxfId="109" priority="2">
      <formula>$M$10="自定义"</formula>
    </cfRule>
  </conditionalFormatting>
  <conditionalFormatting sqref="K55 K60">
    <cfRule type="expression" dxfId="108" priority="4">
      <formula>$L$48&gt;$J$51</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H44" sqref="H44"/>
    </sheetView>
  </sheetViews>
  <sheetFormatPr defaultRowHeight="13.2" customHeight="1"/>
  <cols>
    <col min="1" max="1" width="9.44140625" style="2593" customWidth="1"/>
    <col min="2" max="2" width="8.88671875" style="2593"/>
    <col min="3" max="5" width="12.88671875" style="2593" customWidth="1"/>
    <col min="6" max="6" width="47.44140625" style="2593" customWidth="1"/>
    <col min="7" max="7" width="13" style="2587" customWidth="1"/>
    <col min="8" max="8" width="8.88671875" style="2587"/>
    <col min="9" max="9" width="8.88671875" style="2588"/>
    <col min="10" max="10" width="5.77734375" style="2747" customWidth="1"/>
    <col min="11" max="11" width="11.77734375" style="2747" customWidth="1"/>
    <col min="12" max="13" width="10.77734375" style="2747" customWidth="1"/>
    <col min="14" max="14" width="10" style="2747" customWidth="1"/>
    <col min="15" max="16" width="10.44140625" style="2747" bestFit="1" customWidth="1"/>
    <col min="17" max="17" width="10" style="2747" customWidth="1"/>
    <col min="18" max="18" width="10.109375" style="2747" customWidth="1"/>
    <col min="19" max="19" width="10" style="2747" customWidth="1"/>
    <col min="20" max="20" width="26.109375" style="2747" customWidth="1"/>
    <col min="21" max="21" width="8.88671875" style="2747"/>
    <col min="22" max="22" width="8.88671875" style="2588"/>
    <col min="23" max="256" width="8.88671875" style="2593"/>
    <col min="257" max="257" width="9.44140625" style="2593" customWidth="1"/>
    <col min="258" max="258" width="8.88671875" style="2593"/>
    <col min="259" max="261" width="12.88671875" style="2593" customWidth="1"/>
    <col min="262" max="262" width="47.44140625" style="2593" customWidth="1"/>
    <col min="263" max="263" width="13" style="2593" customWidth="1"/>
    <col min="264" max="265" width="8.88671875" style="2593"/>
    <col min="266" max="266" width="5.77734375" style="2593" customWidth="1"/>
    <col min="267" max="267" width="11.77734375" style="2593" customWidth="1"/>
    <col min="268" max="269" width="10.77734375" style="2593" customWidth="1"/>
    <col min="270" max="270" width="10" style="2593" customWidth="1"/>
    <col min="271" max="272" width="10.44140625" style="2593" bestFit="1" customWidth="1"/>
    <col min="273" max="273" width="10" style="2593" customWidth="1"/>
    <col min="274" max="274" width="10.109375" style="2593" customWidth="1"/>
    <col min="275" max="275" width="10" style="2593" customWidth="1"/>
    <col min="276" max="276" width="26.109375" style="2593" customWidth="1"/>
    <col min="277" max="512" width="8.88671875" style="2593"/>
    <col min="513" max="513" width="9.44140625" style="2593" customWidth="1"/>
    <col min="514" max="514" width="8.88671875" style="2593"/>
    <col min="515" max="517" width="12.88671875" style="2593" customWidth="1"/>
    <col min="518" max="518" width="47.44140625" style="2593" customWidth="1"/>
    <col min="519" max="519" width="13" style="2593" customWidth="1"/>
    <col min="520" max="521" width="8.88671875" style="2593"/>
    <col min="522" max="522" width="5.77734375" style="2593" customWidth="1"/>
    <col min="523" max="523" width="11.77734375" style="2593" customWidth="1"/>
    <col min="524" max="525" width="10.77734375" style="2593" customWidth="1"/>
    <col min="526" max="526" width="10" style="2593" customWidth="1"/>
    <col min="527" max="528" width="10.44140625" style="2593" bestFit="1" customWidth="1"/>
    <col min="529" max="529" width="10" style="2593" customWidth="1"/>
    <col min="530" max="530" width="10.109375" style="2593" customWidth="1"/>
    <col min="531" max="531" width="10" style="2593" customWidth="1"/>
    <col min="532" max="532" width="26.109375" style="2593" customWidth="1"/>
    <col min="533" max="768" width="8.88671875" style="2593"/>
    <col min="769" max="769" width="9.44140625" style="2593" customWidth="1"/>
    <col min="770" max="770" width="8.88671875" style="2593"/>
    <col min="771" max="773" width="12.88671875" style="2593" customWidth="1"/>
    <col min="774" max="774" width="47.44140625" style="2593" customWidth="1"/>
    <col min="775" max="775" width="13" style="2593" customWidth="1"/>
    <col min="776" max="777" width="8.88671875" style="2593"/>
    <col min="778" max="778" width="5.77734375" style="2593" customWidth="1"/>
    <col min="779" max="779" width="11.77734375" style="2593" customWidth="1"/>
    <col min="780" max="781" width="10.77734375" style="2593" customWidth="1"/>
    <col min="782" max="782" width="10" style="2593" customWidth="1"/>
    <col min="783" max="784" width="10.44140625" style="2593" bestFit="1" customWidth="1"/>
    <col min="785" max="785" width="10" style="2593" customWidth="1"/>
    <col min="786" max="786" width="10.109375" style="2593" customWidth="1"/>
    <col min="787" max="787" width="10" style="2593" customWidth="1"/>
    <col min="788" max="788" width="26.109375" style="2593" customWidth="1"/>
    <col min="789" max="1024" width="8.88671875" style="2593"/>
    <col min="1025" max="1025" width="9.44140625" style="2593" customWidth="1"/>
    <col min="1026" max="1026" width="8.88671875" style="2593"/>
    <col min="1027" max="1029" width="12.88671875" style="2593" customWidth="1"/>
    <col min="1030" max="1030" width="47.44140625" style="2593" customWidth="1"/>
    <col min="1031" max="1031" width="13" style="2593" customWidth="1"/>
    <col min="1032" max="1033" width="8.88671875" style="2593"/>
    <col min="1034" max="1034" width="5.77734375" style="2593" customWidth="1"/>
    <col min="1035" max="1035" width="11.77734375" style="2593" customWidth="1"/>
    <col min="1036" max="1037" width="10.77734375" style="2593" customWidth="1"/>
    <col min="1038" max="1038" width="10" style="2593" customWidth="1"/>
    <col min="1039" max="1040" width="10.44140625" style="2593" bestFit="1" customWidth="1"/>
    <col min="1041" max="1041" width="10" style="2593" customWidth="1"/>
    <col min="1042" max="1042" width="10.109375" style="2593" customWidth="1"/>
    <col min="1043" max="1043" width="10" style="2593" customWidth="1"/>
    <col min="1044" max="1044" width="26.109375" style="2593" customWidth="1"/>
    <col min="1045" max="1280" width="8.88671875" style="2593"/>
    <col min="1281" max="1281" width="9.44140625" style="2593" customWidth="1"/>
    <col min="1282" max="1282" width="8.88671875" style="2593"/>
    <col min="1283" max="1285" width="12.88671875" style="2593" customWidth="1"/>
    <col min="1286" max="1286" width="47.44140625" style="2593" customWidth="1"/>
    <col min="1287" max="1287" width="13" style="2593" customWidth="1"/>
    <col min="1288" max="1289" width="8.88671875" style="2593"/>
    <col min="1290" max="1290" width="5.77734375" style="2593" customWidth="1"/>
    <col min="1291" max="1291" width="11.77734375" style="2593" customWidth="1"/>
    <col min="1292" max="1293" width="10.77734375" style="2593" customWidth="1"/>
    <col min="1294" max="1294" width="10" style="2593" customWidth="1"/>
    <col min="1295" max="1296" width="10.44140625" style="2593" bestFit="1" customWidth="1"/>
    <col min="1297" max="1297" width="10" style="2593" customWidth="1"/>
    <col min="1298" max="1298" width="10.109375" style="2593" customWidth="1"/>
    <col min="1299" max="1299" width="10" style="2593" customWidth="1"/>
    <col min="1300" max="1300" width="26.109375" style="2593" customWidth="1"/>
    <col min="1301" max="1536" width="8.88671875" style="2593"/>
    <col min="1537" max="1537" width="9.44140625" style="2593" customWidth="1"/>
    <col min="1538" max="1538" width="8.88671875" style="2593"/>
    <col min="1539" max="1541" width="12.88671875" style="2593" customWidth="1"/>
    <col min="1542" max="1542" width="47.44140625" style="2593" customWidth="1"/>
    <col min="1543" max="1543" width="13" style="2593" customWidth="1"/>
    <col min="1544" max="1545" width="8.88671875" style="2593"/>
    <col min="1546" max="1546" width="5.77734375" style="2593" customWidth="1"/>
    <col min="1547" max="1547" width="11.77734375" style="2593" customWidth="1"/>
    <col min="1548" max="1549" width="10.77734375" style="2593" customWidth="1"/>
    <col min="1550" max="1550" width="10" style="2593" customWidth="1"/>
    <col min="1551" max="1552" width="10.44140625" style="2593" bestFit="1" customWidth="1"/>
    <col min="1553" max="1553" width="10" style="2593" customWidth="1"/>
    <col min="1554" max="1554" width="10.109375" style="2593" customWidth="1"/>
    <col min="1555" max="1555" width="10" style="2593" customWidth="1"/>
    <col min="1556" max="1556" width="26.109375" style="2593" customWidth="1"/>
    <col min="1557" max="1792" width="8.88671875" style="2593"/>
    <col min="1793" max="1793" width="9.44140625" style="2593" customWidth="1"/>
    <col min="1794" max="1794" width="8.88671875" style="2593"/>
    <col min="1795" max="1797" width="12.88671875" style="2593" customWidth="1"/>
    <col min="1798" max="1798" width="47.44140625" style="2593" customWidth="1"/>
    <col min="1799" max="1799" width="13" style="2593" customWidth="1"/>
    <col min="1800" max="1801" width="8.88671875" style="2593"/>
    <col min="1802" max="1802" width="5.77734375" style="2593" customWidth="1"/>
    <col min="1803" max="1803" width="11.77734375" style="2593" customWidth="1"/>
    <col min="1804" max="1805" width="10.77734375" style="2593" customWidth="1"/>
    <col min="1806" max="1806" width="10" style="2593" customWidth="1"/>
    <col min="1807" max="1808" width="10.44140625" style="2593" bestFit="1" customWidth="1"/>
    <col min="1809" max="1809" width="10" style="2593" customWidth="1"/>
    <col min="1810" max="1810" width="10.109375" style="2593" customWidth="1"/>
    <col min="1811" max="1811" width="10" style="2593" customWidth="1"/>
    <col min="1812" max="1812" width="26.109375" style="2593" customWidth="1"/>
    <col min="1813" max="2048" width="8.88671875" style="2593"/>
    <col min="2049" max="2049" width="9.44140625" style="2593" customWidth="1"/>
    <col min="2050" max="2050" width="8.88671875" style="2593"/>
    <col min="2051" max="2053" width="12.88671875" style="2593" customWidth="1"/>
    <col min="2054" max="2054" width="47.44140625" style="2593" customWidth="1"/>
    <col min="2055" max="2055" width="13" style="2593" customWidth="1"/>
    <col min="2056" max="2057" width="8.88671875" style="2593"/>
    <col min="2058" max="2058" width="5.77734375" style="2593" customWidth="1"/>
    <col min="2059" max="2059" width="11.77734375" style="2593" customWidth="1"/>
    <col min="2060" max="2061" width="10.77734375" style="2593" customWidth="1"/>
    <col min="2062" max="2062" width="10" style="2593" customWidth="1"/>
    <col min="2063" max="2064" width="10.44140625" style="2593" bestFit="1" customWidth="1"/>
    <col min="2065" max="2065" width="10" style="2593" customWidth="1"/>
    <col min="2066" max="2066" width="10.109375" style="2593" customWidth="1"/>
    <col min="2067" max="2067" width="10" style="2593" customWidth="1"/>
    <col min="2068" max="2068" width="26.109375" style="2593" customWidth="1"/>
    <col min="2069" max="2304" width="8.88671875" style="2593"/>
    <col min="2305" max="2305" width="9.44140625" style="2593" customWidth="1"/>
    <col min="2306" max="2306" width="8.88671875" style="2593"/>
    <col min="2307" max="2309" width="12.88671875" style="2593" customWidth="1"/>
    <col min="2310" max="2310" width="47.44140625" style="2593" customWidth="1"/>
    <col min="2311" max="2311" width="13" style="2593" customWidth="1"/>
    <col min="2312" max="2313" width="8.88671875" style="2593"/>
    <col min="2314" max="2314" width="5.77734375" style="2593" customWidth="1"/>
    <col min="2315" max="2315" width="11.77734375" style="2593" customWidth="1"/>
    <col min="2316" max="2317" width="10.77734375" style="2593" customWidth="1"/>
    <col min="2318" max="2318" width="10" style="2593" customWidth="1"/>
    <col min="2319" max="2320" width="10.44140625" style="2593" bestFit="1" customWidth="1"/>
    <col min="2321" max="2321" width="10" style="2593" customWidth="1"/>
    <col min="2322" max="2322" width="10.109375" style="2593" customWidth="1"/>
    <col min="2323" max="2323" width="10" style="2593" customWidth="1"/>
    <col min="2324" max="2324" width="26.109375" style="2593" customWidth="1"/>
    <col min="2325" max="2560" width="8.88671875" style="2593"/>
    <col min="2561" max="2561" width="9.44140625" style="2593" customWidth="1"/>
    <col min="2562" max="2562" width="8.88671875" style="2593"/>
    <col min="2563" max="2565" width="12.88671875" style="2593" customWidth="1"/>
    <col min="2566" max="2566" width="47.44140625" style="2593" customWidth="1"/>
    <col min="2567" max="2567" width="13" style="2593" customWidth="1"/>
    <col min="2568" max="2569" width="8.88671875" style="2593"/>
    <col min="2570" max="2570" width="5.77734375" style="2593" customWidth="1"/>
    <col min="2571" max="2571" width="11.77734375" style="2593" customWidth="1"/>
    <col min="2572" max="2573" width="10.77734375" style="2593" customWidth="1"/>
    <col min="2574" max="2574" width="10" style="2593" customWidth="1"/>
    <col min="2575" max="2576" width="10.44140625" style="2593" bestFit="1" customWidth="1"/>
    <col min="2577" max="2577" width="10" style="2593" customWidth="1"/>
    <col min="2578" max="2578" width="10.109375" style="2593" customWidth="1"/>
    <col min="2579" max="2579" width="10" style="2593" customWidth="1"/>
    <col min="2580" max="2580" width="26.109375" style="2593" customWidth="1"/>
    <col min="2581" max="2816" width="8.88671875" style="2593"/>
    <col min="2817" max="2817" width="9.44140625" style="2593" customWidth="1"/>
    <col min="2818" max="2818" width="8.88671875" style="2593"/>
    <col min="2819" max="2821" width="12.88671875" style="2593" customWidth="1"/>
    <col min="2822" max="2822" width="47.44140625" style="2593" customWidth="1"/>
    <col min="2823" max="2823" width="13" style="2593" customWidth="1"/>
    <col min="2824" max="2825" width="8.88671875" style="2593"/>
    <col min="2826" max="2826" width="5.77734375" style="2593" customWidth="1"/>
    <col min="2827" max="2827" width="11.77734375" style="2593" customWidth="1"/>
    <col min="2828" max="2829" width="10.77734375" style="2593" customWidth="1"/>
    <col min="2830" max="2830" width="10" style="2593" customWidth="1"/>
    <col min="2831" max="2832" width="10.44140625" style="2593" bestFit="1" customWidth="1"/>
    <col min="2833" max="2833" width="10" style="2593" customWidth="1"/>
    <col min="2834" max="2834" width="10.109375" style="2593" customWidth="1"/>
    <col min="2835" max="2835" width="10" style="2593" customWidth="1"/>
    <col min="2836" max="2836" width="26.109375" style="2593" customWidth="1"/>
    <col min="2837" max="3072" width="8.88671875" style="2593"/>
    <col min="3073" max="3073" width="9.44140625" style="2593" customWidth="1"/>
    <col min="3074" max="3074" width="8.88671875" style="2593"/>
    <col min="3075" max="3077" width="12.88671875" style="2593" customWidth="1"/>
    <col min="3078" max="3078" width="47.44140625" style="2593" customWidth="1"/>
    <col min="3079" max="3079" width="13" style="2593" customWidth="1"/>
    <col min="3080" max="3081" width="8.88671875" style="2593"/>
    <col min="3082" max="3082" width="5.77734375" style="2593" customWidth="1"/>
    <col min="3083" max="3083" width="11.77734375" style="2593" customWidth="1"/>
    <col min="3084" max="3085" width="10.77734375" style="2593" customWidth="1"/>
    <col min="3086" max="3086" width="10" style="2593" customWidth="1"/>
    <col min="3087" max="3088" width="10.44140625" style="2593" bestFit="1" customWidth="1"/>
    <col min="3089" max="3089" width="10" style="2593" customWidth="1"/>
    <col min="3090" max="3090" width="10.109375" style="2593" customWidth="1"/>
    <col min="3091" max="3091" width="10" style="2593" customWidth="1"/>
    <col min="3092" max="3092" width="26.109375" style="2593" customWidth="1"/>
    <col min="3093" max="3328" width="8.88671875" style="2593"/>
    <col min="3329" max="3329" width="9.44140625" style="2593" customWidth="1"/>
    <col min="3330" max="3330" width="8.88671875" style="2593"/>
    <col min="3331" max="3333" width="12.88671875" style="2593" customWidth="1"/>
    <col min="3334" max="3334" width="47.44140625" style="2593" customWidth="1"/>
    <col min="3335" max="3335" width="13" style="2593" customWidth="1"/>
    <col min="3336" max="3337" width="8.88671875" style="2593"/>
    <col min="3338" max="3338" width="5.77734375" style="2593" customWidth="1"/>
    <col min="3339" max="3339" width="11.77734375" style="2593" customWidth="1"/>
    <col min="3340" max="3341" width="10.77734375" style="2593" customWidth="1"/>
    <col min="3342" max="3342" width="10" style="2593" customWidth="1"/>
    <col min="3343" max="3344" width="10.44140625" style="2593" bestFit="1" customWidth="1"/>
    <col min="3345" max="3345" width="10" style="2593" customWidth="1"/>
    <col min="3346" max="3346" width="10.109375" style="2593" customWidth="1"/>
    <col min="3347" max="3347" width="10" style="2593" customWidth="1"/>
    <col min="3348" max="3348" width="26.109375" style="2593" customWidth="1"/>
    <col min="3349" max="3584" width="8.88671875" style="2593"/>
    <col min="3585" max="3585" width="9.44140625" style="2593" customWidth="1"/>
    <col min="3586" max="3586" width="8.88671875" style="2593"/>
    <col min="3587" max="3589" width="12.88671875" style="2593" customWidth="1"/>
    <col min="3590" max="3590" width="47.44140625" style="2593" customWidth="1"/>
    <col min="3591" max="3591" width="13" style="2593" customWidth="1"/>
    <col min="3592" max="3593" width="8.88671875" style="2593"/>
    <col min="3594" max="3594" width="5.77734375" style="2593" customWidth="1"/>
    <col min="3595" max="3595" width="11.77734375" style="2593" customWidth="1"/>
    <col min="3596" max="3597" width="10.77734375" style="2593" customWidth="1"/>
    <col min="3598" max="3598" width="10" style="2593" customWidth="1"/>
    <col min="3599" max="3600" width="10.44140625" style="2593" bestFit="1" customWidth="1"/>
    <col min="3601" max="3601" width="10" style="2593" customWidth="1"/>
    <col min="3602" max="3602" width="10.109375" style="2593" customWidth="1"/>
    <col min="3603" max="3603" width="10" style="2593" customWidth="1"/>
    <col min="3604" max="3604" width="26.109375" style="2593" customWidth="1"/>
    <col min="3605" max="3840" width="8.88671875" style="2593"/>
    <col min="3841" max="3841" width="9.44140625" style="2593" customWidth="1"/>
    <col min="3842" max="3842" width="8.88671875" style="2593"/>
    <col min="3843" max="3845" width="12.88671875" style="2593" customWidth="1"/>
    <col min="3846" max="3846" width="47.44140625" style="2593" customWidth="1"/>
    <col min="3847" max="3847" width="13" style="2593" customWidth="1"/>
    <col min="3848" max="3849" width="8.88671875" style="2593"/>
    <col min="3850" max="3850" width="5.77734375" style="2593" customWidth="1"/>
    <col min="3851" max="3851" width="11.77734375" style="2593" customWidth="1"/>
    <col min="3852" max="3853" width="10.77734375" style="2593" customWidth="1"/>
    <col min="3854" max="3854" width="10" style="2593" customWidth="1"/>
    <col min="3855" max="3856" width="10.44140625" style="2593" bestFit="1" customWidth="1"/>
    <col min="3857" max="3857" width="10" style="2593" customWidth="1"/>
    <col min="3858" max="3858" width="10.109375" style="2593" customWidth="1"/>
    <col min="3859" max="3859" width="10" style="2593" customWidth="1"/>
    <col min="3860" max="3860" width="26.109375" style="2593" customWidth="1"/>
    <col min="3861" max="4096" width="8.88671875" style="2593"/>
    <col min="4097" max="4097" width="9.44140625" style="2593" customWidth="1"/>
    <col min="4098" max="4098" width="8.88671875" style="2593"/>
    <col min="4099" max="4101" width="12.88671875" style="2593" customWidth="1"/>
    <col min="4102" max="4102" width="47.44140625" style="2593" customWidth="1"/>
    <col min="4103" max="4103" width="13" style="2593" customWidth="1"/>
    <col min="4104" max="4105" width="8.88671875" style="2593"/>
    <col min="4106" max="4106" width="5.77734375" style="2593" customWidth="1"/>
    <col min="4107" max="4107" width="11.77734375" style="2593" customWidth="1"/>
    <col min="4108" max="4109" width="10.77734375" style="2593" customWidth="1"/>
    <col min="4110" max="4110" width="10" style="2593" customWidth="1"/>
    <col min="4111" max="4112" width="10.44140625" style="2593" bestFit="1" customWidth="1"/>
    <col min="4113" max="4113" width="10" style="2593" customWidth="1"/>
    <col min="4114" max="4114" width="10.109375" style="2593" customWidth="1"/>
    <col min="4115" max="4115" width="10" style="2593" customWidth="1"/>
    <col min="4116" max="4116" width="26.109375" style="2593" customWidth="1"/>
    <col min="4117" max="4352" width="8.88671875" style="2593"/>
    <col min="4353" max="4353" width="9.44140625" style="2593" customWidth="1"/>
    <col min="4354" max="4354" width="8.88671875" style="2593"/>
    <col min="4355" max="4357" width="12.88671875" style="2593" customWidth="1"/>
    <col min="4358" max="4358" width="47.44140625" style="2593" customWidth="1"/>
    <col min="4359" max="4359" width="13" style="2593" customWidth="1"/>
    <col min="4360" max="4361" width="8.88671875" style="2593"/>
    <col min="4362" max="4362" width="5.77734375" style="2593" customWidth="1"/>
    <col min="4363" max="4363" width="11.77734375" style="2593" customWidth="1"/>
    <col min="4364" max="4365" width="10.77734375" style="2593" customWidth="1"/>
    <col min="4366" max="4366" width="10" style="2593" customWidth="1"/>
    <col min="4367" max="4368" width="10.44140625" style="2593" bestFit="1" customWidth="1"/>
    <col min="4369" max="4369" width="10" style="2593" customWidth="1"/>
    <col min="4370" max="4370" width="10.109375" style="2593" customWidth="1"/>
    <col min="4371" max="4371" width="10" style="2593" customWidth="1"/>
    <col min="4372" max="4372" width="26.109375" style="2593" customWidth="1"/>
    <col min="4373" max="4608" width="8.88671875" style="2593"/>
    <col min="4609" max="4609" width="9.44140625" style="2593" customWidth="1"/>
    <col min="4610" max="4610" width="8.88671875" style="2593"/>
    <col min="4611" max="4613" width="12.88671875" style="2593" customWidth="1"/>
    <col min="4614" max="4614" width="47.44140625" style="2593" customWidth="1"/>
    <col min="4615" max="4615" width="13" style="2593" customWidth="1"/>
    <col min="4616" max="4617" width="8.88671875" style="2593"/>
    <col min="4618" max="4618" width="5.77734375" style="2593" customWidth="1"/>
    <col min="4619" max="4619" width="11.77734375" style="2593" customWidth="1"/>
    <col min="4620" max="4621" width="10.77734375" style="2593" customWidth="1"/>
    <col min="4622" max="4622" width="10" style="2593" customWidth="1"/>
    <col min="4623" max="4624" width="10.44140625" style="2593" bestFit="1" customWidth="1"/>
    <col min="4625" max="4625" width="10" style="2593" customWidth="1"/>
    <col min="4626" max="4626" width="10.109375" style="2593" customWidth="1"/>
    <col min="4627" max="4627" width="10" style="2593" customWidth="1"/>
    <col min="4628" max="4628" width="26.109375" style="2593" customWidth="1"/>
    <col min="4629" max="4864" width="8.88671875" style="2593"/>
    <col min="4865" max="4865" width="9.44140625" style="2593" customWidth="1"/>
    <col min="4866" max="4866" width="8.88671875" style="2593"/>
    <col min="4867" max="4869" width="12.88671875" style="2593" customWidth="1"/>
    <col min="4870" max="4870" width="47.44140625" style="2593" customWidth="1"/>
    <col min="4871" max="4871" width="13" style="2593" customWidth="1"/>
    <col min="4872" max="4873" width="8.88671875" style="2593"/>
    <col min="4874" max="4874" width="5.77734375" style="2593" customWidth="1"/>
    <col min="4875" max="4875" width="11.77734375" style="2593" customWidth="1"/>
    <col min="4876" max="4877" width="10.77734375" style="2593" customWidth="1"/>
    <col min="4878" max="4878" width="10" style="2593" customWidth="1"/>
    <col min="4879" max="4880" width="10.44140625" style="2593" bestFit="1" customWidth="1"/>
    <col min="4881" max="4881" width="10" style="2593" customWidth="1"/>
    <col min="4882" max="4882" width="10.109375" style="2593" customWidth="1"/>
    <col min="4883" max="4883" width="10" style="2593" customWidth="1"/>
    <col min="4884" max="4884" width="26.109375" style="2593" customWidth="1"/>
    <col min="4885" max="5120" width="8.88671875" style="2593"/>
    <col min="5121" max="5121" width="9.44140625" style="2593" customWidth="1"/>
    <col min="5122" max="5122" width="8.88671875" style="2593"/>
    <col min="5123" max="5125" width="12.88671875" style="2593" customWidth="1"/>
    <col min="5126" max="5126" width="47.44140625" style="2593" customWidth="1"/>
    <col min="5127" max="5127" width="13" style="2593" customWidth="1"/>
    <col min="5128" max="5129" width="8.88671875" style="2593"/>
    <col min="5130" max="5130" width="5.77734375" style="2593" customWidth="1"/>
    <col min="5131" max="5131" width="11.77734375" style="2593" customWidth="1"/>
    <col min="5132" max="5133" width="10.77734375" style="2593" customWidth="1"/>
    <col min="5134" max="5134" width="10" style="2593" customWidth="1"/>
    <col min="5135" max="5136" width="10.44140625" style="2593" bestFit="1" customWidth="1"/>
    <col min="5137" max="5137" width="10" style="2593" customWidth="1"/>
    <col min="5138" max="5138" width="10.109375" style="2593" customWidth="1"/>
    <col min="5139" max="5139" width="10" style="2593" customWidth="1"/>
    <col min="5140" max="5140" width="26.109375" style="2593" customWidth="1"/>
    <col min="5141" max="5376" width="8.88671875" style="2593"/>
    <col min="5377" max="5377" width="9.44140625" style="2593" customWidth="1"/>
    <col min="5378" max="5378" width="8.88671875" style="2593"/>
    <col min="5379" max="5381" width="12.88671875" style="2593" customWidth="1"/>
    <col min="5382" max="5382" width="47.44140625" style="2593" customWidth="1"/>
    <col min="5383" max="5383" width="13" style="2593" customWidth="1"/>
    <col min="5384" max="5385" width="8.88671875" style="2593"/>
    <col min="5386" max="5386" width="5.77734375" style="2593" customWidth="1"/>
    <col min="5387" max="5387" width="11.77734375" style="2593" customWidth="1"/>
    <col min="5388" max="5389" width="10.77734375" style="2593" customWidth="1"/>
    <col min="5390" max="5390" width="10" style="2593" customWidth="1"/>
    <col min="5391" max="5392" width="10.44140625" style="2593" bestFit="1" customWidth="1"/>
    <col min="5393" max="5393" width="10" style="2593" customWidth="1"/>
    <col min="5394" max="5394" width="10.109375" style="2593" customWidth="1"/>
    <col min="5395" max="5395" width="10" style="2593" customWidth="1"/>
    <col min="5396" max="5396" width="26.109375" style="2593" customWidth="1"/>
    <col min="5397" max="5632" width="8.88671875" style="2593"/>
    <col min="5633" max="5633" width="9.44140625" style="2593" customWidth="1"/>
    <col min="5634" max="5634" width="8.88671875" style="2593"/>
    <col min="5635" max="5637" width="12.88671875" style="2593" customWidth="1"/>
    <col min="5638" max="5638" width="47.44140625" style="2593" customWidth="1"/>
    <col min="5639" max="5639" width="13" style="2593" customWidth="1"/>
    <col min="5640" max="5641" width="8.88671875" style="2593"/>
    <col min="5642" max="5642" width="5.77734375" style="2593" customWidth="1"/>
    <col min="5643" max="5643" width="11.77734375" style="2593" customWidth="1"/>
    <col min="5644" max="5645" width="10.77734375" style="2593" customWidth="1"/>
    <col min="5646" max="5646" width="10" style="2593" customWidth="1"/>
    <col min="5647" max="5648" width="10.44140625" style="2593" bestFit="1" customWidth="1"/>
    <col min="5649" max="5649" width="10" style="2593" customWidth="1"/>
    <col min="5650" max="5650" width="10.109375" style="2593" customWidth="1"/>
    <col min="5651" max="5651" width="10" style="2593" customWidth="1"/>
    <col min="5652" max="5652" width="26.109375" style="2593" customWidth="1"/>
    <col min="5653" max="5888" width="8.88671875" style="2593"/>
    <col min="5889" max="5889" width="9.44140625" style="2593" customWidth="1"/>
    <col min="5890" max="5890" width="8.88671875" style="2593"/>
    <col min="5891" max="5893" width="12.88671875" style="2593" customWidth="1"/>
    <col min="5894" max="5894" width="47.44140625" style="2593" customWidth="1"/>
    <col min="5895" max="5895" width="13" style="2593" customWidth="1"/>
    <col min="5896" max="5897" width="8.88671875" style="2593"/>
    <col min="5898" max="5898" width="5.77734375" style="2593" customWidth="1"/>
    <col min="5899" max="5899" width="11.77734375" style="2593" customWidth="1"/>
    <col min="5900" max="5901" width="10.77734375" style="2593" customWidth="1"/>
    <col min="5902" max="5902" width="10" style="2593" customWidth="1"/>
    <col min="5903" max="5904" width="10.44140625" style="2593" bestFit="1" customWidth="1"/>
    <col min="5905" max="5905" width="10" style="2593" customWidth="1"/>
    <col min="5906" max="5906" width="10.109375" style="2593" customWidth="1"/>
    <col min="5907" max="5907" width="10" style="2593" customWidth="1"/>
    <col min="5908" max="5908" width="26.109375" style="2593" customWidth="1"/>
    <col min="5909" max="6144" width="8.88671875" style="2593"/>
    <col min="6145" max="6145" width="9.44140625" style="2593" customWidth="1"/>
    <col min="6146" max="6146" width="8.88671875" style="2593"/>
    <col min="6147" max="6149" width="12.88671875" style="2593" customWidth="1"/>
    <col min="6150" max="6150" width="47.44140625" style="2593" customWidth="1"/>
    <col min="6151" max="6151" width="13" style="2593" customWidth="1"/>
    <col min="6152" max="6153" width="8.88671875" style="2593"/>
    <col min="6154" max="6154" width="5.77734375" style="2593" customWidth="1"/>
    <col min="6155" max="6155" width="11.77734375" style="2593" customWidth="1"/>
    <col min="6156" max="6157" width="10.77734375" style="2593" customWidth="1"/>
    <col min="6158" max="6158" width="10" style="2593" customWidth="1"/>
    <col min="6159" max="6160" width="10.44140625" style="2593" bestFit="1" customWidth="1"/>
    <col min="6161" max="6161" width="10" style="2593" customWidth="1"/>
    <col min="6162" max="6162" width="10.109375" style="2593" customWidth="1"/>
    <col min="6163" max="6163" width="10" style="2593" customWidth="1"/>
    <col min="6164" max="6164" width="26.109375" style="2593" customWidth="1"/>
    <col min="6165" max="6400" width="8.88671875" style="2593"/>
    <col min="6401" max="6401" width="9.44140625" style="2593" customWidth="1"/>
    <col min="6402" max="6402" width="8.88671875" style="2593"/>
    <col min="6403" max="6405" width="12.88671875" style="2593" customWidth="1"/>
    <col min="6406" max="6406" width="47.44140625" style="2593" customWidth="1"/>
    <col min="6407" max="6407" width="13" style="2593" customWidth="1"/>
    <col min="6408" max="6409" width="8.88671875" style="2593"/>
    <col min="6410" max="6410" width="5.77734375" style="2593" customWidth="1"/>
    <col min="6411" max="6411" width="11.77734375" style="2593" customWidth="1"/>
    <col min="6412" max="6413" width="10.77734375" style="2593" customWidth="1"/>
    <col min="6414" max="6414" width="10" style="2593" customWidth="1"/>
    <col min="6415" max="6416" width="10.44140625" style="2593" bestFit="1" customWidth="1"/>
    <col min="6417" max="6417" width="10" style="2593" customWidth="1"/>
    <col min="6418" max="6418" width="10.109375" style="2593" customWidth="1"/>
    <col min="6419" max="6419" width="10" style="2593" customWidth="1"/>
    <col min="6420" max="6420" width="26.109375" style="2593" customWidth="1"/>
    <col min="6421" max="6656" width="8.88671875" style="2593"/>
    <col min="6657" max="6657" width="9.44140625" style="2593" customWidth="1"/>
    <col min="6658" max="6658" width="8.88671875" style="2593"/>
    <col min="6659" max="6661" width="12.88671875" style="2593" customWidth="1"/>
    <col min="6662" max="6662" width="47.44140625" style="2593" customWidth="1"/>
    <col min="6663" max="6663" width="13" style="2593" customWidth="1"/>
    <col min="6664" max="6665" width="8.88671875" style="2593"/>
    <col min="6666" max="6666" width="5.77734375" style="2593" customWidth="1"/>
    <col min="6667" max="6667" width="11.77734375" style="2593" customWidth="1"/>
    <col min="6668" max="6669" width="10.77734375" style="2593" customWidth="1"/>
    <col min="6670" max="6670" width="10" style="2593" customWidth="1"/>
    <col min="6671" max="6672" width="10.44140625" style="2593" bestFit="1" customWidth="1"/>
    <col min="6673" max="6673" width="10" style="2593" customWidth="1"/>
    <col min="6674" max="6674" width="10.109375" style="2593" customWidth="1"/>
    <col min="6675" max="6675" width="10" style="2593" customWidth="1"/>
    <col min="6676" max="6676" width="26.109375" style="2593" customWidth="1"/>
    <col min="6677" max="6912" width="8.88671875" style="2593"/>
    <col min="6913" max="6913" width="9.44140625" style="2593" customWidth="1"/>
    <col min="6914" max="6914" width="8.88671875" style="2593"/>
    <col min="6915" max="6917" width="12.88671875" style="2593" customWidth="1"/>
    <col min="6918" max="6918" width="47.44140625" style="2593" customWidth="1"/>
    <col min="6919" max="6919" width="13" style="2593" customWidth="1"/>
    <col min="6920" max="6921" width="8.88671875" style="2593"/>
    <col min="6922" max="6922" width="5.77734375" style="2593" customWidth="1"/>
    <col min="6923" max="6923" width="11.77734375" style="2593" customWidth="1"/>
    <col min="6924" max="6925" width="10.77734375" style="2593" customWidth="1"/>
    <col min="6926" max="6926" width="10" style="2593" customWidth="1"/>
    <col min="6927" max="6928" width="10.44140625" style="2593" bestFit="1" customWidth="1"/>
    <col min="6929" max="6929" width="10" style="2593" customWidth="1"/>
    <col min="6930" max="6930" width="10.109375" style="2593" customWidth="1"/>
    <col min="6931" max="6931" width="10" style="2593" customWidth="1"/>
    <col min="6932" max="6932" width="26.109375" style="2593" customWidth="1"/>
    <col min="6933" max="7168" width="8.88671875" style="2593"/>
    <col min="7169" max="7169" width="9.44140625" style="2593" customWidth="1"/>
    <col min="7170" max="7170" width="8.88671875" style="2593"/>
    <col min="7171" max="7173" width="12.88671875" style="2593" customWidth="1"/>
    <col min="7174" max="7174" width="47.44140625" style="2593" customWidth="1"/>
    <col min="7175" max="7175" width="13" style="2593" customWidth="1"/>
    <col min="7176" max="7177" width="8.88671875" style="2593"/>
    <col min="7178" max="7178" width="5.77734375" style="2593" customWidth="1"/>
    <col min="7179" max="7179" width="11.77734375" style="2593" customWidth="1"/>
    <col min="7180" max="7181" width="10.77734375" style="2593" customWidth="1"/>
    <col min="7182" max="7182" width="10" style="2593" customWidth="1"/>
    <col min="7183" max="7184" width="10.44140625" style="2593" bestFit="1" customWidth="1"/>
    <col min="7185" max="7185" width="10" style="2593" customWidth="1"/>
    <col min="7186" max="7186" width="10.109375" style="2593" customWidth="1"/>
    <col min="7187" max="7187" width="10" style="2593" customWidth="1"/>
    <col min="7188" max="7188" width="26.109375" style="2593" customWidth="1"/>
    <col min="7189" max="7424" width="8.88671875" style="2593"/>
    <col min="7425" max="7425" width="9.44140625" style="2593" customWidth="1"/>
    <col min="7426" max="7426" width="8.88671875" style="2593"/>
    <col min="7427" max="7429" width="12.88671875" style="2593" customWidth="1"/>
    <col min="7430" max="7430" width="47.44140625" style="2593" customWidth="1"/>
    <col min="7431" max="7431" width="13" style="2593" customWidth="1"/>
    <col min="7432" max="7433" width="8.88671875" style="2593"/>
    <col min="7434" max="7434" width="5.77734375" style="2593" customWidth="1"/>
    <col min="7435" max="7435" width="11.77734375" style="2593" customWidth="1"/>
    <col min="7436" max="7437" width="10.77734375" style="2593" customWidth="1"/>
    <col min="7438" max="7438" width="10" style="2593" customWidth="1"/>
    <col min="7439" max="7440" width="10.44140625" style="2593" bestFit="1" customWidth="1"/>
    <col min="7441" max="7441" width="10" style="2593" customWidth="1"/>
    <col min="7442" max="7442" width="10.109375" style="2593" customWidth="1"/>
    <col min="7443" max="7443" width="10" style="2593" customWidth="1"/>
    <col min="7444" max="7444" width="26.109375" style="2593" customWidth="1"/>
    <col min="7445" max="7680" width="8.88671875" style="2593"/>
    <col min="7681" max="7681" width="9.44140625" style="2593" customWidth="1"/>
    <col min="7682" max="7682" width="8.88671875" style="2593"/>
    <col min="7683" max="7685" width="12.88671875" style="2593" customWidth="1"/>
    <col min="7686" max="7686" width="47.44140625" style="2593" customWidth="1"/>
    <col min="7687" max="7687" width="13" style="2593" customWidth="1"/>
    <col min="7688" max="7689" width="8.88671875" style="2593"/>
    <col min="7690" max="7690" width="5.77734375" style="2593" customWidth="1"/>
    <col min="7691" max="7691" width="11.77734375" style="2593" customWidth="1"/>
    <col min="7692" max="7693" width="10.77734375" style="2593" customWidth="1"/>
    <col min="7694" max="7694" width="10" style="2593" customWidth="1"/>
    <col min="7695" max="7696" width="10.44140625" style="2593" bestFit="1" customWidth="1"/>
    <col min="7697" max="7697" width="10" style="2593" customWidth="1"/>
    <col min="7698" max="7698" width="10.109375" style="2593" customWidth="1"/>
    <col min="7699" max="7699" width="10" style="2593" customWidth="1"/>
    <col min="7700" max="7700" width="26.109375" style="2593" customWidth="1"/>
    <col min="7701" max="7936" width="8.88671875" style="2593"/>
    <col min="7937" max="7937" width="9.44140625" style="2593" customWidth="1"/>
    <col min="7938" max="7938" width="8.88671875" style="2593"/>
    <col min="7939" max="7941" width="12.88671875" style="2593" customWidth="1"/>
    <col min="7942" max="7942" width="47.44140625" style="2593" customWidth="1"/>
    <col min="7943" max="7943" width="13" style="2593" customWidth="1"/>
    <col min="7944" max="7945" width="8.88671875" style="2593"/>
    <col min="7946" max="7946" width="5.77734375" style="2593" customWidth="1"/>
    <col min="7947" max="7947" width="11.77734375" style="2593" customWidth="1"/>
    <col min="7948" max="7949" width="10.77734375" style="2593" customWidth="1"/>
    <col min="7950" max="7950" width="10" style="2593" customWidth="1"/>
    <col min="7951" max="7952" width="10.44140625" style="2593" bestFit="1" customWidth="1"/>
    <col min="7953" max="7953" width="10" style="2593" customWidth="1"/>
    <col min="7954" max="7954" width="10.109375" style="2593" customWidth="1"/>
    <col min="7955" max="7955" width="10" style="2593" customWidth="1"/>
    <col min="7956" max="7956" width="26.109375" style="2593" customWidth="1"/>
    <col min="7957" max="8192" width="8.88671875" style="2593"/>
    <col min="8193" max="8193" width="9.44140625" style="2593" customWidth="1"/>
    <col min="8194" max="8194" width="8.88671875" style="2593"/>
    <col min="8195" max="8197" width="12.88671875" style="2593" customWidth="1"/>
    <col min="8198" max="8198" width="47.44140625" style="2593" customWidth="1"/>
    <col min="8199" max="8199" width="13" style="2593" customWidth="1"/>
    <col min="8200" max="8201" width="8.88671875" style="2593"/>
    <col min="8202" max="8202" width="5.77734375" style="2593" customWidth="1"/>
    <col min="8203" max="8203" width="11.77734375" style="2593" customWidth="1"/>
    <col min="8204" max="8205" width="10.77734375" style="2593" customWidth="1"/>
    <col min="8206" max="8206" width="10" style="2593" customWidth="1"/>
    <col min="8207" max="8208" width="10.44140625" style="2593" bestFit="1" customWidth="1"/>
    <col min="8209" max="8209" width="10" style="2593" customWidth="1"/>
    <col min="8210" max="8210" width="10.109375" style="2593" customWidth="1"/>
    <col min="8211" max="8211" width="10" style="2593" customWidth="1"/>
    <col min="8212" max="8212" width="26.109375" style="2593" customWidth="1"/>
    <col min="8213" max="8448" width="8.88671875" style="2593"/>
    <col min="8449" max="8449" width="9.44140625" style="2593" customWidth="1"/>
    <col min="8450" max="8450" width="8.88671875" style="2593"/>
    <col min="8451" max="8453" width="12.88671875" style="2593" customWidth="1"/>
    <col min="8454" max="8454" width="47.44140625" style="2593" customWidth="1"/>
    <col min="8455" max="8455" width="13" style="2593" customWidth="1"/>
    <col min="8456" max="8457" width="8.88671875" style="2593"/>
    <col min="8458" max="8458" width="5.77734375" style="2593" customWidth="1"/>
    <col min="8459" max="8459" width="11.77734375" style="2593" customWidth="1"/>
    <col min="8460" max="8461" width="10.77734375" style="2593" customWidth="1"/>
    <col min="8462" max="8462" width="10" style="2593" customWidth="1"/>
    <col min="8463" max="8464" width="10.44140625" style="2593" bestFit="1" customWidth="1"/>
    <col min="8465" max="8465" width="10" style="2593" customWidth="1"/>
    <col min="8466" max="8466" width="10.109375" style="2593" customWidth="1"/>
    <col min="8467" max="8467" width="10" style="2593" customWidth="1"/>
    <col min="8468" max="8468" width="26.109375" style="2593" customWidth="1"/>
    <col min="8469" max="8704" width="8.88671875" style="2593"/>
    <col min="8705" max="8705" width="9.44140625" style="2593" customWidth="1"/>
    <col min="8706" max="8706" width="8.88671875" style="2593"/>
    <col min="8707" max="8709" width="12.88671875" style="2593" customWidth="1"/>
    <col min="8710" max="8710" width="47.44140625" style="2593" customWidth="1"/>
    <col min="8711" max="8711" width="13" style="2593" customWidth="1"/>
    <col min="8712" max="8713" width="8.88671875" style="2593"/>
    <col min="8714" max="8714" width="5.77734375" style="2593" customWidth="1"/>
    <col min="8715" max="8715" width="11.77734375" style="2593" customWidth="1"/>
    <col min="8716" max="8717" width="10.77734375" style="2593" customWidth="1"/>
    <col min="8718" max="8718" width="10" style="2593" customWidth="1"/>
    <col min="8719" max="8720" width="10.44140625" style="2593" bestFit="1" customWidth="1"/>
    <col min="8721" max="8721" width="10" style="2593" customWidth="1"/>
    <col min="8722" max="8722" width="10.109375" style="2593" customWidth="1"/>
    <col min="8723" max="8723" width="10" style="2593" customWidth="1"/>
    <col min="8724" max="8724" width="26.109375" style="2593" customWidth="1"/>
    <col min="8725" max="8960" width="8.88671875" style="2593"/>
    <col min="8961" max="8961" width="9.44140625" style="2593" customWidth="1"/>
    <col min="8962" max="8962" width="8.88671875" style="2593"/>
    <col min="8963" max="8965" width="12.88671875" style="2593" customWidth="1"/>
    <col min="8966" max="8966" width="47.44140625" style="2593" customWidth="1"/>
    <col min="8967" max="8967" width="13" style="2593" customWidth="1"/>
    <col min="8968" max="8969" width="8.88671875" style="2593"/>
    <col min="8970" max="8970" width="5.77734375" style="2593" customWidth="1"/>
    <col min="8971" max="8971" width="11.77734375" style="2593" customWidth="1"/>
    <col min="8972" max="8973" width="10.77734375" style="2593" customWidth="1"/>
    <col min="8974" max="8974" width="10" style="2593" customWidth="1"/>
    <col min="8975" max="8976" width="10.44140625" style="2593" bestFit="1" customWidth="1"/>
    <col min="8977" max="8977" width="10" style="2593" customWidth="1"/>
    <col min="8978" max="8978" width="10.109375" style="2593" customWidth="1"/>
    <col min="8979" max="8979" width="10" style="2593" customWidth="1"/>
    <col min="8980" max="8980" width="26.109375" style="2593" customWidth="1"/>
    <col min="8981" max="9216" width="8.88671875" style="2593"/>
    <col min="9217" max="9217" width="9.44140625" style="2593" customWidth="1"/>
    <col min="9218" max="9218" width="8.88671875" style="2593"/>
    <col min="9219" max="9221" width="12.88671875" style="2593" customWidth="1"/>
    <col min="9222" max="9222" width="47.44140625" style="2593" customWidth="1"/>
    <col min="9223" max="9223" width="13" style="2593" customWidth="1"/>
    <col min="9224" max="9225" width="8.88671875" style="2593"/>
    <col min="9226" max="9226" width="5.77734375" style="2593" customWidth="1"/>
    <col min="9227" max="9227" width="11.77734375" style="2593" customWidth="1"/>
    <col min="9228" max="9229" width="10.77734375" style="2593" customWidth="1"/>
    <col min="9230" max="9230" width="10" style="2593" customWidth="1"/>
    <col min="9231" max="9232" width="10.44140625" style="2593" bestFit="1" customWidth="1"/>
    <col min="9233" max="9233" width="10" style="2593" customWidth="1"/>
    <col min="9234" max="9234" width="10.109375" style="2593" customWidth="1"/>
    <col min="9235" max="9235" width="10" style="2593" customWidth="1"/>
    <col min="9236" max="9236" width="26.109375" style="2593" customWidth="1"/>
    <col min="9237" max="9472" width="8.88671875" style="2593"/>
    <col min="9473" max="9473" width="9.44140625" style="2593" customWidth="1"/>
    <col min="9474" max="9474" width="8.88671875" style="2593"/>
    <col min="9475" max="9477" width="12.88671875" style="2593" customWidth="1"/>
    <col min="9478" max="9478" width="47.44140625" style="2593" customWidth="1"/>
    <col min="9479" max="9479" width="13" style="2593" customWidth="1"/>
    <col min="9480" max="9481" width="8.88671875" style="2593"/>
    <col min="9482" max="9482" width="5.77734375" style="2593" customWidth="1"/>
    <col min="9483" max="9483" width="11.77734375" style="2593" customWidth="1"/>
    <col min="9484" max="9485" width="10.77734375" style="2593" customWidth="1"/>
    <col min="9486" max="9486" width="10" style="2593" customWidth="1"/>
    <col min="9487" max="9488" width="10.44140625" style="2593" bestFit="1" customWidth="1"/>
    <col min="9489" max="9489" width="10" style="2593" customWidth="1"/>
    <col min="9490" max="9490" width="10.109375" style="2593" customWidth="1"/>
    <col min="9491" max="9491" width="10" style="2593" customWidth="1"/>
    <col min="9492" max="9492" width="26.109375" style="2593" customWidth="1"/>
    <col min="9493" max="9728" width="8.88671875" style="2593"/>
    <col min="9729" max="9729" width="9.44140625" style="2593" customWidth="1"/>
    <col min="9730" max="9730" width="8.88671875" style="2593"/>
    <col min="9731" max="9733" width="12.88671875" style="2593" customWidth="1"/>
    <col min="9734" max="9734" width="47.44140625" style="2593" customWidth="1"/>
    <col min="9735" max="9735" width="13" style="2593" customWidth="1"/>
    <col min="9736" max="9737" width="8.88671875" style="2593"/>
    <col min="9738" max="9738" width="5.77734375" style="2593" customWidth="1"/>
    <col min="9739" max="9739" width="11.77734375" style="2593" customWidth="1"/>
    <col min="9740" max="9741" width="10.77734375" style="2593" customWidth="1"/>
    <col min="9742" max="9742" width="10" style="2593" customWidth="1"/>
    <col min="9743" max="9744" width="10.44140625" style="2593" bestFit="1" customWidth="1"/>
    <col min="9745" max="9745" width="10" style="2593" customWidth="1"/>
    <col min="9746" max="9746" width="10.109375" style="2593" customWidth="1"/>
    <col min="9747" max="9747" width="10" style="2593" customWidth="1"/>
    <col min="9748" max="9748" width="26.109375" style="2593" customWidth="1"/>
    <col min="9749" max="9984" width="8.88671875" style="2593"/>
    <col min="9985" max="9985" width="9.44140625" style="2593" customWidth="1"/>
    <col min="9986" max="9986" width="8.88671875" style="2593"/>
    <col min="9987" max="9989" width="12.88671875" style="2593" customWidth="1"/>
    <col min="9990" max="9990" width="47.44140625" style="2593" customWidth="1"/>
    <col min="9991" max="9991" width="13" style="2593" customWidth="1"/>
    <col min="9992" max="9993" width="8.88671875" style="2593"/>
    <col min="9994" max="9994" width="5.77734375" style="2593" customWidth="1"/>
    <col min="9995" max="9995" width="11.77734375" style="2593" customWidth="1"/>
    <col min="9996" max="9997" width="10.77734375" style="2593" customWidth="1"/>
    <col min="9998" max="9998" width="10" style="2593" customWidth="1"/>
    <col min="9999" max="10000" width="10.44140625" style="2593" bestFit="1" customWidth="1"/>
    <col min="10001" max="10001" width="10" style="2593" customWidth="1"/>
    <col min="10002" max="10002" width="10.109375" style="2593" customWidth="1"/>
    <col min="10003" max="10003" width="10" style="2593" customWidth="1"/>
    <col min="10004" max="10004" width="26.109375" style="2593" customWidth="1"/>
    <col min="10005" max="10240" width="8.88671875" style="2593"/>
    <col min="10241" max="10241" width="9.44140625" style="2593" customWidth="1"/>
    <col min="10242" max="10242" width="8.88671875" style="2593"/>
    <col min="10243" max="10245" width="12.88671875" style="2593" customWidth="1"/>
    <col min="10246" max="10246" width="47.44140625" style="2593" customWidth="1"/>
    <col min="10247" max="10247" width="13" style="2593" customWidth="1"/>
    <col min="10248" max="10249" width="8.88671875" style="2593"/>
    <col min="10250" max="10250" width="5.77734375" style="2593" customWidth="1"/>
    <col min="10251" max="10251" width="11.77734375" style="2593" customWidth="1"/>
    <col min="10252" max="10253" width="10.77734375" style="2593" customWidth="1"/>
    <col min="10254" max="10254" width="10" style="2593" customWidth="1"/>
    <col min="10255" max="10256" width="10.44140625" style="2593" bestFit="1" customWidth="1"/>
    <col min="10257" max="10257" width="10" style="2593" customWidth="1"/>
    <col min="10258" max="10258" width="10.109375" style="2593" customWidth="1"/>
    <col min="10259" max="10259" width="10" style="2593" customWidth="1"/>
    <col min="10260" max="10260" width="26.109375" style="2593" customWidth="1"/>
    <col min="10261" max="10496" width="8.88671875" style="2593"/>
    <col min="10497" max="10497" width="9.44140625" style="2593" customWidth="1"/>
    <col min="10498" max="10498" width="8.88671875" style="2593"/>
    <col min="10499" max="10501" width="12.88671875" style="2593" customWidth="1"/>
    <col min="10502" max="10502" width="47.44140625" style="2593" customWidth="1"/>
    <col min="10503" max="10503" width="13" style="2593" customWidth="1"/>
    <col min="10504" max="10505" width="8.88671875" style="2593"/>
    <col min="10506" max="10506" width="5.77734375" style="2593" customWidth="1"/>
    <col min="10507" max="10507" width="11.77734375" style="2593" customWidth="1"/>
    <col min="10508" max="10509" width="10.77734375" style="2593" customWidth="1"/>
    <col min="10510" max="10510" width="10" style="2593" customWidth="1"/>
    <col min="10511" max="10512" width="10.44140625" style="2593" bestFit="1" customWidth="1"/>
    <col min="10513" max="10513" width="10" style="2593" customWidth="1"/>
    <col min="10514" max="10514" width="10.109375" style="2593" customWidth="1"/>
    <col min="10515" max="10515" width="10" style="2593" customWidth="1"/>
    <col min="10516" max="10516" width="26.109375" style="2593" customWidth="1"/>
    <col min="10517" max="10752" width="8.88671875" style="2593"/>
    <col min="10753" max="10753" width="9.44140625" style="2593" customWidth="1"/>
    <col min="10754" max="10754" width="8.88671875" style="2593"/>
    <col min="10755" max="10757" width="12.88671875" style="2593" customWidth="1"/>
    <col min="10758" max="10758" width="47.44140625" style="2593" customWidth="1"/>
    <col min="10759" max="10759" width="13" style="2593" customWidth="1"/>
    <col min="10760" max="10761" width="8.88671875" style="2593"/>
    <col min="10762" max="10762" width="5.77734375" style="2593" customWidth="1"/>
    <col min="10763" max="10763" width="11.77734375" style="2593" customWidth="1"/>
    <col min="10764" max="10765" width="10.77734375" style="2593" customWidth="1"/>
    <col min="10766" max="10766" width="10" style="2593" customWidth="1"/>
    <col min="10767" max="10768" width="10.44140625" style="2593" bestFit="1" customWidth="1"/>
    <col min="10769" max="10769" width="10" style="2593" customWidth="1"/>
    <col min="10770" max="10770" width="10.109375" style="2593" customWidth="1"/>
    <col min="10771" max="10771" width="10" style="2593" customWidth="1"/>
    <col min="10772" max="10772" width="26.109375" style="2593" customWidth="1"/>
    <col min="10773" max="11008" width="8.88671875" style="2593"/>
    <col min="11009" max="11009" width="9.44140625" style="2593" customWidth="1"/>
    <col min="11010" max="11010" width="8.88671875" style="2593"/>
    <col min="11011" max="11013" width="12.88671875" style="2593" customWidth="1"/>
    <col min="11014" max="11014" width="47.44140625" style="2593" customWidth="1"/>
    <col min="11015" max="11015" width="13" style="2593" customWidth="1"/>
    <col min="11016" max="11017" width="8.88671875" style="2593"/>
    <col min="11018" max="11018" width="5.77734375" style="2593" customWidth="1"/>
    <col min="11019" max="11019" width="11.77734375" style="2593" customWidth="1"/>
    <col min="11020" max="11021" width="10.77734375" style="2593" customWidth="1"/>
    <col min="11022" max="11022" width="10" style="2593" customWidth="1"/>
    <col min="11023" max="11024" width="10.44140625" style="2593" bestFit="1" customWidth="1"/>
    <col min="11025" max="11025" width="10" style="2593" customWidth="1"/>
    <col min="11026" max="11026" width="10.109375" style="2593" customWidth="1"/>
    <col min="11027" max="11027" width="10" style="2593" customWidth="1"/>
    <col min="11028" max="11028" width="26.109375" style="2593" customWidth="1"/>
    <col min="11029" max="11264" width="8.88671875" style="2593"/>
    <col min="11265" max="11265" width="9.44140625" style="2593" customWidth="1"/>
    <col min="11266" max="11266" width="8.88671875" style="2593"/>
    <col min="11267" max="11269" width="12.88671875" style="2593" customWidth="1"/>
    <col min="11270" max="11270" width="47.44140625" style="2593" customWidth="1"/>
    <col min="11271" max="11271" width="13" style="2593" customWidth="1"/>
    <col min="11272" max="11273" width="8.88671875" style="2593"/>
    <col min="11274" max="11274" width="5.77734375" style="2593" customWidth="1"/>
    <col min="11275" max="11275" width="11.77734375" style="2593" customWidth="1"/>
    <col min="11276" max="11277" width="10.77734375" style="2593" customWidth="1"/>
    <col min="11278" max="11278" width="10" style="2593" customWidth="1"/>
    <col min="11279" max="11280" width="10.44140625" style="2593" bestFit="1" customWidth="1"/>
    <col min="11281" max="11281" width="10" style="2593" customWidth="1"/>
    <col min="11282" max="11282" width="10.109375" style="2593" customWidth="1"/>
    <col min="11283" max="11283" width="10" style="2593" customWidth="1"/>
    <col min="11284" max="11284" width="26.109375" style="2593" customWidth="1"/>
    <col min="11285" max="11520" width="8.88671875" style="2593"/>
    <col min="11521" max="11521" width="9.44140625" style="2593" customWidth="1"/>
    <col min="11522" max="11522" width="8.88671875" style="2593"/>
    <col min="11523" max="11525" width="12.88671875" style="2593" customWidth="1"/>
    <col min="11526" max="11526" width="47.44140625" style="2593" customWidth="1"/>
    <col min="11527" max="11527" width="13" style="2593" customWidth="1"/>
    <col min="11528" max="11529" width="8.88671875" style="2593"/>
    <col min="11530" max="11530" width="5.77734375" style="2593" customWidth="1"/>
    <col min="11531" max="11531" width="11.77734375" style="2593" customWidth="1"/>
    <col min="11532" max="11533" width="10.77734375" style="2593" customWidth="1"/>
    <col min="11534" max="11534" width="10" style="2593" customWidth="1"/>
    <col min="11535" max="11536" width="10.44140625" style="2593" bestFit="1" customWidth="1"/>
    <col min="11537" max="11537" width="10" style="2593" customWidth="1"/>
    <col min="11538" max="11538" width="10.109375" style="2593" customWidth="1"/>
    <col min="11539" max="11539" width="10" style="2593" customWidth="1"/>
    <col min="11540" max="11540" width="26.109375" style="2593" customWidth="1"/>
    <col min="11541" max="11776" width="8.88671875" style="2593"/>
    <col min="11777" max="11777" width="9.44140625" style="2593" customWidth="1"/>
    <col min="11778" max="11778" width="8.88671875" style="2593"/>
    <col min="11779" max="11781" width="12.88671875" style="2593" customWidth="1"/>
    <col min="11782" max="11782" width="47.44140625" style="2593" customWidth="1"/>
    <col min="11783" max="11783" width="13" style="2593" customWidth="1"/>
    <col min="11784" max="11785" width="8.88671875" style="2593"/>
    <col min="11786" max="11786" width="5.77734375" style="2593" customWidth="1"/>
    <col min="11787" max="11787" width="11.77734375" style="2593" customWidth="1"/>
    <col min="11788" max="11789" width="10.77734375" style="2593" customWidth="1"/>
    <col min="11790" max="11790" width="10" style="2593" customWidth="1"/>
    <col min="11791" max="11792" width="10.44140625" style="2593" bestFit="1" customWidth="1"/>
    <col min="11793" max="11793" width="10" style="2593" customWidth="1"/>
    <col min="11794" max="11794" width="10.109375" style="2593" customWidth="1"/>
    <col min="11795" max="11795" width="10" style="2593" customWidth="1"/>
    <col min="11796" max="11796" width="26.109375" style="2593" customWidth="1"/>
    <col min="11797" max="12032" width="8.88671875" style="2593"/>
    <col min="12033" max="12033" width="9.44140625" style="2593" customWidth="1"/>
    <col min="12034" max="12034" width="8.88671875" style="2593"/>
    <col min="12035" max="12037" width="12.88671875" style="2593" customWidth="1"/>
    <col min="12038" max="12038" width="47.44140625" style="2593" customWidth="1"/>
    <col min="12039" max="12039" width="13" style="2593" customWidth="1"/>
    <col min="12040" max="12041" width="8.88671875" style="2593"/>
    <col min="12042" max="12042" width="5.77734375" style="2593" customWidth="1"/>
    <col min="12043" max="12043" width="11.77734375" style="2593" customWidth="1"/>
    <col min="12044" max="12045" width="10.77734375" style="2593" customWidth="1"/>
    <col min="12046" max="12046" width="10" style="2593" customWidth="1"/>
    <col min="12047" max="12048" width="10.44140625" style="2593" bestFit="1" customWidth="1"/>
    <col min="12049" max="12049" width="10" style="2593" customWidth="1"/>
    <col min="12050" max="12050" width="10.109375" style="2593" customWidth="1"/>
    <col min="12051" max="12051" width="10" style="2593" customWidth="1"/>
    <col min="12052" max="12052" width="26.109375" style="2593" customWidth="1"/>
    <col min="12053" max="12288" width="8.88671875" style="2593"/>
    <col min="12289" max="12289" width="9.44140625" style="2593" customWidth="1"/>
    <col min="12290" max="12290" width="8.88671875" style="2593"/>
    <col min="12291" max="12293" width="12.88671875" style="2593" customWidth="1"/>
    <col min="12294" max="12294" width="47.44140625" style="2593" customWidth="1"/>
    <col min="12295" max="12295" width="13" style="2593" customWidth="1"/>
    <col min="12296" max="12297" width="8.88671875" style="2593"/>
    <col min="12298" max="12298" width="5.77734375" style="2593" customWidth="1"/>
    <col min="12299" max="12299" width="11.77734375" style="2593" customWidth="1"/>
    <col min="12300" max="12301" width="10.77734375" style="2593" customWidth="1"/>
    <col min="12302" max="12302" width="10" style="2593" customWidth="1"/>
    <col min="12303" max="12304" width="10.44140625" style="2593" bestFit="1" customWidth="1"/>
    <col min="12305" max="12305" width="10" style="2593" customWidth="1"/>
    <col min="12306" max="12306" width="10.109375" style="2593" customWidth="1"/>
    <col min="12307" max="12307" width="10" style="2593" customWidth="1"/>
    <col min="12308" max="12308" width="26.109375" style="2593" customWidth="1"/>
    <col min="12309" max="12544" width="8.88671875" style="2593"/>
    <col min="12545" max="12545" width="9.44140625" style="2593" customWidth="1"/>
    <col min="12546" max="12546" width="8.88671875" style="2593"/>
    <col min="12547" max="12549" width="12.88671875" style="2593" customWidth="1"/>
    <col min="12550" max="12550" width="47.44140625" style="2593" customWidth="1"/>
    <col min="12551" max="12551" width="13" style="2593" customWidth="1"/>
    <col min="12552" max="12553" width="8.88671875" style="2593"/>
    <col min="12554" max="12554" width="5.77734375" style="2593" customWidth="1"/>
    <col min="12555" max="12555" width="11.77734375" style="2593" customWidth="1"/>
    <col min="12556" max="12557" width="10.77734375" style="2593" customWidth="1"/>
    <col min="12558" max="12558" width="10" style="2593" customWidth="1"/>
    <col min="12559" max="12560" width="10.44140625" style="2593" bestFit="1" customWidth="1"/>
    <col min="12561" max="12561" width="10" style="2593" customWidth="1"/>
    <col min="12562" max="12562" width="10.109375" style="2593" customWidth="1"/>
    <col min="12563" max="12563" width="10" style="2593" customWidth="1"/>
    <col min="12564" max="12564" width="26.109375" style="2593" customWidth="1"/>
    <col min="12565" max="12800" width="8.88671875" style="2593"/>
    <col min="12801" max="12801" width="9.44140625" style="2593" customWidth="1"/>
    <col min="12802" max="12802" width="8.88671875" style="2593"/>
    <col min="12803" max="12805" width="12.88671875" style="2593" customWidth="1"/>
    <col min="12806" max="12806" width="47.44140625" style="2593" customWidth="1"/>
    <col min="12807" max="12807" width="13" style="2593" customWidth="1"/>
    <col min="12808" max="12809" width="8.88671875" style="2593"/>
    <col min="12810" max="12810" width="5.77734375" style="2593" customWidth="1"/>
    <col min="12811" max="12811" width="11.77734375" style="2593" customWidth="1"/>
    <col min="12812" max="12813" width="10.77734375" style="2593" customWidth="1"/>
    <col min="12814" max="12814" width="10" style="2593" customWidth="1"/>
    <col min="12815" max="12816" width="10.44140625" style="2593" bestFit="1" customWidth="1"/>
    <col min="12817" max="12817" width="10" style="2593" customWidth="1"/>
    <col min="12818" max="12818" width="10.109375" style="2593" customWidth="1"/>
    <col min="12819" max="12819" width="10" style="2593" customWidth="1"/>
    <col min="12820" max="12820" width="26.109375" style="2593" customWidth="1"/>
    <col min="12821" max="13056" width="8.88671875" style="2593"/>
    <col min="13057" max="13057" width="9.44140625" style="2593" customWidth="1"/>
    <col min="13058" max="13058" width="8.88671875" style="2593"/>
    <col min="13059" max="13061" width="12.88671875" style="2593" customWidth="1"/>
    <col min="13062" max="13062" width="47.44140625" style="2593" customWidth="1"/>
    <col min="13063" max="13063" width="13" style="2593" customWidth="1"/>
    <col min="13064" max="13065" width="8.88671875" style="2593"/>
    <col min="13066" max="13066" width="5.77734375" style="2593" customWidth="1"/>
    <col min="13067" max="13067" width="11.77734375" style="2593" customWidth="1"/>
    <col min="13068" max="13069" width="10.77734375" style="2593" customWidth="1"/>
    <col min="13070" max="13070" width="10" style="2593" customWidth="1"/>
    <col min="13071" max="13072" width="10.44140625" style="2593" bestFit="1" customWidth="1"/>
    <col min="13073" max="13073" width="10" style="2593" customWidth="1"/>
    <col min="13074" max="13074" width="10.109375" style="2593" customWidth="1"/>
    <col min="13075" max="13075" width="10" style="2593" customWidth="1"/>
    <col min="13076" max="13076" width="26.109375" style="2593" customWidth="1"/>
    <col min="13077" max="13312" width="8.88671875" style="2593"/>
    <col min="13313" max="13313" width="9.44140625" style="2593" customWidth="1"/>
    <col min="13314" max="13314" width="8.88671875" style="2593"/>
    <col min="13315" max="13317" width="12.88671875" style="2593" customWidth="1"/>
    <col min="13318" max="13318" width="47.44140625" style="2593" customWidth="1"/>
    <col min="13319" max="13319" width="13" style="2593" customWidth="1"/>
    <col min="13320" max="13321" width="8.88671875" style="2593"/>
    <col min="13322" max="13322" width="5.77734375" style="2593" customWidth="1"/>
    <col min="13323" max="13323" width="11.77734375" style="2593" customWidth="1"/>
    <col min="13324" max="13325" width="10.77734375" style="2593" customWidth="1"/>
    <col min="13326" max="13326" width="10" style="2593" customWidth="1"/>
    <col min="13327" max="13328" width="10.44140625" style="2593" bestFit="1" customWidth="1"/>
    <col min="13329" max="13329" width="10" style="2593" customWidth="1"/>
    <col min="13330" max="13330" width="10.109375" style="2593" customWidth="1"/>
    <col min="13331" max="13331" width="10" style="2593" customWidth="1"/>
    <col min="13332" max="13332" width="26.109375" style="2593" customWidth="1"/>
    <col min="13333" max="13568" width="8.88671875" style="2593"/>
    <col min="13569" max="13569" width="9.44140625" style="2593" customWidth="1"/>
    <col min="13570" max="13570" width="8.88671875" style="2593"/>
    <col min="13571" max="13573" width="12.88671875" style="2593" customWidth="1"/>
    <col min="13574" max="13574" width="47.44140625" style="2593" customWidth="1"/>
    <col min="13575" max="13575" width="13" style="2593" customWidth="1"/>
    <col min="13576" max="13577" width="8.88671875" style="2593"/>
    <col min="13578" max="13578" width="5.77734375" style="2593" customWidth="1"/>
    <col min="13579" max="13579" width="11.77734375" style="2593" customWidth="1"/>
    <col min="13580" max="13581" width="10.77734375" style="2593" customWidth="1"/>
    <col min="13582" max="13582" width="10" style="2593" customWidth="1"/>
    <col min="13583" max="13584" width="10.44140625" style="2593" bestFit="1" customWidth="1"/>
    <col min="13585" max="13585" width="10" style="2593" customWidth="1"/>
    <col min="13586" max="13586" width="10.109375" style="2593" customWidth="1"/>
    <col min="13587" max="13587" width="10" style="2593" customWidth="1"/>
    <col min="13588" max="13588" width="26.109375" style="2593" customWidth="1"/>
    <col min="13589" max="13824" width="8.88671875" style="2593"/>
    <col min="13825" max="13825" width="9.44140625" style="2593" customWidth="1"/>
    <col min="13826" max="13826" width="8.88671875" style="2593"/>
    <col min="13827" max="13829" width="12.88671875" style="2593" customWidth="1"/>
    <col min="13830" max="13830" width="47.44140625" style="2593" customWidth="1"/>
    <col min="13831" max="13831" width="13" style="2593" customWidth="1"/>
    <col min="13832" max="13833" width="8.88671875" style="2593"/>
    <col min="13834" max="13834" width="5.77734375" style="2593" customWidth="1"/>
    <col min="13835" max="13835" width="11.77734375" style="2593" customWidth="1"/>
    <col min="13836" max="13837" width="10.77734375" style="2593" customWidth="1"/>
    <col min="13838" max="13838" width="10" style="2593" customWidth="1"/>
    <col min="13839" max="13840" width="10.44140625" style="2593" bestFit="1" customWidth="1"/>
    <col min="13841" max="13841" width="10" style="2593" customWidth="1"/>
    <col min="13842" max="13842" width="10.109375" style="2593" customWidth="1"/>
    <col min="13843" max="13843" width="10" style="2593" customWidth="1"/>
    <col min="13844" max="13844" width="26.109375" style="2593" customWidth="1"/>
    <col min="13845" max="14080" width="8.88671875" style="2593"/>
    <col min="14081" max="14081" width="9.44140625" style="2593" customWidth="1"/>
    <col min="14082" max="14082" width="8.88671875" style="2593"/>
    <col min="14083" max="14085" width="12.88671875" style="2593" customWidth="1"/>
    <col min="14086" max="14086" width="47.44140625" style="2593" customWidth="1"/>
    <col min="14087" max="14087" width="13" style="2593" customWidth="1"/>
    <col min="14088" max="14089" width="8.88671875" style="2593"/>
    <col min="14090" max="14090" width="5.77734375" style="2593" customWidth="1"/>
    <col min="14091" max="14091" width="11.77734375" style="2593" customWidth="1"/>
    <col min="14092" max="14093" width="10.77734375" style="2593" customWidth="1"/>
    <col min="14094" max="14094" width="10" style="2593" customWidth="1"/>
    <col min="14095" max="14096" width="10.44140625" style="2593" bestFit="1" customWidth="1"/>
    <col min="14097" max="14097" width="10" style="2593" customWidth="1"/>
    <col min="14098" max="14098" width="10.109375" style="2593" customWidth="1"/>
    <col min="14099" max="14099" width="10" style="2593" customWidth="1"/>
    <col min="14100" max="14100" width="26.109375" style="2593" customWidth="1"/>
    <col min="14101" max="14336" width="8.88671875" style="2593"/>
    <col min="14337" max="14337" width="9.44140625" style="2593" customWidth="1"/>
    <col min="14338" max="14338" width="8.88671875" style="2593"/>
    <col min="14339" max="14341" width="12.88671875" style="2593" customWidth="1"/>
    <col min="14342" max="14342" width="47.44140625" style="2593" customWidth="1"/>
    <col min="14343" max="14343" width="13" style="2593" customWidth="1"/>
    <col min="14344" max="14345" width="8.88671875" style="2593"/>
    <col min="14346" max="14346" width="5.77734375" style="2593" customWidth="1"/>
    <col min="14347" max="14347" width="11.77734375" style="2593" customWidth="1"/>
    <col min="14348" max="14349" width="10.77734375" style="2593" customWidth="1"/>
    <col min="14350" max="14350" width="10" style="2593" customWidth="1"/>
    <col min="14351" max="14352" width="10.44140625" style="2593" bestFit="1" customWidth="1"/>
    <col min="14353" max="14353" width="10" style="2593" customWidth="1"/>
    <col min="14354" max="14354" width="10.109375" style="2593" customWidth="1"/>
    <col min="14355" max="14355" width="10" style="2593" customWidth="1"/>
    <col min="14356" max="14356" width="26.109375" style="2593" customWidth="1"/>
    <col min="14357" max="14592" width="8.88671875" style="2593"/>
    <col min="14593" max="14593" width="9.44140625" style="2593" customWidth="1"/>
    <col min="14594" max="14594" width="8.88671875" style="2593"/>
    <col min="14595" max="14597" width="12.88671875" style="2593" customWidth="1"/>
    <col min="14598" max="14598" width="47.44140625" style="2593" customWidth="1"/>
    <col min="14599" max="14599" width="13" style="2593" customWidth="1"/>
    <col min="14600" max="14601" width="8.88671875" style="2593"/>
    <col min="14602" max="14602" width="5.77734375" style="2593" customWidth="1"/>
    <col min="14603" max="14603" width="11.77734375" style="2593" customWidth="1"/>
    <col min="14604" max="14605" width="10.77734375" style="2593" customWidth="1"/>
    <col min="14606" max="14606" width="10" style="2593" customWidth="1"/>
    <col min="14607" max="14608" width="10.44140625" style="2593" bestFit="1" customWidth="1"/>
    <col min="14609" max="14609" width="10" style="2593" customWidth="1"/>
    <col min="14610" max="14610" width="10.109375" style="2593" customWidth="1"/>
    <col min="14611" max="14611" width="10" style="2593" customWidth="1"/>
    <col min="14612" max="14612" width="26.109375" style="2593" customWidth="1"/>
    <col min="14613" max="14848" width="8.88671875" style="2593"/>
    <col min="14849" max="14849" width="9.44140625" style="2593" customWidth="1"/>
    <col min="14850" max="14850" width="8.88671875" style="2593"/>
    <col min="14851" max="14853" width="12.88671875" style="2593" customWidth="1"/>
    <col min="14854" max="14854" width="47.44140625" style="2593" customWidth="1"/>
    <col min="14855" max="14855" width="13" style="2593" customWidth="1"/>
    <col min="14856" max="14857" width="8.88671875" style="2593"/>
    <col min="14858" max="14858" width="5.77734375" style="2593" customWidth="1"/>
    <col min="14859" max="14859" width="11.77734375" style="2593" customWidth="1"/>
    <col min="14860" max="14861" width="10.77734375" style="2593" customWidth="1"/>
    <col min="14862" max="14862" width="10" style="2593" customWidth="1"/>
    <col min="14863" max="14864" width="10.44140625" style="2593" bestFit="1" customWidth="1"/>
    <col min="14865" max="14865" width="10" style="2593" customWidth="1"/>
    <col min="14866" max="14866" width="10.109375" style="2593" customWidth="1"/>
    <col min="14867" max="14867" width="10" style="2593" customWidth="1"/>
    <col min="14868" max="14868" width="26.109375" style="2593" customWidth="1"/>
    <col min="14869" max="15104" width="8.88671875" style="2593"/>
    <col min="15105" max="15105" width="9.44140625" style="2593" customWidth="1"/>
    <col min="15106" max="15106" width="8.88671875" style="2593"/>
    <col min="15107" max="15109" width="12.88671875" style="2593" customWidth="1"/>
    <col min="15110" max="15110" width="47.44140625" style="2593" customWidth="1"/>
    <col min="15111" max="15111" width="13" style="2593" customWidth="1"/>
    <col min="15112" max="15113" width="8.88671875" style="2593"/>
    <col min="15114" max="15114" width="5.77734375" style="2593" customWidth="1"/>
    <col min="15115" max="15115" width="11.77734375" style="2593" customWidth="1"/>
    <col min="15116" max="15117" width="10.77734375" style="2593" customWidth="1"/>
    <col min="15118" max="15118" width="10" style="2593" customWidth="1"/>
    <col min="15119" max="15120" width="10.44140625" style="2593" bestFit="1" customWidth="1"/>
    <col min="15121" max="15121" width="10" style="2593" customWidth="1"/>
    <col min="15122" max="15122" width="10.109375" style="2593" customWidth="1"/>
    <col min="15123" max="15123" width="10" style="2593" customWidth="1"/>
    <col min="15124" max="15124" width="26.109375" style="2593" customWidth="1"/>
    <col min="15125" max="15360" width="8.88671875" style="2593"/>
    <col min="15361" max="15361" width="9.44140625" style="2593" customWidth="1"/>
    <col min="15362" max="15362" width="8.88671875" style="2593"/>
    <col min="15363" max="15365" width="12.88671875" style="2593" customWidth="1"/>
    <col min="15366" max="15366" width="47.44140625" style="2593" customWidth="1"/>
    <col min="15367" max="15367" width="13" style="2593" customWidth="1"/>
    <col min="15368" max="15369" width="8.88671875" style="2593"/>
    <col min="15370" max="15370" width="5.77734375" style="2593" customWidth="1"/>
    <col min="15371" max="15371" width="11.77734375" style="2593" customWidth="1"/>
    <col min="15372" max="15373" width="10.77734375" style="2593" customWidth="1"/>
    <col min="15374" max="15374" width="10" style="2593" customWidth="1"/>
    <col min="15375" max="15376" width="10.44140625" style="2593" bestFit="1" customWidth="1"/>
    <col min="15377" max="15377" width="10" style="2593" customWidth="1"/>
    <col min="15378" max="15378" width="10.109375" style="2593" customWidth="1"/>
    <col min="15379" max="15379" width="10" style="2593" customWidth="1"/>
    <col min="15380" max="15380" width="26.109375" style="2593" customWidth="1"/>
    <col min="15381" max="15616" width="8.88671875" style="2593"/>
    <col min="15617" max="15617" width="9.44140625" style="2593" customWidth="1"/>
    <col min="15618" max="15618" width="8.88671875" style="2593"/>
    <col min="15619" max="15621" width="12.88671875" style="2593" customWidth="1"/>
    <col min="15622" max="15622" width="47.44140625" style="2593" customWidth="1"/>
    <col min="15623" max="15623" width="13" style="2593" customWidth="1"/>
    <col min="15624" max="15625" width="8.88671875" style="2593"/>
    <col min="15626" max="15626" width="5.77734375" style="2593" customWidth="1"/>
    <col min="15627" max="15627" width="11.77734375" style="2593" customWidth="1"/>
    <col min="15628" max="15629" width="10.77734375" style="2593" customWidth="1"/>
    <col min="15630" max="15630" width="10" style="2593" customWidth="1"/>
    <col min="15631" max="15632" width="10.44140625" style="2593" bestFit="1" customWidth="1"/>
    <col min="15633" max="15633" width="10" style="2593" customWidth="1"/>
    <col min="15634" max="15634" width="10.109375" style="2593" customWidth="1"/>
    <col min="15635" max="15635" width="10" style="2593" customWidth="1"/>
    <col min="15636" max="15636" width="26.109375" style="2593" customWidth="1"/>
    <col min="15637" max="15872" width="8.88671875" style="2593"/>
    <col min="15873" max="15873" width="9.44140625" style="2593" customWidth="1"/>
    <col min="15874" max="15874" width="8.88671875" style="2593"/>
    <col min="15875" max="15877" width="12.88671875" style="2593" customWidth="1"/>
    <col min="15878" max="15878" width="47.44140625" style="2593" customWidth="1"/>
    <col min="15879" max="15879" width="13" style="2593" customWidth="1"/>
    <col min="15880" max="15881" width="8.88671875" style="2593"/>
    <col min="15882" max="15882" width="5.77734375" style="2593" customWidth="1"/>
    <col min="15883" max="15883" width="11.77734375" style="2593" customWidth="1"/>
    <col min="15884" max="15885" width="10.77734375" style="2593" customWidth="1"/>
    <col min="15886" max="15886" width="10" style="2593" customWidth="1"/>
    <col min="15887" max="15888" width="10.44140625" style="2593" bestFit="1" customWidth="1"/>
    <col min="15889" max="15889" width="10" style="2593" customWidth="1"/>
    <col min="15890" max="15890" width="10.109375" style="2593" customWidth="1"/>
    <col min="15891" max="15891" width="10" style="2593" customWidth="1"/>
    <col min="15892" max="15892" width="26.109375" style="2593" customWidth="1"/>
    <col min="15893" max="16128" width="8.88671875" style="2593"/>
    <col min="16129" max="16129" width="9.44140625" style="2593" customWidth="1"/>
    <col min="16130" max="16130" width="8.88671875" style="2593"/>
    <col min="16131" max="16133" width="12.88671875" style="2593" customWidth="1"/>
    <col min="16134" max="16134" width="47.44140625" style="2593" customWidth="1"/>
    <col min="16135" max="16135" width="13" style="2593" customWidth="1"/>
    <col min="16136" max="16137" width="8.88671875" style="2593"/>
    <col min="16138" max="16138" width="5.77734375" style="2593" customWidth="1"/>
    <col min="16139" max="16139" width="11.77734375" style="2593" customWidth="1"/>
    <col min="16140" max="16141" width="10.77734375" style="2593" customWidth="1"/>
    <col min="16142" max="16142" width="10" style="2593" customWidth="1"/>
    <col min="16143" max="16144" width="10.44140625" style="2593" bestFit="1" customWidth="1"/>
    <col min="16145" max="16145" width="10" style="2593" customWidth="1"/>
    <col min="16146" max="16146" width="10.109375" style="2593" customWidth="1"/>
    <col min="16147" max="16147" width="10" style="2593" customWidth="1"/>
    <col min="16148" max="16148" width="26.109375" style="2593" customWidth="1"/>
    <col min="16149" max="16384" width="8.88671875" style="2593"/>
  </cols>
  <sheetData>
    <row r="1" spans="1:22" ht="21" customHeight="1">
      <c r="A1" s="2582" t="s">
        <v>2435</v>
      </c>
      <c r="B1" s="2583"/>
      <c r="C1" s="2595"/>
      <c r="D1" s="2595"/>
      <c r="E1" s="2584"/>
      <c r="F1" s="2585"/>
      <c r="G1" s="2586"/>
      <c r="J1" s="2589" t="s">
        <v>2314</v>
      </c>
      <c r="K1" s="2590"/>
      <c r="L1" s="2590"/>
      <c r="M1" s="2590"/>
      <c r="N1" s="2590"/>
      <c r="O1" s="2590"/>
      <c r="P1" s="2590"/>
      <c r="Q1" s="2590"/>
      <c r="R1" s="2591"/>
      <c r="S1" s="2592"/>
      <c r="T1" s="2592"/>
      <c r="U1" s="2592"/>
    </row>
    <row r="2" spans="1:22" s="2604" customFormat="1" ht="13.2" customHeight="1">
      <c r="A2" s="1292" t="s">
        <v>2315</v>
      </c>
      <c r="B2" s="2594" t="e">
        <f>IF(D2="——",C40,C40+E2)</f>
        <v>#DIV/0!</v>
      </c>
      <c r="C2" s="2595" t="s">
        <v>2316</v>
      </c>
      <c r="D2" s="3138" t="s">
        <v>3359</v>
      </c>
      <c r="E2" s="3139"/>
      <c r="F2" s="2597"/>
      <c r="G2" s="2598"/>
      <c r="H2" s="2599"/>
      <c r="I2" s="2600"/>
      <c r="J2" s="3412" t="s">
        <v>2317</v>
      </c>
      <c r="K2" s="3413"/>
      <c r="L2" s="2601" t="s">
        <v>2318</v>
      </c>
      <c r="M2" s="2601" t="s">
        <v>2319</v>
      </c>
      <c r="N2" s="2601" t="s">
        <v>2320</v>
      </c>
      <c r="O2" s="2601" t="s">
        <v>2321</v>
      </c>
      <c r="P2" s="2601" t="s">
        <v>2322</v>
      </c>
      <c r="Q2" s="2602" t="s">
        <v>2323</v>
      </c>
      <c r="R2" s="2603" t="s">
        <v>2324</v>
      </c>
      <c r="S2" s="2592"/>
      <c r="T2" s="2592"/>
      <c r="U2" s="2592"/>
      <c r="V2" s="2600"/>
    </row>
    <row r="3" spans="1:22" s="2604" customFormat="1" ht="13.2" customHeight="1">
      <c r="A3" s="2605" t="s">
        <v>2325</v>
      </c>
      <c r="B3" s="2606" t="e">
        <f>ROUND(B2*10000/B4,0)</f>
        <v>#DIV/0!</v>
      </c>
      <c r="C3" s="2595" t="s">
        <v>2326</v>
      </c>
      <c r="D3" s="2595"/>
      <c r="E3" s="2596"/>
      <c r="F3" s="2597"/>
      <c r="G3" s="2598"/>
      <c r="H3" s="2599"/>
      <c r="I3" s="2600"/>
      <c r="J3" s="3414" t="s">
        <v>2327</v>
      </c>
      <c r="K3" s="3415"/>
      <c r="L3" s="2607"/>
      <c r="M3" s="2607"/>
      <c r="N3" s="2607"/>
      <c r="O3" s="2607"/>
      <c r="P3" s="2607"/>
      <c r="Q3" s="2608"/>
      <c r="R3" s="2609">
        <f>SUM(L3:Q3)</f>
        <v>0</v>
      </c>
      <c r="S3" s="2592"/>
      <c r="T3" s="2592"/>
      <c r="U3" s="2592"/>
      <c r="V3" s="2600"/>
    </row>
    <row r="4" spans="1:22" s="2604" customFormat="1" ht="13.2" customHeight="1">
      <c r="A4" s="2610" t="s">
        <v>2328</v>
      </c>
      <c r="B4" s="2611"/>
      <c r="C4" s="2595"/>
      <c r="D4" s="2595"/>
      <c r="E4" s="2596"/>
      <c r="F4" s="2597"/>
      <c r="G4" s="2598"/>
      <c r="H4" s="2599"/>
      <c r="I4" s="2600"/>
      <c r="J4" s="3414" t="s">
        <v>2329</v>
      </c>
      <c r="K4" s="3415"/>
      <c r="L4" s="2612"/>
      <c r="M4" s="2612"/>
      <c r="N4" s="2612"/>
      <c r="O4" s="2612"/>
      <c r="P4" s="2612"/>
      <c r="Q4" s="2613"/>
      <c r="R4" s="2614">
        <f>SUM(L4:Q4)</f>
        <v>0</v>
      </c>
      <c r="S4" s="2592"/>
      <c r="T4" s="2592"/>
      <c r="U4" s="2592"/>
      <c r="V4" s="2600"/>
    </row>
    <row r="5" spans="1:22" s="2604" customFormat="1" ht="13.2" customHeight="1" thickBot="1">
      <c r="A5" s="2615" t="s">
        <v>2330</v>
      </c>
      <c r="B5" s="2616"/>
      <c r="C5" s="2595"/>
      <c r="D5" s="2617"/>
      <c r="E5" s="2597"/>
      <c r="F5" s="2597"/>
      <c r="G5" s="2598"/>
      <c r="H5" s="2599"/>
      <c r="I5" s="2600"/>
      <c r="J5" s="2618" t="s">
        <v>2331</v>
      </c>
      <c r="K5" s="2619"/>
      <c r="L5" s="2619"/>
      <c r="M5" s="2620"/>
      <c r="N5" s="2620"/>
      <c r="O5" s="2620"/>
      <c r="P5" s="2620"/>
      <c r="Q5" s="2620"/>
      <c r="R5" s="2603">
        <f>SUM(R14,R19,R24,R25,R27,R28)</f>
        <v>0</v>
      </c>
      <c r="S5" s="2592"/>
      <c r="T5" s="2592" t="s">
        <v>2332</v>
      </c>
      <c r="U5" s="2592" t="e">
        <f>ROUND(R5*10000/365/R3,1)</f>
        <v>#DIV/0!</v>
      </c>
      <c r="V5" s="2600"/>
    </row>
    <row r="6" spans="1:22" s="2604" customFormat="1" ht="13.2" customHeight="1" thickBot="1">
      <c r="A6" s="3420" t="s">
        <v>2333</v>
      </c>
      <c r="B6" s="3421"/>
      <c r="C6" s="3422"/>
      <c r="D6" s="2621"/>
      <c r="E6" s="2622"/>
      <c r="F6" s="2623"/>
      <c r="G6" s="2624"/>
      <c r="H6" s="2599"/>
      <c r="I6" s="2600"/>
      <c r="J6" s="3406">
        <v>1</v>
      </c>
      <c r="K6" s="3407" t="s">
        <v>2334</v>
      </c>
      <c r="L6" s="2625" t="s">
        <v>2335</v>
      </c>
      <c r="M6" s="2626" t="s">
        <v>2336</v>
      </c>
      <c r="N6" s="2626" t="s">
        <v>2337</v>
      </c>
      <c r="O6" s="2626" t="s">
        <v>2338</v>
      </c>
      <c r="P6" s="2626" t="s">
        <v>2339</v>
      </c>
      <c r="Q6" s="2626" t="s">
        <v>2340</v>
      </c>
      <c r="R6" s="2609" t="s">
        <v>2341</v>
      </c>
      <c r="S6" s="2592"/>
      <c r="T6" s="2592" t="s">
        <v>2342</v>
      </c>
      <c r="U6" s="2592"/>
      <c r="V6" s="2600"/>
    </row>
    <row r="7" spans="1:22" s="2604" customFormat="1" ht="13.2" customHeight="1">
      <c r="A7" s="2627" t="s">
        <v>2343</v>
      </c>
      <c r="B7" s="2628"/>
      <c r="C7" s="2629"/>
      <c r="D7" s="2630">
        <f>SUM(D9,D10,D11,D17,0)</f>
        <v>0</v>
      </c>
      <c r="E7" s="2631" t="e">
        <f>E9+E10+E11+E17</f>
        <v>#DIV/0!</v>
      </c>
      <c r="F7" s="2632"/>
      <c r="G7" s="2633"/>
      <c r="H7" s="2599"/>
      <c r="I7" s="2600"/>
      <c r="J7" s="3406"/>
      <c r="K7" s="3408"/>
      <c r="L7" s="2634" t="s">
        <v>2344</v>
      </c>
      <c r="M7" s="2635"/>
      <c r="N7" s="2611"/>
      <c r="O7" s="2636"/>
      <c r="P7" s="2636"/>
      <c r="Q7" s="2637">
        <v>365</v>
      </c>
      <c r="R7" s="2638">
        <f>ROUND(M7*N7*O7*P7*Q7/10000,0)</f>
        <v>0</v>
      </c>
      <c r="S7" s="2592"/>
      <c r="T7" s="2592" t="s">
        <v>2345</v>
      </c>
      <c r="U7" s="2592"/>
      <c r="V7" s="2600"/>
    </row>
    <row r="8" spans="1:22" s="2604" customFormat="1" ht="13.2" customHeight="1">
      <c r="A8" s="2639" t="s">
        <v>2346</v>
      </c>
      <c r="B8" s="3423" t="s">
        <v>2347</v>
      </c>
      <c r="C8" s="3424"/>
      <c r="D8" s="2640" t="s">
        <v>2348</v>
      </c>
      <c r="E8" s="2641" t="s">
        <v>2349</v>
      </c>
      <c r="F8" s="2642" t="s">
        <v>2350</v>
      </c>
      <c r="G8" s="2643"/>
      <c r="H8" s="2599"/>
      <c r="I8" s="2600"/>
      <c r="J8" s="3406"/>
      <c r="K8" s="3408"/>
      <c r="L8" s="2634" t="s">
        <v>2351</v>
      </c>
      <c r="M8" s="2635"/>
      <c r="N8" s="2611"/>
      <c r="O8" s="2636"/>
      <c r="P8" s="2636"/>
      <c r="Q8" s="2637">
        <v>365</v>
      </c>
      <c r="R8" s="2638">
        <f t="shared" ref="R8:R13" si="0">ROUND(M8*N8*O8*P8*Q8/10000,0)</f>
        <v>0</v>
      </c>
      <c r="S8" s="2592"/>
      <c r="T8" s="2592" t="s">
        <v>2352</v>
      </c>
      <c r="U8" s="2592"/>
      <c r="V8" s="2600"/>
    </row>
    <row r="9" spans="1:22" s="2604" customFormat="1" ht="13.2" customHeight="1">
      <c r="A9" s="2639">
        <v>1</v>
      </c>
      <c r="B9" s="3423" t="s">
        <v>2353</v>
      </c>
      <c r="C9" s="3424"/>
      <c r="D9" s="2640">
        <f>ROUND(D6*E9,0)</f>
        <v>0</v>
      </c>
      <c r="E9" s="2644"/>
      <c r="F9" s="2645" t="s">
        <v>2354</v>
      </c>
      <c r="G9" s="2624"/>
      <c r="H9" s="2599"/>
      <c r="I9" s="2600"/>
      <c r="J9" s="3406"/>
      <c r="K9" s="3408"/>
      <c r="L9" s="2634" t="s">
        <v>2355</v>
      </c>
      <c r="M9" s="2635"/>
      <c r="N9" s="2611"/>
      <c r="O9" s="2636"/>
      <c r="P9" s="2636"/>
      <c r="Q9" s="2637">
        <v>365</v>
      </c>
      <c r="R9" s="2638">
        <f t="shared" si="0"/>
        <v>0</v>
      </c>
      <c r="S9" s="2592"/>
      <c r="T9" s="2592"/>
      <c r="U9" s="2592"/>
      <c r="V9" s="2600"/>
    </row>
    <row r="10" spans="1:22" s="2604" customFormat="1" ht="13.2" customHeight="1">
      <c r="A10" s="2639">
        <v>2</v>
      </c>
      <c r="B10" s="3423" t="s">
        <v>2356</v>
      </c>
      <c r="C10" s="3424"/>
      <c r="D10" s="2640">
        <f>ROUND(D6*E10,0)</f>
        <v>0</v>
      </c>
      <c r="E10" s="2644"/>
      <c r="F10" s="2645" t="s">
        <v>2357</v>
      </c>
      <c r="G10" s="2624"/>
      <c r="H10" s="2599"/>
      <c r="I10" s="2600"/>
      <c r="J10" s="3406"/>
      <c r="K10" s="3408"/>
      <c r="L10" s="2634" t="s">
        <v>2358</v>
      </c>
      <c r="M10" s="2635"/>
      <c r="N10" s="2611"/>
      <c r="O10" s="2636"/>
      <c r="P10" s="2636"/>
      <c r="Q10" s="2637">
        <v>365</v>
      </c>
      <c r="R10" s="2638">
        <f t="shared" si="0"/>
        <v>0</v>
      </c>
      <c r="S10" s="2592"/>
      <c r="T10" s="2592"/>
      <c r="U10" s="2592"/>
      <c r="V10" s="2600"/>
    </row>
    <row r="11" spans="1:22" s="2604" customFormat="1" ht="13.2" customHeight="1">
      <c r="A11" s="2639">
        <v>3</v>
      </c>
      <c r="B11" s="3423" t="s">
        <v>2359</v>
      </c>
      <c r="C11" s="3424"/>
      <c r="D11" s="2640">
        <f>D12+D14+D15+D16</f>
        <v>0</v>
      </c>
      <c r="E11" s="2646" t="e">
        <f>D11/D6</f>
        <v>#DIV/0!</v>
      </c>
      <c r="F11" s="2642"/>
      <c r="G11" s="2643"/>
      <c r="H11" s="2599"/>
      <c r="I11" s="2600"/>
      <c r="J11" s="3406"/>
      <c r="K11" s="3408"/>
      <c r="L11" s="2634" t="s">
        <v>2360</v>
      </c>
      <c r="M11" s="2635"/>
      <c r="N11" s="2611"/>
      <c r="O11" s="2636"/>
      <c r="P11" s="2636"/>
      <c r="Q11" s="2637">
        <v>365</v>
      </c>
      <c r="R11" s="2638">
        <f t="shared" si="0"/>
        <v>0</v>
      </c>
      <c r="S11" s="2592"/>
      <c r="T11" s="2592"/>
      <c r="U11" s="2592"/>
      <c r="V11" s="2600"/>
    </row>
    <row r="12" spans="1:22" s="2604" customFormat="1" ht="13.2" customHeight="1">
      <c r="A12" s="2647" t="s">
        <v>2361</v>
      </c>
      <c r="B12" s="3416" t="s">
        <v>2362</v>
      </c>
      <c r="C12" s="3417"/>
      <c r="D12" s="2648">
        <f>ROUND(D13*1.2%*(1-30%),0)</f>
        <v>0</v>
      </c>
      <c r="E12" s="2649">
        <v>1.2E-2</v>
      </c>
      <c r="F12" s="2642" t="s">
        <v>2363</v>
      </c>
      <c r="G12" s="2643"/>
      <c r="H12" s="2599"/>
      <c r="I12" s="2600"/>
      <c r="J12" s="3406"/>
      <c r="K12" s="3408"/>
      <c r="L12" s="2634" t="s">
        <v>2364</v>
      </c>
      <c r="M12" s="2635"/>
      <c r="N12" s="2611"/>
      <c r="O12" s="2636"/>
      <c r="P12" s="2636"/>
      <c r="Q12" s="2637">
        <v>365</v>
      </c>
      <c r="R12" s="2638">
        <f t="shared" si="0"/>
        <v>0</v>
      </c>
      <c r="S12" s="2592"/>
      <c r="T12" s="2592"/>
      <c r="U12" s="2592"/>
      <c r="V12" s="2600"/>
    </row>
    <row r="13" spans="1:22" s="2604" customFormat="1" ht="13.2" customHeight="1">
      <c r="A13" s="2647"/>
      <c r="B13" s="2650"/>
      <c r="C13" s="2651" t="s">
        <v>2365</v>
      </c>
      <c r="D13" s="2652"/>
      <c r="E13" s="2653"/>
      <c r="F13" s="2642"/>
      <c r="G13" s="2643"/>
      <c r="H13" s="2599"/>
      <c r="I13" s="2600"/>
      <c r="J13" s="3406"/>
      <c r="K13" s="3408"/>
      <c r="L13" s="2634" t="s">
        <v>2366</v>
      </c>
      <c r="M13" s="2635"/>
      <c r="N13" s="2611"/>
      <c r="O13" s="2636"/>
      <c r="P13" s="2636"/>
      <c r="Q13" s="2637">
        <v>365</v>
      </c>
      <c r="R13" s="2638">
        <f t="shared" si="0"/>
        <v>0</v>
      </c>
      <c r="S13" s="2592"/>
      <c r="T13" s="2592"/>
      <c r="U13" s="2592"/>
      <c r="V13" s="2600"/>
    </row>
    <row r="14" spans="1:22" s="2604" customFormat="1" ht="13.2" customHeight="1">
      <c r="A14" s="2647" t="s">
        <v>2367</v>
      </c>
      <c r="B14" s="3416" t="s">
        <v>2368</v>
      </c>
      <c r="C14" s="3417"/>
      <c r="D14" s="2648">
        <f>ROUND(E14*B5/10000,0)</f>
        <v>0</v>
      </c>
      <c r="E14" s="2637"/>
      <c r="F14" s="2642" t="s">
        <v>2369</v>
      </c>
      <c r="G14" s="2643"/>
      <c r="H14" s="2599"/>
      <c r="I14" s="2600"/>
      <c r="J14" s="3406"/>
      <c r="K14" s="3409"/>
      <c r="L14" s="2654" t="s">
        <v>2370</v>
      </c>
      <c r="M14" s="2655">
        <f>SUM(M7:M13)</f>
        <v>0</v>
      </c>
      <c r="N14" s="2655" t="e">
        <f>ROUND((N7*M7+N8*M8+N9*M9+N10*M10+N11*M11+N12*M12+N13*M13)/M14,0)</f>
        <v>#DIV/0!</v>
      </c>
      <c r="O14" s="2656"/>
      <c r="P14" s="2656"/>
      <c r="Q14" s="2657"/>
      <c r="R14" s="2603">
        <f>SUM(R7:R13)</f>
        <v>0</v>
      </c>
      <c r="S14" s="2592"/>
      <c r="T14" s="2592"/>
      <c r="U14" s="2592"/>
      <c r="V14" s="2600"/>
    </row>
    <row r="15" spans="1:22" s="2604" customFormat="1" ht="13.2" customHeight="1">
      <c r="A15" s="2647" t="s">
        <v>2371</v>
      </c>
      <c r="B15" s="3416" t="s">
        <v>2372</v>
      </c>
      <c r="C15" s="3417"/>
      <c r="D15" s="2648">
        <f>ROUND(D6*E15,0)</f>
        <v>0</v>
      </c>
      <c r="E15" s="2649">
        <v>5.5E-2</v>
      </c>
      <c r="F15" s="2642" t="s">
        <v>2373</v>
      </c>
      <c r="G15" s="2624"/>
      <c r="H15" s="2599"/>
      <c r="I15" s="2600"/>
      <c r="J15" s="3406">
        <v>2</v>
      </c>
      <c r="K15" s="3407" t="s">
        <v>2374</v>
      </c>
      <c r="L15" s="2634" t="s">
        <v>2375</v>
      </c>
      <c r="M15" s="2635" t="s">
        <v>2376</v>
      </c>
      <c r="N15" s="2635" t="s">
        <v>2377</v>
      </c>
      <c r="O15" s="2636" t="s">
        <v>2378</v>
      </c>
      <c r="P15" s="2636" t="s">
        <v>2340</v>
      </c>
      <c r="Q15" s="2611" t="s">
        <v>2379</v>
      </c>
      <c r="R15" s="2658" t="s">
        <v>2341</v>
      </c>
      <c r="S15" s="2592"/>
      <c r="T15" s="2592"/>
      <c r="U15" s="2592"/>
      <c r="V15" s="2600"/>
    </row>
    <row r="16" spans="1:22" s="2604" customFormat="1" ht="13.2" customHeight="1">
      <c r="A16" s="2647" t="s">
        <v>2380</v>
      </c>
      <c r="B16" s="3416" t="s">
        <v>2381</v>
      </c>
      <c r="C16" s="3417"/>
      <c r="D16" s="2659">
        <f>D6*E16</f>
        <v>0</v>
      </c>
      <c r="E16" s="2660"/>
      <c r="F16" s="2645" t="s">
        <v>2382</v>
      </c>
      <c r="G16" s="2624"/>
      <c r="H16" s="2599"/>
      <c r="I16" s="2600"/>
      <c r="J16" s="3406"/>
      <c r="K16" s="3408"/>
      <c r="L16" s="2634" t="s">
        <v>2383</v>
      </c>
      <c r="M16" s="2635"/>
      <c r="N16" s="2635"/>
      <c r="O16" s="2636"/>
      <c r="P16" s="2637">
        <v>365</v>
      </c>
      <c r="Q16" s="2611"/>
      <c r="R16" s="2658">
        <f>ROUND(M16*N16*O16*P16/10000,0)</f>
        <v>0</v>
      </c>
      <c r="S16" s="2592"/>
      <c r="T16" s="2592"/>
      <c r="U16" s="2592"/>
      <c r="V16" s="2600"/>
    </row>
    <row r="17" spans="1:22" s="2604" customFormat="1" ht="13.2" customHeight="1" thickBot="1">
      <c r="A17" s="2661">
        <v>4</v>
      </c>
      <c r="B17" s="3418" t="s">
        <v>2384</v>
      </c>
      <c r="C17" s="3419"/>
      <c r="D17" s="2662">
        <f>ROUND(D6*E17,0)</f>
        <v>0</v>
      </c>
      <c r="E17" s="2663"/>
      <c r="F17" s="2664" t="s">
        <v>2385</v>
      </c>
      <c r="G17" s="2624"/>
      <c r="H17" s="2599"/>
      <c r="I17" s="2600"/>
      <c r="J17" s="3406"/>
      <c r="K17" s="3408"/>
      <c r="L17" s="2634" t="s">
        <v>2386</v>
      </c>
      <c r="M17" s="2635"/>
      <c r="N17" s="2635"/>
      <c r="O17" s="2636"/>
      <c r="P17" s="2637">
        <v>365</v>
      </c>
      <c r="Q17" s="2611"/>
      <c r="R17" s="2658">
        <f>ROUND(M17*N17*O17*P17/10000,0)</f>
        <v>0</v>
      </c>
      <c r="S17" s="2592"/>
      <c r="T17" s="2592"/>
      <c r="U17" s="2592"/>
      <c r="V17" s="2600"/>
    </row>
    <row r="18" spans="1:22" s="2604" customFormat="1" ht="13.2" customHeight="1" thickBot="1">
      <c r="A18" s="2627" t="s">
        <v>2387</v>
      </c>
      <c r="B18" s="2628"/>
      <c r="C18" s="2628"/>
      <c r="D18" s="2665">
        <f>ROUND(D6*E18,0)</f>
        <v>0</v>
      </c>
      <c r="E18" s="2666"/>
      <c r="F18" s="2667" t="s">
        <v>2388</v>
      </c>
      <c r="G18" s="2624"/>
      <c r="H18" s="2599"/>
      <c r="I18" s="2600"/>
      <c r="J18" s="3406"/>
      <c r="K18" s="3408"/>
      <c r="L18" s="2634" t="s">
        <v>2389</v>
      </c>
      <c r="M18" s="2635"/>
      <c r="N18" s="2635"/>
      <c r="O18" s="2636"/>
      <c r="P18" s="2637">
        <v>365</v>
      </c>
      <c r="Q18" s="2611"/>
      <c r="R18" s="2658">
        <f>ROUND(M18*N18*O18*P18/10000,0)</f>
        <v>0</v>
      </c>
      <c r="S18" s="2592"/>
      <c r="T18" s="2592"/>
      <c r="U18" s="2592"/>
      <c r="V18" s="2600"/>
    </row>
    <row r="19" spans="1:22" s="2604" customFormat="1" ht="13.2" customHeight="1" thickBot="1">
      <c r="A19" s="2668" t="s">
        <v>2390</v>
      </c>
      <c r="B19" s="2622"/>
      <c r="C19" s="2622"/>
      <c r="D19" s="2622"/>
      <c r="E19" s="2622"/>
      <c r="F19" s="2623"/>
      <c r="G19" s="2643"/>
      <c r="H19" s="2599"/>
      <c r="I19" s="2600"/>
      <c r="J19" s="3406"/>
      <c r="K19" s="3409"/>
      <c r="L19" s="2654" t="s">
        <v>2370</v>
      </c>
      <c r="M19" s="2655"/>
      <c r="N19" s="2655">
        <f>SUM(N16:N18)</f>
        <v>0</v>
      </c>
      <c r="O19" s="2656"/>
      <c r="P19" s="2669" t="s">
        <v>2434</v>
      </c>
      <c r="Q19" s="2636">
        <v>0</v>
      </c>
      <c r="R19" s="2670">
        <f>ROUND(IF(P19="按比例",R14*Q19,SUM(R16:R18)),0)</f>
        <v>0</v>
      </c>
      <c r="S19" s="2592"/>
      <c r="T19" s="2592"/>
      <c r="U19" s="2592"/>
      <c r="V19" s="2600"/>
    </row>
    <row r="20" spans="1:22" s="2604" customFormat="1" ht="13.2" customHeight="1">
      <c r="A20" s="2627"/>
      <c r="B20" s="2628"/>
      <c r="C20" s="2628"/>
      <c r="D20" s="2628"/>
      <c r="E20" s="2628"/>
      <c r="F20" s="2671"/>
      <c r="G20" s="2643"/>
      <c r="H20" s="2599"/>
      <c r="I20" s="2600"/>
      <c r="J20" s="3406">
        <v>3</v>
      </c>
      <c r="K20" s="3407" t="s">
        <v>2391</v>
      </c>
      <c r="L20" s="2634" t="s">
        <v>2392</v>
      </c>
      <c r="M20" s="2635" t="s">
        <v>2393</v>
      </c>
      <c r="N20" s="2672" t="s">
        <v>2394</v>
      </c>
      <c r="O20" s="2636" t="s">
        <v>2395</v>
      </c>
      <c r="P20" s="2637" t="s">
        <v>2396</v>
      </c>
      <c r="Q20" s="2611" t="s">
        <v>2397</v>
      </c>
      <c r="R20" s="2658" t="s">
        <v>2398</v>
      </c>
      <c r="S20" s="2592"/>
      <c r="T20" s="2592"/>
      <c r="U20" s="2592"/>
      <c r="V20" s="2600"/>
    </row>
    <row r="21" spans="1:22" s="2604" customFormat="1" ht="13.2" customHeight="1">
      <c r="A21" s="2627"/>
      <c r="B21" s="2628"/>
      <c r="C21" s="2673" t="s">
        <v>2399</v>
      </c>
      <c r="D21" s="2674" t="s">
        <v>2400</v>
      </c>
      <c r="E21" s="2675" t="s">
        <v>2401</v>
      </c>
      <c r="F21" s="2671"/>
      <c r="G21" s="2643"/>
      <c r="H21" s="2599"/>
      <c r="I21" s="2600"/>
      <c r="J21" s="3406"/>
      <c r="K21" s="3408"/>
      <c r="L21" s="2634" t="s">
        <v>2402</v>
      </c>
      <c r="M21" s="2635"/>
      <c r="N21" s="2635"/>
      <c r="O21" s="2636"/>
      <c r="P21" s="2637">
        <v>365</v>
      </c>
      <c r="Q21" s="2611"/>
      <c r="R21" s="2676">
        <f>ROUND(M21*N21*O21*P21/10000,0)</f>
        <v>0</v>
      </c>
      <c r="S21" s="2592"/>
      <c r="T21" s="2592"/>
      <c r="U21" s="2592"/>
      <c r="V21" s="2600"/>
    </row>
    <row r="22" spans="1:22" s="2604" customFormat="1" ht="13.2" customHeight="1">
      <c r="A22" s="2627"/>
      <c r="B22" s="2628"/>
      <c r="C22" s="2677" t="s">
        <v>2403</v>
      </c>
      <c r="D22" s="2678" t="s">
        <v>2404</v>
      </c>
      <c r="E22" s="2679" t="s">
        <v>2405</v>
      </c>
      <c r="F22" s="2671"/>
      <c r="G22" s="2592"/>
      <c r="H22" s="2599"/>
      <c r="I22" s="2600"/>
      <c r="J22" s="3406"/>
      <c r="K22" s="3408"/>
      <c r="L22" s="2634" t="s">
        <v>2406</v>
      </c>
      <c r="M22" s="2635"/>
      <c r="N22" s="2635"/>
      <c r="O22" s="2636"/>
      <c r="P22" s="2637">
        <v>365</v>
      </c>
      <c r="Q22" s="2611"/>
      <c r="R22" s="2676">
        <f>ROUND(M22*N22*O22*P22/10000,0)</f>
        <v>0</v>
      </c>
      <c r="S22" s="2592"/>
      <c r="T22" s="2592"/>
      <c r="U22" s="2592"/>
      <c r="V22" s="2600"/>
    </row>
    <row r="23" spans="1:22" s="2604" customFormat="1" ht="13.2" customHeight="1">
      <c r="A23" s="2680">
        <v>1</v>
      </c>
      <c r="B23" s="2681" t="s">
        <v>2407</v>
      </c>
      <c r="C23" s="2682">
        <f>D6</f>
        <v>0</v>
      </c>
      <c r="D23" s="2683">
        <f>C23*(1+D24)</f>
        <v>0</v>
      </c>
      <c r="E23" s="2684">
        <f>D23*(1+E24)</f>
        <v>0</v>
      </c>
      <c r="F23" s="2685"/>
      <c r="G23" s="2686"/>
      <c r="H23" s="2599"/>
      <c r="I23" s="2600"/>
      <c r="J23" s="3406"/>
      <c r="K23" s="3408"/>
      <c r="L23" s="2634" t="s">
        <v>2408</v>
      </c>
      <c r="M23" s="2635"/>
      <c r="N23" s="2635"/>
      <c r="O23" s="2636"/>
      <c r="P23" s="2637">
        <v>365</v>
      </c>
      <c r="Q23" s="2611"/>
      <c r="R23" s="2676">
        <f>ROUND(M23*N23*O23*P23/10000,0)</f>
        <v>0</v>
      </c>
      <c r="S23" s="2592"/>
      <c r="T23" s="2592"/>
      <c r="U23" s="2592"/>
      <c r="V23" s="2600"/>
    </row>
    <row r="24" spans="1:22" s="2604" customFormat="1" ht="13.2" customHeight="1">
      <c r="A24" s="2687"/>
      <c r="B24" s="2688" t="s">
        <v>2409</v>
      </c>
      <c r="C24" s="2689"/>
      <c r="D24" s="2690"/>
      <c r="E24" s="2691"/>
      <c r="F24" s="2692"/>
      <c r="G24" s="2686"/>
      <c r="H24" s="2599"/>
      <c r="I24" s="2600"/>
      <c r="J24" s="3406"/>
      <c r="K24" s="3409"/>
      <c r="L24" s="2654" t="s">
        <v>2370</v>
      </c>
      <c r="M24" s="2655">
        <f>SUM(M21:M23)</f>
        <v>0</v>
      </c>
      <c r="N24" s="2655"/>
      <c r="O24" s="2656"/>
      <c r="P24" s="2669" t="s">
        <v>2434</v>
      </c>
      <c r="Q24" s="2636">
        <v>0</v>
      </c>
      <c r="R24" s="2670">
        <f>ROUND(IF(P24="按比例",R14*Q24,SUM(R21:R23)),0)</f>
        <v>0</v>
      </c>
      <c r="S24" s="2592"/>
      <c r="T24" s="2592"/>
      <c r="U24" s="2592"/>
      <c r="V24" s="2600"/>
    </row>
    <row r="25" spans="1:22" s="2699" customFormat="1" ht="13.2" customHeight="1">
      <c r="A25" s="2687"/>
      <c r="B25" s="2688"/>
      <c r="C25" s="2689"/>
      <c r="D25" s="2690"/>
      <c r="E25" s="2691"/>
      <c r="F25" s="2692"/>
      <c r="G25" s="2592"/>
      <c r="H25" s="2599"/>
      <c r="I25" s="2600"/>
      <c r="J25" s="2693">
        <v>4</v>
      </c>
      <c r="K25" s="2694" t="s">
        <v>2410</v>
      </c>
      <c r="L25" s="2695"/>
      <c r="M25" s="2695"/>
      <c r="N25" s="2695"/>
      <c r="O25" s="2695"/>
      <c r="P25" s="2696"/>
      <c r="Q25" s="2697">
        <v>0</v>
      </c>
      <c r="R25" s="2670">
        <f>ROUND(R14*Q25,0)</f>
        <v>0</v>
      </c>
      <c r="S25" s="2592"/>
      <c r="T25" s="2592"/>
      <c r="U25" s="2592"/>
      <c r="V25" s="2698"/>
    </row>
    <row r="26" spans="1:22" s="2699" customFormat="1" ht="13.2" customHeight="1">
      <c r="A26" s="2680">
        <v>2</v>
      </c>
      <c r="B26" s="2681" t="s">
        <v>2411</v>
      </c>
      <c r="C26" s="2682">
        <f>D7</f>
        <v>0</v>
      </c>
      <c r="D26" s="2683">
        <f>D23*D27</f>
        <v>0</v>
      </c>
      <c r="E26" s="2684">
        <f>E23*E27</f>
        <v>0</v>
      </c>
      <c r="F26" s="2685"/>
      <c r="G26" s="2686"/>
      <c r="H26" s="2599"/>
      <c r="I26" s="2600"/>
      <c r="J26" s="3410">
        <v>5</v>
      </c>
      <c r="K26" s="2700" t="s">
        <v>2412</v>
      </c>
      <c r="L26" s="2701"/>
      <c r="M26" s="2702"/>
      <c r="N26" s="2703" t="s">
        <v>2413</v>
      </c>
      <c r="O26" s="2703" t="s">
        <v>2414</v>
      </c>
      <c r="P26" s="2704" t="s">
        <v>2415</v>
      </c>
      <c r="Q26" s="2704" t="s">
        <v>2416</v>
      </c>
      <c r="R26" s="2609" t="s">
        <v>2341</v>
      </c>
      <c r="S26" s="2643"/>
      <c r="T26" s="2643"/>
      <c r="U26" s="2643"/>
      <c r="V26" s="2698"/>
    </row>
    <row r="27" spans="1:22" s="2604" customFormat="1" ht="13.2" customHeight="1">
      <c r="A27" s="2687"/>
      <c r="B27" s="2688" t="s">
        <v>2417</v>
      </c>
      <c r="C27" s="2705" t="e">
        <f>E7</f>
        <v>#DIV/0!</v>
      </c>
      <c r="D27" s="2690"/>
      <c r="E27" s="2691"/>
      <c r="F27" s="2692"/>
      <c r="G27" s="2686"/>
      <c r="H27" s="2706"/>
      <c r="I27" s="2698"/>
      <c r="J27" s="3411"/>
      <c r="K27" s="2707"/>
      <c r="L27" s="2708"/>
      <c r="M27" s="2709"/>
      <c r="N27" s="2710"/>
      <c r="O27" s="2710"/>
      <c r="P27" s="2710"/>
      <c r="Q27" s="2711"/>
      <c r="R27" s="2670">
        <f>ROUND(O27*N27*P27*(1-Q27)/10000,0)</f>
        <v>0</v>
      </c>
      <c r="S27" s="2592"/>
      <c r="T27" s="2592"/>
      <c r="U27" s="2592"/>
      <c r="V27" s="2600"/>
    </row>
    <row r="28" spans="1:22" s="2699" customFormat="1" ht="13.2" customHeight="1" thickBot="1">
      <c r="A28" s="2687"/>
      <c r="B28" s="2688"/>
      <c r="C28" s="2705"/>
      <c r="D28" s="2690"/>
      <c r="E28" s="2691" t="s">
        <v>2418</v>
      </c>
      <c r="F28" s="2692"/>
      <c r="G28" s="2592"/>
      <c r="H28" s="2706"/>
      <c r="I28" s="2698"/>
      <c r="J28" s="2712">
        <v>6</v>
      </c>
      <c r="K28" s="2713" t="s">
        <v>2419</v>
      </c>
      <c r="L28" s="2714" t="s">
        <v>2420</v>
      </c>
      <c r="M28" s="2715"/>
      <c r="N28" s="2714" t="s">
        <v>2421</v>
      </c>
      <c r="O28" s="2716"/>
      <c r="P28" s="2714" t="s">
        <v>2422</v>
      </c>
      <c r="Q28" s="2717">
        <v>1.4999999999999999E-2</v>
      </c>
      <c r="R28" s="2718"/>
      <c r="S28" s="2592"/>
      <c r="T28" s="2592"/>
      <c r="U28" s="2592"/>
      <c r="V28" s="2698"/>
    </row>
    <row r="29" spans="1:22" s="2699" customFormat="1" ht="13.2" customHeight="1">
      <c r="A29" s="2680">
        <v>3</v>
      </c>
      <c r="B29" s="2681" t="s">
        <v>2423</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2" customHeight="1" thickBot="1">
      <c r="A30" s="2687"/>
      <c r="B30" s="2688" t="s">
        <v>2417</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2" customHeight="1">
      <c r="A31" s="2687"/>
      <c r="B31" s="2688"/>
      <c r="C31" s="2720"/>
      <c r="D31" s="2719"/>
      <c r="E31" s="2653"/>
      <c r="F31" s="2692"/>
      <c r="G31" s="2592"/>
      <c r="H31" s="2706"/>
      <c r="I31" s="2698"/>
      <c r="J31" s="2589" t="s">
        <v>2424</v>
      </c>
      <c r="K31" s="2590"/>
      <c r="L31" s="2590"/>
      <c r="M31" s="2590"/>
      <c r="N31" s="2590"/>
      <c r="O31" s="2590"/>
      <c r="P31" s="2590"/>
      <c r="Q31" s="2590"/>
      <c r="R31" s="2591"/>
      <c r="S31" s="2592"/>
      <c r="T31" s="2592"/>
      <c r="U31" s="2592"/>
      <c r="V31" s="2698"/>
    </row>
    <row r="32" spans="1:22" s="2699" customFormat="1" ht="13.2" customHeight="1">
      <c r="A32" s="2680">
        <v>4</v>
      </c>
      <c r="B32" s="2681" t="s">
        <v>2425</v>
      </c>
      <c r="C32" s="2682">
        <f>C23-C26-C29</f>
        <v>0</v>
      </c>
      <c r="D32" s="2683">
        <f>D23-D26-D29</f>
        <v>0</v>
      </c>
      <c r="E32" s="2684">
        <f>E23-E26-E29</f>
        <v>0</v>
      </c>
      <c r="F32" s="2685"/>
      <c r="G32" s="2592"/>
      <c r="H32" s="2599"/>
      <c r="I32" s="2600"/>
      <c r="J32" s="3412" t="s">
        <v>2317</v>
      </c>
      <c r="K32" s="3413"/>
      <c r="L32" s="2601" t="s">
        <v>2318</v>
      </c>
      <c r="M32" s="2601" t="s">
        <v>2319</v>
      </c>
      <c r="N32" s="2601" t="s">
        <v>2320</v>
      </c>
      <c r="O32" s="2601" t="s">
        <v>2321</v>
      </c>
      <c r="P32" s="2601" t="s">
        <v>2322</v>
      </c>
      <c r="Q32" s="2602" t="s">
        <v>2323</v>
      </c>
      <c r="R32" s="2721" t="s">
        <v>2324</v>
      </c>
      <c r="S32" s="2592"/>
      <c r="T32" s="2592"/>
      <c r="U32" s="2592"/>
      <c r="V32" s="2698"/>
    </row>
    <row r="33" spans="1:23" s="2604" customFormat="1" ht="13.2" customHeight="1">
      <c r="A33" s="2680"/>
      <c r="B33" s="2681"/>
      <c r="C33" s="2682"/>
      <c r="D33" s="2722"/>
      <c r="E33" s="2723"/>
      <c r="F33" s="2685"/>
      <c r="G33" s="2592"/>
      <c r="H33" s="2706"/>
      <c r="I33" s="2698"/>
      <c r="J33" s="3414" t="s">
        <v>2327</v>
      </c>
      <c r="K33" s="3415"/>
      <c r="L33" s="2607"/>
      <c r="M33" s="2607"/>
      <c r="N33" s="2607"/>
      <c r="O33" s="2607"/>
      <c r="P33" s="2607"/>
      <c r="Q33" s="2608"/>
      <c r="R33" s="2724">
        <f>SUM(L33:Q33)</f>
        <v>0</v>
      </c>
      <c r="S33" s="2592"/>
      <c r="T33" s="2592"/>
      <c r="U33" s="2592"/>
      <c r="V33" s="2600"/>
    </row>
    <row r="34" spans="1:23" s="2604" customFormat="1" ht="13.2" customHeight="1">
      <c r="A34" s="2680">
        <v>5</v>
      </c>
      <c r="B34" s="2681" t="s">
        <v>2426</v>
      </c>
      <c r="C34" s="2725"/>
      <c r="D34" s="2726"/>
      <c r="E34" s="2727"/>
      <c r="F34" s="2685"/>
      <c r="G34" s="2592"/>
      <c r="H34" s="2706"/>
      <c r="I34" s="2698"/>
      <c r="J34" s="3414" t="s">
        <v>2329</v>
      </c>
      <c r="K34" s="3415"/>
      <c r="L34" s="2612"/>
      <c r="M34" s="2612"/>
      <c r="N34" s="2612"/>
      <c r="O34" s="2612"/>
      <c r="P34" s="2612"/>
      <c r="Q34" s="2613"/>
      <c r="R34" s="2728">
        <f>SUM(L34:Q34)</f>
        <v>0</v>
      </c>
      <c r="S34" s="2592"/>
      <c r="T34" s="2592"/>
      <c r="U34" s="2592" t="e">
        <f>ROUND(R35*10000/365/R33,1)</f>
        <v>#DIV/0!</v>
      </c>
      <c r="V34" s="2600"/>
    </row>
    <row r="35" spans="1:23" s="2604" customFormat="1" ht="13.2" customHeight="1">
      <c r="A35" s="2680">
        <v>6</v>
      </c>
      <c r="B35" s="2681" t="s">
        <v>2427</v>
      </c>
      <c r="C35" s="2729"/>
      <c r="D35" s="2730"/>
      <c r="E35" s="2731"/>
      <c r="F35" s="2685"/>
      <c r="G35" s="2732"/>
      <c r="H35" s="2599"/>
      <c r="I35" s="2698"/>
      <c r="J35" s="2618" t="s">
        <v>2331</v>
      </c>
      <c r="K35" s="2619"/>
      <c r="L35" s="2619"/>
      <c r="M35" s="2620"/>
      <c r="N35" s="2620"/>
      <c r="O35" s="2620"/>
      <c r="P35" s="2620"/>
      <c r="Q35" s="2620"/>
      <c r="R35" s="2733">
        <f>R40+R41+R43</f>
        <v>0</v>
      </c>
      <c r="S35" s="2592"/>
      <c r="T35" s="2592" t="s">
        <v>2332</v>
      </c>
      <c r="U35" s="2592"/>
      <c r="V35" s="2600"/>
    </row>
    <row r="36" spans="1:23" s="2604" customFormat="1" ht="13.2" customHeight="1" thickBot="1">
      <c r="A36" s="2680">
        <v>7</v>
      </c>
      <c r="B36" s="2734" t="s">
        <v>2428</v>
      </c>
      <c r="C36" s="2735"/>
      <c r="D36" s="2736"/>
      <c r="E36" s="2737"/>
      <c r="F36" s="2738">
        <f>C36+D36+E36</f>
        <v>0</v>
      </c>
      <c r="G36" s="2592"/>
      <c r="H36" s="2599"/>
      <c r="I36" s="2600"/>
      <c r="J36" s="3406">
        <v>1</v>
      </c>
      <c r="K36" s="3407" t="s">
        <v>2429</v>
      </c>
      <c r="L36" s="2625"/>
      <c r="M36" s="2626"/>
      <c r="N36" s="2626"/>
      <c r="O36" s="2626"/>
      <c r="P36" s="2626"/>
      <c r="Q36" s="2626"/>
      <c r="R36" s="2609" t="s">
        <v>2341</v>
      </c>
      <c r="S36" s="2592"/>
      <c r="T36" s="2592" t="s">
        <v>2342</v>
      </c>
      <c r="U36" s="2592"/>
      <c r="V36" s="2600"/>
    </row>
    <row r="37" spans="1:23" s="2604" customFormat="1" ht="13.2" customHeight="1">
      <c r="A37" s="2680"/>
      <c r="B37" s="2681"/>
      <c r="C37" s="2681"/>
      <c r="D37" s="2681"/>
      <c r="E37" s="2681"/>
      <c r="F37" s="2685"/>
      <c r="G37" s="2592"/>
      <c r="H37" s="2599"/>
      <c r="I37" s="2600"/>
      <c r="J37" s="3406"/>
      <c r="K37" s="3408"/>
      <c r="L37" s="2634"/>
      <c r="M37" s="2635"/>
      <c r="N37" s="2611"/>
      <c r="O37" s="2636"/>
      <c r="P37" s="2636"/>
      <c r="Q37" s="2637"/>
      <c r="R37" s="2638"/>
      <c r="S37" s="2592"/>
      <c r="T37" s="2592" t="s">
        <v>2345</v>
      </c>
      <c r="U37" s="2592"/>
      <c r="V37" s="2600"/>
    </row>
    <row r="38" spans="1:23" s="2604" customFormat="1" ht="13.2" customHeight="1">
      <c r="A38" s="2680">
        <v>8</v>
      </c>
      <c r="B38" s="2681"/>
      <c r="C38" s="2640" t="e">
        <f>ROUND(C32*(1-((1+C35)/(1+C34))^C36)/(C34-C35),0)</f>
        <v>#DIV/0!</v>
      </c>
      <c r="D38" s="2640">
        <f>IF(D23=0,0,ROUND(D32*(1-((1+D35)/(1+D34))^D36)/(D34-D35),0))</f>
        <v>0</v>
      </c>
      <c r="E38" s="2640">
        <f>IF(E23=0,0,ROUND(E32*(1-((1+E35)/(1+E34))^E36)/(E34-E35),0))</f>
        <v>0</v>
      </c>
      <c r="F38" s="2685"/>
      <c r="G38" s="2592"/>
      <c r="H38" s="2599"/>
      <c r="I38" s="2600"/>
      <c r="J38" s="3406"/>
      <c r="K38" s="3408"/>
      <c r="L38" s="2634"/>
      <c r="M38" s="2635"/>
      <c r="N38" s="2611"/>
      <c r="O38" s="2636"/>
      <c r="P38" s="2636"/>
      <c r="Q38" s="2637"/>
      <c r="R38" s="2638"/>
      <c r="S38" s="2592"/>
      <c r="T38" s="2592" t="s">
        <v>2352</v>
      </c>
      <c r="U38" s="2592"/>
      <c r="V38" s="2600"/>
    </row>
    <row r="39" spans="1:23" s="2604" customFormat="1" ht="13.2" customHeight="1">
      <c r="A39" s="2680">
        <v>9</v>
      </c>
      <c r="B39" s="2681" t="s">
        <v>2430</v>
      </c>
      <c r="C39" s="2648" t="e">
        <f>C38</f>
        <v>#DIV/0!</v>
      </c>
      <c r="D39" s="2681">
        <f>D38/(1+D34)^C36</f>
        <v>0</v>
      </c>
      <c r="E39" s="2681">
        <f>E38/(1+E34)^(C36+D36)</f>
        <v>0</v>
      </c>
      <c r="F39" s="2685"/>
      <c r="G39" s="2600"/>
      <c r="H39" s="2599"/>
      <c r="I39" s="2600"/>
      <c r="J39" s="3406"/>
      <c r="K39" s="3408"/>
      <c r="L39" s="2634"/>
      <c r="M39" s="2635"/>
      <c r="N39" s="2611"/>
      <c r="O39" s="2636"/>
      <c r="P39" s="2636"/>
      <c r="Q39" s="2637"/>
      <c r="R39" s="2638"/>
      <c r="S39" s="2592"/>
      <c r="T39" s="2592"/>
      <c r="U39" s="2592"/>
      <c r="V39" s="2600"/>
    </row>
    <row r="40" spans="1:23" s="2604" customFormat="1" ht="13.2" customHeight="1">
      <c r="A40" s="2739">
        <v>10</v>
      </c>
      <c r="B40" s="2681" t="s">
        <v>2431</v>
      </c>
      <c r="C40" s="2740" t="e">
        <f>C39+D39+E39</f>
        <v>#DIV/0!</v>
      </c>
      <c r="D40" s="2741"/>
      <c r="E40" s="2741"/>
      <c r="F40" s="2742"/>
      <c r="G40" s="2592"/>
      <c r="H40" s="2599"/>
      <c r="I40" s="2600"/>
      <c r="J40" s="3406"/>
      <c r="K40" s="3409"/>
      <c r="L40" s="2654" t="s">
        <v>2370</v>
      </c>
      <c r="M40" s="2655"/>
      <c r="N40" s="2655"/>
      <c r="O40" s="2656"/>
      <c r="P40" s="2656"/>
      <c r="Q40" s="2657"/>
      <c r="R40" s="2603">
        <f>SUM(R37:R39)</f>
        <v>0</v>
      </c>
      <c r="S40" s="2592"/>
      <c r="T40" s="2592"/>
      <c r="U40" s="2592"/>
      <c r="V40" s="2600"/>
    </row>
    <row r="41" spans="1:23" s="2604" customFormat="1" ht="13.2" customHeight="1" thickBot="1">
      <c r="A41" s="2743">
        <v>11</v>
      </c>
      <c r="B41" s="2744" t="s">
        <v>2432</v>
      </c>
      <c r="C41" s="2744" t="e">
        <f>ROUND(C40*10000/B4,0)</f>
        <v>#DIV/0!</v>
      </c>
      <c r="D41" s="2745"/>
      <c r="E41" s="2745"/>
      <c r="F41" s="2746"/>
      <c r="G41" s="2599"/>
      <c r="H41" s="2599"/>
      <c r="I41" s="2600"/>
      <c r="J41" s="2693">
        <v>2</v>
      </c>
      <c r="K41" s="2694" t="s">
        <v>2410</v>
      </c>
      <c r="L41" s="2695"/>
      <c r="M41" s="2695"/>
      <c r="N41" s="2695"/>
      <c r="O41" s="2695"/>
      <c r="P41" s="2696"/>
      <c r="Q41" s="2697"/>
      <c r="R41" s="2670">
        <f>ROUND(R40*Q41,0)</f>
        <v>0</v>
      </c>
      <c r="S41" s="2592"/>
      <c r="T41" s="2592"/>
      <c r="U41" s="2643"/>
      <c r="V41" s="2600"/>
    </row>
    <row r="42" spans="1:23" s="2604" customFormat="1" ht="13.2" customHeight="1">
      <c r="G42" s="2599"/>
      <c r="H42" s="2599"/>
      <c r="I42" s="2600"/>
      <c r="J42" s="3410">
        <v>3</v>
      </c>
      <c r="K42" s="2700" t="s">
        <v>2412</v>
      </c>
      <c r="L42" s="2701"/>
      <c r="M42" s="2702"/>
      <c r="N42" s="2703" t="s">
        <v>2413</v>
      </c>
      <c r="O42" s="2703" t="s">
        <v>2414</v>
      </c>
      <c r="P42" s="2704" t="s">
        <v>2415</v>
      </c>
      <c r="Q42" s="2704" t="s">
        <v>2416</v>
      </c>
      <c r="R42" s="2609" t="s">
        <v>2341</v>
      </c>
      <c r="S42" s="2643"/>
      <c r="T42" s="2643"/>
      <c r="U42" s="2592"/>
      <c r="V42" s="2600"/>
    </row>
    <row r="43" spans="1:23" ht="13.2" customHeight="1">
      <c r="A43" s="2604"/>
      <c r="B43" s="2604"/>
      <c r="C43" s="2604"/>
      <c r="D43" s="2604"/>
      <c r="E43" s="2604"/>
      <c r="F43" s="2604"/>
      <c r="I43" s="2587"/>
      <c r="J43" s="3411"/>
      <c r="K43" s="2707"/>
      <c r="L43" s="2708"/>
      <c r="M43" s="2709"/>
      <c r="N43" s="2635"/>
      <c r="O43" s="2635"/>
      <c r="P43" s="2635"/>
      <c r="Q43" s="2697"/>
      <c r="R43" s="2670">
        <f>ROUND(O43*N43*P43*(1-Q43)/10000,0)</f>
        <v>0</v>
      </c>
      <c r="S43" s="2592"/>
      <c r="T43" s="2592"/>
      <c r="V43" s="2747"/>
      <c r="W43" s="2748"/>
    </row>
    <row r="44" spans="1:23" ht="13.2" customHeight="1" thickBot="1">
      <c r="J44" s="2712">
        <v>6</v>
      </c>
      <c r="K44" s="2713" t="s">
        <v>2419</v>
      </c>
      <c r="L44" s="2749" t="s">
        <v>2420</v>
      </c>
      <c r="M44" s="2715"/>
      <c r="N44" s="2749" t="s">
        <v>2421</v>
      </c>
      <c r="O44" s="2715"/>
      <c r="P44" s="2749" t="s">
        <v>2422</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 type="list" allowBlank="1" showInputMessage="1" showErrorMessage="1" sqref="D2" xr:uid="{00000000-0002-0000-1A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zoomScaleSheetLayoutView="100" workbookViewId="0">
      <selection activeCell="H44" sqref="H44"/>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4" t="s">
        <v>1658</v>
      </c>
      <c r="B1" s="1725"/>
      <c r="C1" s="1725"/>
      <c r="D1" s="1725"/>
      <c r="E1" s="1726"/>
      <c r="F1" s="2479"/>
      <c r="G1" s="459"/>
      <c r="H1" s="459"/>
      <c r="I1" s="459"/>
      <c r="J1" s="459"/>
      <c r="K1" s="459"/>
      <c r="L1" s="459"/>
      <c r="M1" s="459"/>
      <c r="N1" s="459"/>
      <c r="O1" s="459"/>
      <c r="P1" s="459"/>
      <c r="Q1" s="459"/>
      <c r="R1" s="459"/>
      <c r="S1" s="459"/>
    </row>
    <row r="2" spans="1:22" ht="15.6">
      <c r="A2" s="1727" t="s">
        <v>1462</v>
      </c>
      <c r="B2" s="811">
        <f ca="1">SUMIF(B6:B13,"&lt;&gt;#ref!",B6:B13)</f>
        <v>54401</v>
      </c>
      <c r="C2" s="1728" t="s">
        <v>1651</v>
      </c>
      <c r="D2" s="1729" t="s">
        <v>1652</v>
      </c>
      <c r="E2" s="2392">
        <f>SUM(E6:E13)</f>
        <v>17457.32</v>
      </c>
      <c r="F2" s="2479"/>
      <c r="G2" s="459"/>
      <c r="H2" s="459"/>
      <c r="I2" s="459"/>
      <c r="J2" s="459"/>
      <c r="K2" s="459"/>
      <c r="L2" s="459"/>
      <c r="M2" s="459"/>
      <c r="N2" s="459"/>
      <c r="O2" s="459"/>
      <c r="P2" s="459"/>
      <c r="Q2" s="459"/>
      <c r="R2" s="459"/>
      <c r="S2" s="459"/>
    </row>
    <row r="3" spans="1:22" ht="15.6">
      <c r="A3" s="1727" t="s">
        <v>686</v>
      </c>
      <c r="B3" s="2386">
        <f ca="1">ROUND(B2*10000/E2,0)</f>
        <v>31162</v>
      </c>
      <c r="C3" s="1728" t="s">
        <v>1659</v>
      </c>
      <c r="D3" s="2479"/>
      <c r="E3" s="2482"/>
      <c r="F3" s="2479"/>
      <c r="G3" s="459"/>
      <c r="H3" s="459"/>
      <c r="I3" s="459"/>
      <c r="J3" s="459"/>
      <c r="K3" s="459"/>
      <c r="L3" s="459"/>
      <c r="M3" s="459"/>
      <c r="N3" s="459"/>
      <c r="O3" s="459"/>
      <c r="P3" s="459"/>
      <c r="Q3" s="459"/>
      <c r="R3" s="459"/>
      <c r="S3" s="459"/>
    </row>
    <row r="4" spans="1:22" ht="15.6">
      <c r="A4" s="2483"/>
      <c r="B4" s="2479"/>
      <c r="C4" s="2479"/>
      <c r="D4" s="2479"/>
      <c r="E4" s="2482"/>
      <c r="F4" s="2479"/>
      <c r="G4" s="459"/>
      <c r="H4" s="459"/>
      <c r="I4" s="459"/>
      <c r="J4" s="459"/>
      <c r="K4" s="459"/>
      <c r="L4" s="459"/>
      <c r="M4" s="459"/>
      <c r="N4" s="459"/>
      <c r="O4" s="459"/>
      <c r="P4" s="459"/>
      <c r="Q4" s="459"/>
      <c r="R4" s="459"/>
      <c r="S4" s="459"/>
    </row>
    <row r="5" spans="1:22" ht="14.4">
      <c r="A5" s="2388" t="s">
        <v>1653</v>
      </c>
      <c r="B5" s="3425" t="s">
        <v>1654</v>
      </c>
      <c r="C5" s="3426"/>
      <c r="D5" s="2480"/>
      <c r="E5" s="1730" t="s">
        <v>1655</v>
      </c>
      <c r="F5" s="129" t="s">
        <v>1656</v>
      </c>
      <c r="G5" s="459"/>
      <c r="H5" s="459"/>
      <c r="I5" s="459"/>
      <c r="J5" s="459"/>
      <c r="K5" s="459"/>
      <c r="L5" s="459"/>
      <c r="M5" s="459"/>
      <c r="N5" s="459"/>
      <c r="O5" s="459"/>
      <c r="P5" s="459"/>
      <c r="Q5" s="459"/>
      <c r="R5" s="459"/>
      <c r="S5" s="459"/>
    </row>
    <row r="6" spans="1:22" ht="14.4">
      <c r="A6" s="2389" t="str">
        <f>'数据-取费表'!AN6</f>
        <v>收益法</v>
      </c>
      <c r="B6" s="2387">
        <f ca="1">IF(F6="是",'数据-取费表'!AO6,0)</f>
        <v>54401</v>
      </c>
      <c r="C6" s="1728" t="s">
        <v>1651</v>
      </c>
      <c r="D6" s="2479"/>
      <c r="E6" s="2391">
        <f>IF(OR(A6=0,F6="否"),0,'数据-取费表'!K6+'数据-取费表'!S6)</f>
        <v>17457.32</v>
      </c>
      <c r="F6" s="1731"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1661</v>
      </c>
      <c r="C1" s="1154" t="s">
        <v>1662</v>
      </c>
      <c r="D1" s="1141"/>
      <c r="E1" s="3124"/>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17457.32</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4.4">
      <c r="A4" s="345" t="s">
        <v>1666</v>
      </c>
      <c r="B4" s="346"/>
      <c r="C4" s="3360" t="s">
        <v>1667</v>
      </c>
      <c r="D4" s="3372"/>
      <c r="E4" s="3373" t="s">
        <v>1668</v>
      </c>
      <c r="F4" s="3374"/>
      <c r="G4" s="3360" t="s">
        <v>1669</v>
      </c>
      <c r="H4" s="3372"/>
      <c r="I4" s="3360" t="s">
        <v>1670</v>
      </c>
      <c r="J4" s="3372"/>
      <c r="K4" s="1743" t="s">
        <v>1671</v>
      </c>
      <c r="L4" s="2486"/>
      <c r="M4" s="2487"/>
      <c r="N4" s="2487"/>
      <c r="O4" s="2487"/>
      <c r="P4" s="3375" t="s">
        <v>1672</v>
      </c>
      <c r="Q4" s="3376"/>
      <c r="R4" s="3381" t="s">
        <v>1668</v>
      </c>
      <c r="S4" s="3382"/>
      <c r="T4" s="3381" t="s">
        <v>1669</v>
      </c>
      <c r="U4" s="3382"/>
      <c r="V4" s="3368" t="s">
        <v>1670</v>
      </c>
      <c r="W4" s="3368"/>
      <c r="X4" s="1264"/>
      <c r="Y4" s="3381" t="s">
        <v>1672</v>
      </c>
      <c r="Z4" s="3382"/>
      <c r="AA4" s="3369" t="s">
        <v>1668</v>
      </c>
      <c r="AB4" s="3369" t="s">
        <v>1669</v>
      </c>
      <c r="AC4" s="3369" t="s">
        <v>1670</v>
      </c>
    </row>
    <row r="5" spans="1:29">
      <c r="A5" s="348"/>
      <c r="B5" s="349"/>
      <c r="C5" s="3389" t="s">
        <v>1673</v>
      </c>
      <c r="D5" s="3390"/>
      <c r="E5" s="3396" t="s">
        <v>1674</v>
      </c>
      <c r="F5" s="3397"/>
      <c r="G5" s="3389" t="s">
        <v>1675</v>
      </c>
      <c r="H5" s="3390"/>
      <c r="I5" s="3389" t="s">
        <v>1676</v>
      </c>
      <c r="J5" s="3390"/>
      <c r="K5" s="1744"/>
      <c r="L5" s="2486"/>
      <c r="M5" s="2487"/>
      <c r="N5" s="2487"/>
      <c r="O5" s="2487"/>
      <c r="P5" s="3377"/>
      <c r="Q5" s="3378"/>
      <c r="R5" s="3383"/>
      <c r="S5" s="3384"/>
      <c r="T5" s="3383"/>
      <c r="U5" s="3384"/>
      <c r="V5" s="3368"/>
      <c r="W5" s="3368"/>
      <c r="X5" s="1264"/>
      <c r="Y5" s="3383"/>
      <c r="Z5" s="3384"/>
      <c r="AA5" s="3370"/>
      <c r="AB5" s="3370"/>
      <c r="AC5" s="3370"/>
    </row>
    <row r="6" spans="1:29" ht="15" thickBot="1">
      <c r="A6" s="350"/>
      <c r="B6" s="351"/>
      <c r="C6" s="3387" t="s">
        <v>1677</v>
      </c>
      <c r="D6" s="3388"/>
      <c r="E6" s="3394" t="s">
        <v>1677</v>
      </c>
      <c r="F6" s="3395"/>
      <c r="G6" s="3387" t="s">
        <v>1677</v>
      </c>
      <c r="H6" s="3388"/>
      <c r="I6" s="3387" t="s">
        <v>1677</v>
      </c>
      <c r="J6" s="3388"/>
      <c r="K6" s="1744" t="s">
        <v>1678</v>
      </c>
      <c r="L6" s="2486"/>
      <c r="M6" s="2487"/>
      <c r="N6" s="2487"/>
      <c r="O6" s="2487"/>
      <c r="P6" s="3379"/>
      <c r="Q6" s="3380"/>
      <c r="R6" s="3383"/>
      <c r="S6" s="3384"/>
      <c r="T6" s="3385"/>
      <c r="U6" s="3386"/>
      <c r="V6" s="3368"/>
      <c r="W6" s="3368"/>
      <c r="X6" s="1264"/>
      <c r="Y6" s="3385"/>
      <c r="Z6" s="3386"/>
      <c r="AA6" s="3371"/>
      <c r="AB6" s="3371"/>
      <c r="AC6" s="3371"/>
    </row>
    <row r="7" spans="1:29" s="102" customFormat="1" ht="15" thickBot="1">
      <c r="A7" s="352" t="s">
        <v>1679</v>
      </c>
      <c r="B7" s="353"/>
      <c r="C7" s="354">
        <f>'数据-取费表'!B2</f>
        <v>45526</v>
      </c>
      <c r="D7" s="355">
        <v>100</v>
      </c>
      <c r="E7" s="356"/>
      <c r="F7" s="357">
        <f>SUMIF(58:58,YEAR(E7)&amp;"-"&amp;MONTH(E7),59:59)</f>
        <v>0</v>
      </c>
      <c r="G7" s="356"/>
      <c r="H7" s="355">
        <f>SUMIF(58:58,YEAR(G7)&amp;"-"&amp;MONTH(G7),59:59)</f>
        <v>0</v>
      </c>
      <c r="I7" s="356"/>
      <c r="J7" s="355">
        <f>SUMIF(58:58,YEAR(I7)&amp;"-"&amp;MONTH(I7),59:59)</f>
        <v>0</v>
      </c>
      <c r="K7" s="1745"/>
      <c r="L7" s="2488"/>
      <c r="M7" s="2439"/>
      <c r="N7" s="2439"/>
      <c r="O7" s="2439"/>
      <c r="P7" s="3391" t="s">
        <v>1680</v>
      </c>
      <c r="Q7" s="3393"/>
      <c r="R7" s="664" t="s">
        <v>20</v>
      </c>
      <c r="S7" s="665">
        <f t="shared" ref="S7:S15" si="0">F7</f>
        <v>0</v>
      </c>
      <c r="T7" s="664" t="s">
        <v>20</v>
      </c>
      <c r="U7" s="665">
        <f t="shared" ref="U7:U15" si="1">H7</f>
        <v>0</v>
      </c>
      <c r="V7" s="664" t="s">
        <v>20</v>
      </c>
      <c r="W7" s="665">
        <f t="shared" ref="W7:W15" si="2">J7</f>
        <v>0</v>
      </c>
      <c r="X7" s="666"/>
      <c r="Y7" s="3391" t="s">
        <v>1680</v>
      </c>
      <c r="Z7" s="3392"/>
      <c r="AA7" s="50" t="e">
        <f>D7/F7</f>
        <v>#DIV/0!</v>
      </c>
      <c r="AB7" s="50" t="e">
        <f>D7/H7</f>
        <v>#DIV/0!</v>
      </c>
      <c r="AC7" s="50" t="e">
        <f>D7/J7</f>
        <v>#DIV/0!</v>
      </c>
    </row>
    <row r="8" spans="1:29" s="102" customFormat="1" ht="1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8"/>
      <c r="M8" s="2439"/>
      <c r="N8" s="2439"/>
      <c r="O8" s="2439"/>
      <c r="P8" s="3391" t="s">
        <v>1683</v>
      </c>
      <c r="Q8" s="3392"/>
      <c r="R8" s="664" t="s">
        <v>20</v>
      </c>
      <c r="S8" s="665">
        <f t="shared" si="0"/>
        <v>100</v>
      </c>
      <c r="T8" s="664" t="s">
        <v>20</v>
      </c>
      <c r="U8" s="665">
        <f t="shared" si="1"/>
        <v>100</v>
      </c>
      <c r="V8" s="664" t="s">
        <v>20</v>
      </c>
      <c r="W8" s="665">
        <f t="shared" si="2"/>
        <v>100</v>
      </c>
      <c r="X8" s="666"/>
      <c r="Y8" s="3391" t="s">
        <v>1683</v>
      </c>
      <c r="Z8" s="3392"/>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362"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362"/>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62"/>
      <c r="Q11" s="530" t="str">
        <f t="shared" si="6"/>
        <v>容积率</v>
      </c>
      <c r="R11" s="664" t="s">
        <v>18</v>
      </c>
      <c r="S11" s="665" t="e">
        <f t="shared" si="0"/>
        <v>#N/A</v>
      </c>
      <c r="T11" s="664" t="s">
        <v>18</v>
      </c>
      <c r="U11" s="665" t="e">
        <f t="shared" si="1"/>
        <v>#N/A</v>
      </c>
      <c r="V11" s="664" t="s">
        <v>18</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362"/>
      <c r="Q12" s="530">
        <f t="shared" si="6"/>
        <v>111</v>
      </c>
      <c r="R12" s="664" t="s">
        <v>18</v>
      </c>
      <c r="S12" s="665">
        <f t="shared" si="0"/>
        <v>100</v>
      </c>
      <c r="T12" s="664" t="s">
        <v>18</v>
      </c>
      <c r="U12" s="665">
        <f t="shared" si="1"/>
        <v>100</v>
      </c>
      <c r="V12" s="664" t="s">
        <v>18</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62"/>
      <c r="Q13" s="530">
        <f t="shared" si="6"/>
        <v>111</v>
      </c>
      <c r="R13" s="664" t="s">
        <v>18</v>
      </c>
      <c r="S13" s="665">
        <f t="shared" si="0"/>
        <v>100</v>
      </c>
      <c r="T13" s="664" t="s">
        <v>18</v>
      </c>
      <c r="U13" s="665">
        <f t="shared" si="1"/>
        <v>100</v>
      </c>
      <c r="V13" s="664" t="s">
        <v>18</v>
      </c>
      <c r="W13" s="665">
        <f t="shared" si="2"/>
        <v>100</v>
      </c>
      <c r="X13" s="666"/>
      <c r="Y13" s="3263"/>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62"/>
      <c r="Q14" s="530">
        <f t="shared" si="6"/>
        <v>111</v>
      </c>
      <c r="R14" s="664" t="s">
        <v>18</v>
      </c>
      <c r="S14" s="665">
        <f t="shared" si="0"/>
        <v>100</v>
      </c>
      <c r="T14" s="664" t="s">
        <v>18</v>
      </c>
      <c r="U14" s="665">
        <f t="shared" si="1"/>
        <v>100</v>
      </c>
      <c r="V14" s="664" t="s">
        <v>18</v>
      </c>
      <c r="W14" s="665">
        <f t="shared" si="2"/>
        <v>100</v>
      </c>
      <c r="X14" s="666"/>
      <c r="Y14" s="3263"/>
      <c r="Z14" s="50">
        <f t="shared" si="7"/>
        <v>111</v>
      </c>
      <c r="AA14" s="50">
        <f t="shared" si="3"/>
        <v>1</v>
      </c>
      <c r="AB14" s="50">
        <f t="shared" si="4"/>
        <v>1</v>
      </c>
      <c r="AC14" s="50">
        <f t="shared" si="5"/>
        <v>1</v>
      </c>
    </row>
    <row r="15" spans="1:29" ht="15">
      <c r="A15" s="379" t="s">
        <v>1690</v>
      </c>
      <c r="B15" s="58" t="s">
        <v>1257</v>
      </c>
      <c r="C15" s="1749">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32" t="s">
        <v>1691</v>
      </c>
      <c r="Q15" s="1262" t="str">
        <f t="shared" si="6"/>
        <v>居住社区成熟度</v>
      </c>
      <c r="R15" s="667" t="s">
        <v>18</v>
      </c>
      <c r="S15" s="668">
        <f t="shared" si="0"/>
        <v>100</v>
      </c>
      <c r="T15" s="667" t="s">
        <v>18</v>
      </c>
      <c r="U15" s="668">
        <f t="shared" si="1"/>
        <v>100</v>
      </c>
      <c r="V15" s="667" t="s">
        <v>18</v>
      </c>
      <c r="W15" s="668">
        <f t="shared" si="2"/>
        <v>100</v>
      </c>
      <c r="X15" s="1264"/>
      <c r="Y15" s="3364"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2"/>
      <c r="M16" s="2487"/>
      <c r="N16" s="2487"/>
      <c r="O16" s="2487"/>
      <c r="P16" s="3433"/>
      <c r="Q16" s="1262"/>
      <c r="R16" s="667"/>
      <c r="S16" s="668"/>
      <c r="T16" s="667"/>
      <c r="U16" s="668"/>
      <c r="V16" s="667"/>
      <c r="W16" s="668"/>
      <c r="X16" s="1264"/>
      <c r="Y16" s="3365"/>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33"/>
      <c r="Q17" s="1262" t="str">
        <f>B17</f>
        <v>交通便捷度</v>
      </c>
      <c r="R17" s="667" t="s">
        <v>18</v>
      </c>
      <c r="S17" s="668">
        <f>F17</f>
        <v>100</v>
      </c>
      <c r="T17" s="667" t="s">
        <v>18</v>
      </c>
      <c r="U17" s="668">
        <f>H17</f>
        <v>100</v>
      </c>
      <c r="V17" s="667" t="s">
        <v>18</v>
      </c>
      <c r="W17" s="668">
        <f>J17</f>
        <v>100</v>
      </c>
      <c r="X17" s="1264"/>
      <c r="Y17" s="3365"/>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2"/>
      <c r="M18" s="2487"/>
      <c r="N18" s="2487"/>
      <c r="O18" s="2487"/>
      <c r="P18" s="3433"/>
      <c r="Q18" s="1262"/>
      <c r="R18" s="667"/>
      <c r="S18" s="668"/>
      <c r="T18" s="667"/>
      <c r="U18" s="668"/>
      <c r="V18" s="667"/>
      <c r="W18" s="668"/>
      <c r="X18" s="1264"/>
      <c r="Y18" s="3365"/>
      <c r="Z18" s="1263"/>
      <c r="AA18" s="1263">
        <v>1</v>
      </c>
      <c r="AB18" s="1263">
        <v>1</v>
      </c>
      <c r="AC18" s="1263">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33"/>
      <c r="Q19" s="1262" t="str">
        <f>B19</f>
        <v>公共配套设施</v>
      </c>
      <c r="R19" s="667" t="s">
        <v>18</v>
      </c>
      <c r="S19" s="668">
        <f>F19</f>
        <v>100</v>
      </c>
      <c r="T19" s="667" t="s">
        <v>18</v>
      </c>
      <c r="U19" s="668">
        <f>H19</f>
        <v>100</v>
      </c>
      <c r="V19" s="667" t="s">
        <v>18</v>
      </c>
      <c r="W19" s="668">
        <f>J19</f>
        <v>100</v>
      </c>
      <c r="X19" s="1264"/>
      <c r="Y19" s="3365"/>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2"/>
      <c r="M20" s="2487"/>
      <c r="N20" s="2487"/>
      <c r="O20" s="2487"/>
      <c r="P20" s="3433"/>
      <c r="Q20" s="1262"/>
      <c r="R20" s="667"/>
      <c r="S20" s="668"/>
      <c r="T20" s="667"/>
      <c r="U20" s="668"/>
      <c r="V20" s="667"/>
      <c r="W20" s="668"/>
      <c r="X20" s="1264"/>
      <c r="Y20" s="3365"/>
      <c r="Z20" s="1263"/>
      <c r="AA20" s="1263">
        <v>1</v>
      </c>
      <c r="AB20" s="1263">
        <v>1</v>
      </c>
      <c r="AC20" s="1263">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33"/>
      <c r="Q21" s="1262" t="str">
        <f>B21</f>
        <v>基础设施水平</v>
      </c>
      <c r="R21" s="667" t="s">
        <v>14</v>
      </c>
      <c r="S21" s="668">
        <f>F21</f>
        <v>100</v>
      </c>
      <c r="T21" s="667" t="s">
        <v>14</v>
      </c>
      <c r="U21" s="668">
        <f>H21</f>
        <v>100</v>
      </c>
      <c r="V21" s="667" t="s">
        <v>14</v>
      </c>
      <c r="W21" s="668">
        <f>J21</f>
        <v>100</v>
      </c>
      <c r="X21" s="1264"/>
      <c r="Y21" s="3365"/>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2"/>
      <c r="M22" s="2487"/>
      <c r="N22" s="2487"/>
      <c r="O22" s="2487"/>
      <c r="P22" s="3433"/>
      <c r="Q22" s="1262"/>
      <c r="R22" s="667"/>
      <c r="S22" s="668"/>
      <c r="T22" s="667"/>
      <c r="U22" s="668"/>
      <c r="V22" s="667"/>
      <c r="W22" s="668"/>
      <c r="X22" s="1264"/>
      <c r="Y22" s="3365"/>
      <c r="Z22" s="1263"/>
      <c r="AA22" s="1263">
        <v>1</v>
      </c>
      <c r="AB22" s="1263">
        <v>1</v>
      </c>
      <c r="AC22" s="1263">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33"/>
      <c r="Q23" s="1262" t="str">
        <f>B23</f>
        <v>自然及人文环境</v>
      </c>
      <c r="R23" s="667" t="s">
        <v>18</v>
      </c>
      <c r="S23" s="668">
        <f>F23</f>
        <v>100</v>
      </c>
      <c r="T23" s="667" t="s">
        <v>18</v>
      </c>
      <c r="U23" s="668">
        <f>H23</f>
        <v>100</v>
      </c>
      <c r="V23" s="667" t="s">
        <v>18</v>
      </c>
      <c r="W23" s="668">
        <f>J23</f>
        <v>100</v>
      </c>
      <c r="X23" s="1264"/>
      <c r="Y23" s="3365"/>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2"/>
      <c r="M24" s="2487"/>
      <c r="N24" s="2487"/>
      <c r="O24" s="2487"/>
      <c r="P24" s="3433"/>
      <c r="Q24" s="1262"/>
      <c r="R24" s="667"/>
      <c r="S24" s="668"/>
      <c r="T24" s="667"/>
      <c r="U24" s="668"/>
      <c r="V24" s="667"/>
      <c r="W24" s="668"/>
      <c r="X24" s="1264"/>
      <c r="Y24" s="3365"/>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33"/>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65"/>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2"/>
      <c r="M26" s="2487"/>
      <c r="N26" s="2487"/>
      <c r="O26" s="2487"/>
      <c r="P26" s="3433"/>
      <c r="Q26" s="1262" t="str">
        <f t="shared" si="11"/>
        <v>朝向</v>
      </c>
      <c r="R26" s="667" t="s">
        <v>18</v>
      </c>
      <c r="S26" s="668">
        <f t="shared" si="12"/>
        <v>100</v>
      </c>
      <c r="T26" s="667" t="s">
        <v>18</v>
      </c>
      <c r="U26" s="668">
        <f t="shared" si="13"/>
        <v>100</v>
      </c>
      <c r="V26" s="667" t="s">
        <v>18</v>
      </c>
      <c r="W26" s="668">
        <f t="shared" si="14"/>
        <v>100</v>
      </c>
      <c r="X26" s="1264"/>
      <c r="Y26" s="3365"/>
      <c r="Z26" s="1263" t="str">
        <f>Q26</f>
        <v>朝向</v>
      </c>
      <c r="AA26" s="1263">
        <f t="shared" si="15"/>
        <v>1</v>
      </c>
      <c r="AB26" s="1263">
        <f t="shared" si="16"/>
        <v>1</v>
      </c>
      <c r="AC26" s="1263">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8"/>
      <c r="M27" s="2439"/>
      <c r="N27" s="2439"/>
      <c r="O27" s="2439"/>
      <c r="P27" s="3433"/>
      <c r="Q27" s="530">
        <f t="shared" si="11"/>
        <v>111</v>
      </c>
      <c r="R27" s="664" t="s">
        <v>18</v>
      </c>
      <c r="S27" s="665">
        <f t="shared" si="12"/>
        <v>100</v>
      </c>
      <c r="T27" s="664" t="s">
        <v>18</v>
      </c>
      <c r="U27" s="665">
        <f t="shared" si="13"/>
        <v>100</v>
      </c>
      <c r="V27" s="664" t="s">
        <v>18</v>
      </c>
      <c r="W27" s="665">
        <f t="shared" si="14"/>
        <v>100</v>
      </c>
      <c r="X27" s="666"/>
      <c r="Y27" s="3365"/>
      <c r="Z27" s="50">
        <f>Q27</f>
        <v>111</v>
      </c>
      <c r="AA27" s="1263">
        <f t="shared" si="15"/>
        <v>1</v>
      </c>
      <c r="AB27" s="1263">
        <f t="shared" si="16"/>
        <v>1</v>
      </c>
      <c r="AC27" s="1263">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33"/>
      <c r="Q28" s="1262">
        <f t="shared" si="11"/>
        <v>111</v>
      </c>
      <c r="R28" s="667" t="s">
        <v>18</v>
      </c>
      <c r="S28" s="668">
        <f t="shared" si="12"/>
        <v>100</v>
      </c>
      <c r="T28" s="667" t="s">
        <v>18</v>
      </c>
      <c r="U28" s="668">
        <f t="shared" si="13"/>
        <v>100</v>
      </c>
      <c r="V28" s="667" t="s">
        <v>18</v>
      </c>
      <c r="W28" s="668">
        <f t="shared" si="14"/>
        <v>100</v>
      </c>
      <c r="X28" s="1264"/>
      <c r="Y28" s="3365"/>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33"/>
      <c r="Q29" s="1262">
        <f t="shared" si="11"/>
        <v>111</v>
      </c>
      <c r="R29" s="667" t="s">
        <v>18</v>
      </c>
      <c r="S29" s="668">
        <f t="shared" si="12"/>
        <v>100</v>
      </c>
      <c r="T29" s="667" t="s">
        <v>18</v>
      </c>
      <c r="U29" s="668">
        <f t="shared" si="13"/>
        <v>100</v>
      </c>
      <c r="V29" s="667" t="s">
        <v>18</v>
      </c>
      <c r="W29" s="668">
        <f t="shared" si="14"/>
        <v>100</v>
      </c>
      <c r="X29" s="1264"/>
      <c r="Y29" s="3365"/>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33"/>
      <c r="Q30" s="1262">
        <f t="shared" si="11"/>
        <v>111</v>
      </c>
      <c r="R30" s="667" t="s">
        <v>18</v>
      </c>
      <c r="S30" s="668">
        <f t="shared" si="12"/>
        <v>100</v>
      </c>
      <c r="T30" s="667" t="s">
        <v>18</v>
      </c>
      <c r="U30" s="668">
        <f t="shared" si="13"/>
        <v>100</v>
      </c>
      <c r="V30" s="667" t="s">
        <v>18</v>
      </c>
      <c r="W30" s="668">
        <f t="shared" si="14"/>
        <v>100</v>
      </c>
      <c r="X30" s="1264"/>
      <c r="Y30" s="3365"/>
      <c r="Z30" s="1263">
        <f t="shared" si="18"/>
        <v>111</v>
      </c>
      <c r="AA30" s="1263">
        <f t="shared" si="15"/>
        <v>1</v>
      </c>
      <c r="AB30" s="1263">
        <f t="shared" si="16"/>
        <v>1</v>
      </c>
      <c r="AC30" s="1263">
        <f t="shared" si="17"/>
        <v>1</v>
      </c>
    </row>
    <row r="31" spans="1:29" ht="15.6"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33"/>
      <c r="Q31" s="1262">
        <f t="shared" si="11"/>
        <v>111</v>
      </c>
      <c r="R31" s="667" t="s">
        <v>18</v>
      </c>
      <c r="S31" s="668">
        <f t="shared" si="12"/>
        <v>100</v>
      </c>
      <c r="T31" s="667" t="s">
        <v>18</v>
      </c>
      <c r="U31" s="668">
        <f t="shared" si="13"/>
        <v>100</v>
      </c>
      <c r="V31" s="667" t="s">
        <v>18</v>
      </c>
      <c r="W31" s="668">
        <f t="shared" si="14"/>
        <v>100</v>
      </c>
      <c r="X31" s="1264"/>
      <c r="Y31" s="3365"/>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28" t="s">
        <v>1696</v>
      </c>
      <c r="Q32" s="1262" t="str">
        <f t="shared" si="11"/>
        <v>建筑类型</v>
      </c>
      <c r="R32" s="667" t="s">
        <v>18</v>
      </c>
      <c r="S32" s="668">
        <f t="shared" si="12"/>
        <v>100</v>
      </c>
      <c r="T32" s="667" t="s">
        <v>18</v>
      </c>
      <c r="U32" s="668">
        <f t="shared" si="13"/>
        <v>100</v>
      </c>
      <c r="V32" s="667" t="s">
        <v>18</v>
      </c>
      <c r="W32" s="668">
        <f t="shared" si="14"/>
        <v>100</v>
      </c>
      <c r="X32" s="1264"/>
      <c r="Y32" s="3367"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1"/>
      <c r="M33" s="2493"/>
      <c r="N33" s="2493"/>
      <c r="O33" s="2493"/>
      <c r="P33" s="3429"/>
      <c r="Q33" s="531" t="str">
        <f t="shared" si="11"/>
        <v>项目建筑规模</v>
      </c>
      <c r="R33" s="669" t="s">
        <v>18</v>
      </c>
      <c r="S33" s="670" t="e">
        <f t="shared" si="12"/>
        <v>#N/A</v>
      </c>
      <c r="T33" s="669" t="s">
        <v>18</v>
      </c>
      <c r="U33" s="670" t="e">
        <f t="shared" si="13"/>
        <v>#N/A</v>
      </c>
      <c r="V33" s="669" t="s">
        <v>18</v>
      </c>
      <c r="W33" s="670" t="e">
        <f t="shared" si="14"/>
        <v>#N/A</v>
      </c>
      <c r="X33" s="671"/>
      <c r="Y33" s="3367"/>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29"/>
      <c r="Q34" s="1262" t="str">
        <f t="shared" si="11"/>
        <v>建筑结构</v>
      </c>
      <c r="R34" s="667" t="s">
        <v>18</v>
      </c>
      <c r="S34" s="668">
        <f t="shared" si="12"/>
        <v>100</v>
      </c>
      <c r="T34" s="667" t="s">
        <v>18</v>
      </c>
      <c r="U34" s="668">
        <f t="shared" si="13"/>
        <v>100</v>
      </c>
      <c r="V34" s="667" t="s">
        <v>18</v>
      </c>
      <c r="W34" s="668">
        <f t="shared" si="14"/>
        <v>100</v>
      </c>
      <c r="X34" s="1264"/>
      <c r="Y34" s="3367"/>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29"/>
      <c r="Q35" s="1262" t="str">
        <f t="shared" si="11"/>
        <v>建筑品质</v>
      </c>
      <c r="R35" s="667" t="s">
        <v>18</v>
      </c>
      <c r="S35" s="668">
        <f t="shared" si="12"/>
        <v>100</v>
      </c>
      <c r="T35" s="667" t="s">
        <v>18</v>
      </c>
      <c r="U35" s="668">
        <f t="shared" si="13"/>
        <v>100</v>
      </c>
      <c r="V35" s="667" t="s">
        <v>18</v>
      </c>
      <c r="W35" s="668">
        <f t="shared" si="14"/>
        <v>100</v>
      </c>
      <c r="X35" s="1264"/>
      <c r="Y35" s="3367"/>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29"/>
      <c r="Q36" s="1262" t="str">
        <f t="shared" si="11"/>
        <v>公共部分装修</v>
      </c>
      <c r="R36" s="667" t="s">
        <v>18</v>
      </c>
      <c r="S36" s="668">
        <f t="shared" si="12"/>
        <v>100</v>
      </c>
      <c r="T36" s="667" t="s">
        <v>18</v>
      </c>
      <c r="U36" s="668">
        <f t="shared" si="13"/>
        <v>100</v>
      </c>
      <c r="V36" s="667" t="s">
        <v>18</v>
      </c>
      <c r="W36" s="668">
        <f t="shared" si="14"/>
        <v>100</v>
      </c>
      <c r="X36" s="1264"/>
      <c r="Y36" s="3367"/>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429"/>
      <c r="Q37" s="530" t="str">
        <f t="shared" si="11"/>
        <v>成新度</v>
      </c>
      <c r="R37" s="664" t="s">
        <v>18</v>
      </c>
      <c r="S37" s="665" t="e">
        <f t="shared" si="12"/>
        <v>#N/A</v>
      </c>
      <c r="T37" s="664" t="s">
        <v>18</v>
      </c>
      <c r="U37" s="665" t="e">
        <f t="shared" si="13"/>
        <v>#N/A</v>
      </c>
      <c r="V37" s="664" t="s">
        <v>18</v>
      </c>
      <c r="W37" s="665" t="e">
        <f t="shared" si="14"/>
        <v>#N/A</v>
      </c>
      <c r="X37" s="666"/>
      <c r="Y37" s="3367"/>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29" t="s">
        <v>1696</v>
      </c>
      <c r="Q38" s="1262" t="str">
        <f t="shared" si="11"/>
        <v>物业管理</v>
      </c>
      <c r="R38" s="667" t="s">
        <v>18</v>
      </c>
      <c r="S38" s="668">
        <f t="shared" si="12"/>
        <v>100</v>
      </c>
      <c r="T38" s="667" t="s">
        <v>18</v>
      </c>
      <c r="U38" s="668">
        <f t="shared" si="13"/>
        <v>100</v>
      </c>
      <c r="V38" s="667" t="s">
        <v>18</v>
      </c>
      <c r="W38" s="668">
        <f t="shared" si="14"/>
        <v>100</v>
      </c>
      <c r="X38" s="1264"/>
      <c r="Y38" s="3367"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29"/>
      <c r="Q39" s="1262" t="str">
        <f t="shared" si="11"/>
        <v>市政基础设施</v>
      </c>
      <c r="R39" s="667" t="s">
        <v>18</v>
      </c>
      <c r="S39" s="668">
        <f t="shared" si="12"/>
        <v>100</v>
      </c>
      <c r="T39" s="667" t="s">
        <v>18</v>
      </c>
      <c r="U39" s="668">
        <f t="shared" si="13"/>
        <v>100</v>
      </c>
      <c r="V39" s="667" t="s">
        <v>18</v>
      </c>
      <c r="W39" s="668">
        <f t="shared" si="14"/>
        <v>100</v>
      </c>
      <c r="X39" s="1264"/>
      <c r="Y39" s="3367"/>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29"/>
      <c r="Q40" s="1262" t="str">
        <f t="shared" si="11"/>
        <v>房型</v>
      </c>
      <c r="R40" s="667" t="s">
        <v>18</v>
      </c>
      <c r="S40" s="668">
        <f t="shared" si="12"/>
        <v>100</v>
      </c>
      <c r="T40" s="667" t="s">
        <v>18</v>
      </c>
      <c r="U40" s="668">
        <f t="shared" si="13"/>
        <v>100</v>
      </c>
      <c r="V40" s="667" t="s">
        <v>18</v>
      </c>
      <c r="W40" s="668">
        <f t="shared" si="14"/>
        <v>100</v>
      </c>
      <c r="X40" s="1264"/>
      <c r="Y40" s="3367"/>
      <c r="Z40" s="1263" t="str">
        <f t="shared" si="18"/>
        <v>房型</v>
      </c>
      <c r="AA40" s="1263">
        <f t="shared" si="15"/>
        <v>1</v>
      </c>
      <c r="AB40" s="1263">
        <f t="shared" si="16"/>
        <v>1</v>
      </c>
      <c r="AC40" s="1263">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29"/>
      <c r="Q41" s="531" t="str">
        <f t="shared" si="11"/>
        <v>单套/主力户型建筑面积</v>
      </c>
      <c r="R41" s="669" t="s">
        <v>18</v>
      </c>
      <c r="S41" s="670">
        <f t="shared" si="12"/>
        <v>100</v>
      </c>
      <c r="T41" s="669" t="s">
        <v>18</v>
      </c>
      <c r="U41" s="670">
        <f t="shared" si="13"/>
        <v>100</v>
      </c>
      <c r="V41" s="669" t="s">
        <v>18</v>
      </c>
      <c r="W41" s="670">
        <f t="shared" si="14"/>
        <v>100</v>
      </c>
      <c r="X41" s="671"/>
      <c r="Y41" s="3367"/>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2"/>
      <c r="M42" s="2487"/>
      <c r="N42" s="2487"/>
      <c r="O42" s="2487"/>
      <c r="P42" s="3429"/>
      <c r="Q42" s="1262" t="str">
        <f t="shared" si="11"/>
        <v>内部装修</v>
      </c>
      <c r="R42" s="667" t="s">
        <v>18</v>
      </c>
      <c r="S42" s="668">
        <f t="shared" si="12"/>
        <v>100</v>
      </c>
      <c r="T42" s="667" t="s">
        <v>18</v>
      </c>
      <c r="U42" s="668">
        <f t="shared" si="13"/>
        <v>100</v>
      </c>
      <c r="V42" s="667" t="s">
        <v>18</v>
      </c>
      <c r="W42" s="668">
        <f t="shared" si="14"/>
        <v>100</v>
      </c>
      <c r="X42" s="1264"/>
      <c r="Y42" s="3367"/>
      <c r="Z42" s="1263" t="str">
        <f t="shared" si="18"/>
        <v>内部装修</v>
      </c>
      <c r="AA42" s="1263">
        <f t="shared" si="15"/>
        <v>1</v>
      </c>
      <c r="AB42" s="1263">
        <f t="shared" si="16"/>
        <v>1</v>
      </c>
      <c r="AC42" s="1263">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429"/>
      <c r="Q43" s="1262" t="str">
        <f t="shared" si="11"/>
        <v>内部装修维护情况</v>
      </c>
      <c r="R43" s="667" t="s">
        <v>18</v>
      </c>
      <c r="S43" s="668">
        <f t="shared" si="12"/>
        <v>100</v>
      </c>
      <c r="T43" s="667" t="s">
        <v>18</v>
      </c>
      <c r="U43" s="668">
        <f t="shared" si="13"/>
        <v>100</v>
      </c>
      <c r="V43" s="667" t="s">
        <v>18</v>
      </c>
      <c r="W43" s="668">
        <f t="shared" si="14"/>
        <v>100</v>
      </c>
      <c r="X43" s="1264"/>
      <c r="Y43" s="3367"/>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29"/>
      <c r="Q44" s="530">
        <f t="shared" si="11"/>
        <v>111</v>
      </c>
      <c r="R44" s="664" t="s">
        <v>18</v>
      </c>
      <c r="S44" s="665">
        <f t="shared" si="12"/>
        <v>100</v>
      </c>
      <c r="T44" s="664" t="s">
        <v>18</v>
      </c>
      <c r="U44" s="665">
        <f t="shared" si="13"/>
        <v>100</v>
      </c>
      <c r="V44" s="664" t="s">
        <v>18</v>
      </c>
      <c r="W44" s="665">
        <f t="shared" si="14"/>
        <v>100</v>
      </c>
      <c r="X44" s="666"/>
      <c r="Y44" s="336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29"/>
      <c r="Q45" s="1262">
        <f t="shared" si="11"/>
        <v>111</v>
      </c>
      <c r="R45" s="667" t="s">
        <v>18</v>
      </c>
      <c r="S45" s="668">
        <f t="shared" si="12"/>
        <v>100</v>
      </c>
      <c r="T45" s="667" t="s">
        <v>18</v>
      </c>
      <c r="U45" s="668">
        <f t="shared" si="13"/>
        <v>100</v>
      </c>
      <c r="V45" s="667" t="s">
        <v>18</v>
      </c>
      <c r="W45" s="668">
        <f t="shared" si="14"/>
        <v>100</v>
      </c>
      <c r="X45" s="1264"/>
      <c r="Y45" s="3367"/>
      <c r="Z45" s="1263">
        <f t="shared" si="18"/>
        <v>111</v>
      </c>
      <c r="AA45" s="1263">
        <f t="shared" si="15"/>
        <v>1</v>
      </c>
      <c r="AB45" s="1263">
        <f t="shared" si="16"/>
        <v>1</v>
      </c>
      <c r="AC45" s="1263">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30"/>
      <c r="Q46" s="1262">
        <f t="shared" si="11"/>
        <v>111</v>
      </c>
      <c r="R46" s="667" t="s">
        <v>17</v>
      </c>
      <c r="S46" s="668">
        <f t="shared" si="12"/>
        <v>100</v>
      </c>
      <c r="T46" s="667" t="s">
        <v>17</v>
      </c>
      <c r="U46" s="668">
        <f t="shared" si="13"/>
        <v>100</v>
      </c>
      <c r="V46" s="667" t="s">
        <v>17</v>
      </c>
      <c r="W46" s="668">
        <f t="shared" si="14"/>
        <v>100</v>
      </c>
      <c r="X46" s="1264"/>
      <c r="Y46" s="3431"/>
      <c r="Z46" s="1263">
        <f t="shared" si="18"/>
        <v>111</v>
      </c>
      <c r="AA46" s="1263">
        <f t="shared" si="15"/>
        <v>1</v>
      </c>
      <c r="AB46" s="1263">
        <f t="shared" si="16"/>
        <v>1</v>
      </c>
      <c r="AC46" s="1263">
        <f t="shared" si="17"/>
        <v>1</v>
      </c>
    </row>
    <row r="47" spans="1:29" ht="14.4">
      <c r="A47" s="416" t="s">
        <v>1708</v>
      </c>
      <c r="B47" s="417"/>
      <c r="C47" s="1081" t="s">
        <v>16</v>
      </c>
      <c r="D47" s="418"/>
      <c r="E47" s="419"/>
      <c r="F47" s="420"/>
      <c r="G47" s="421"/>
      <c r="H47" s="422"/>
      <c r="I47" s="419"/>
      <c r="J47" s="422"/>
      <c r="K47" s="1766"/>
      <c r="L47" s="2494"/>
      <c r="M47" s="2487"/>
      <c r="N47" s="2487"/>
      <c r="O47" s="2487"/>
      <c r="P47" s="3363" t="str">
        <f>A47</f>
        <v>成交单价（元/平方米）</v>
      </c>
      <c r="Q47" s="3363"/>
      <c r="R47" s="3368">
        <f>E47</f>
        <v>0</v>
      </c>
      <c r="S47" s="3368"/>
      <c r="T47" s="3368">
        <f>G47</f>
        <v>0</v>
      </c>
      <c r="U47" s="3368"/>
      <c r="V47" s="3368">
        <f>I47</f>
        <v>0</v>
      </c>
      <c r="W47" s="3368"/>
      <c r="X47" s="385"/>
      <c r="Y47" s="673"/>
      <c r="Z47" s="385"/>
      <c r="AA47" s="385"/>
      <c r="AB47" s="385"/>
      <c r="AC47" s="385"/>
    </row>
    <row r="48" spans="1:29" ht="15" thickBot="1">
      <c r="A48" s="423" t="s">
        <v>1709</v>
      </c>
      <c r="B48" s="424"/>
      <c r="C48" s="1082" t="e">
        <f>R49</f>
        <v>#DIV/0!</v>
      </c>
      <c r="D48" s="2140" t="s">
        <v>2138</v>
      </c>
      <c r="E48" s="1083" t="e">
        <f>R48</f>
        <v>#DIV/0!</v>
      </c>
      <c r="F48" s="2141"/>
      <c r="G48" s="1082" t="e">
        <f>T48</f>
        <v>#DIV/0!</v>
      </c>
      <c r="H48" s="2141"/>
      <c r="I48" s="1083" t="e">
        <f>V48</f>
        <v>#DIV/0!</v>
      </c>
      <c r="J48" s="2141"/>
      <c r="K48" s="2142">
        <f>F48+H48+J48</f>
        <v>0</v>
      </c>
      <c r="L48" s="2494"/>
      <c r="M48" s="2487"/>
      <c r="N48" s="2487"/>
      <c r="O48" s="2487"/>
      <c r="P48" s="3363" t="str">
        <f>A48</f>
        <v>比较价值（元/平方米）</v>
      </c>
      <c r="Q48" s="3363"/>
      <c r="R48" s="3368" t="e">
        <f>IF(F1="售价",ROUND(PRODUCT(R47,AA7:AA46),0),ROUND(PRODUCT(R47,AA7:AA46),1))</f>
        <v>#DIV/0!</v>
      </c>
      <c r="S48" s="3368"/>
      <c r="T48" s="3368" t="e">
        <f>IF(F1="售价",ROUND(PRODUCT(T47,AB7:AB46),0),ROUND(PRODUCT(T47,AB7:AB46),1))</f>
        <v>#DIV/0!</v>
      </c>
      <c r="U48" s="3368"/>
      <c r="V48" s="3368" t="e">
        <f>IF(F1="售价",ROUND(PRODUCT(V47,AC7:AC46),0),ROUND(PRODUCT(V47,AC7:AC46),1))</f>
        <v>#DIV/0!</v>
      </c>
      <c r="W48" s="3368"/>
      <c r="X48" s="385"/>
      <c r="Y48" s="385"/>
      <c r="Z48" s="385"/>
      <c r="AA48" s="385"/>
      <c r="AB48" s="385"/>
      <c r="AC48" s="385"/>
    </row>
    <row r="49" spans="1:29" ht="15" thickBot="1">
      <c r="A49" s="427" t="s">
        <v>1710</v>
      </c>
      <c r="B49" s="428"/>
      <c r="C49" s="1084" t="e">
        <f>R49</f>
        <v>#DIV/0!</v>
      </c>
      <c r="D49" s="351"/>
      <c r="E49" s="351"/>
      <c r="F49" s="351"/>
      <c r="G49" s="351"/>
      <c r="H49" s="351"/>
      <c r="I49" s="351"/>
      <c r="J49" s="351"/>
      <c r="K49" s="1767"/>
      <c r="L49" s="2494"/>
      <c r="M49" s="2487"/>
      <c r="N49" s="2487"/>
      <c r="O49" s="2487"/>
      <c r="P49" s="3357" t="str">
        <f>A49</f>
        <v>估价对象XX用房的比较价值（楼面单价，元/平方米）</v>
      </c>
      <c r="Q49" s="3358"/>
      <c r="R49" s="3427" t="e">
        <f>IF(F1="售价",ROUND(IF(D48="简单平均",AVERAGE(R48:V48),R48*F48+T48*H48+V48*J48),0),ROUND(IF(D48="简单平均",AVERAGE(R48:V48),R48*F48+T48*H48+V48*J48),1))</f>
        <v>#DIV/0!</v>
      </c>
      <c r="S49" s="3427"/>
      <c r="T49" s="3427"/>
      <c r="U49" s="3427"/>
      <c r="V49" s="3427"/>
      <c r="W49" s="342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2.2" thickBot="1">
      <c r="A57" s="658" t="s">
        <v>1714</v>
      </c>
      <c r="B57" s="385"/>
      <c r="C57" s="659"/>
      <c r="D57" s="659"/>
      <c r="E57" s="659"/>
      <c r="F57" s="660"/>
      <c r="G57" s="660"/>
      <c r="H57" s="659"/>
      <c r="I57" s="659"/>
      <c r="J57" s="659"/>
      <c r="K57" s="887"/>
      <c r="L57" s="888"/>
      <c r="M57" s="886"/>
      <c r="N57" s="886"/>
      <c r="O57" s="886"/>
      <c r="P57" s="1770"/>
      <c r="Q57" s="439"/>
    </row>
    <row r="58" spans="1:29" s="442" customFormat="1" ht="14.4">
      <c r="A58" s="440" t="s">
        <v>1715</v>
      </c>
      <c r="B58" s="441"/>
      <c r="C58" s="1104" t="str">
        <f>YEAR(C7)&amp;"-"&amp;MONTH(C7)</f>
        <v>2024-8</v>
      </c>
      <c r="D58" s="1103">
        <f>EDATE(C58,-1)</f>
        <v>45474</v>
      </c>
      <c r="E58" s="1103">
        <f>EDATE(D58,-1)</f>
        <v>45444</v>
      </c>
      <c r="F58" s="1103">
        <f t="shared" ref="F58:O58" si="19">EDATE(E58,-1)</f>
        <v>45413</v>
      </c>
      <c r="G58" s="1103">
        <f t="shared" si="19"/>
        <v>45383</v>
      </c>
      <c r="H58" s="1103">
        <f t="shared" si="19"/>
        <v>45352</v>
      </c>
      <c r="I58" s="1103">
        <f t="shared" si="19"/>
        <v>45323</v>
      </c>
      <c r="J58" s="1103">
        <f t="shared" si="19"/>
        <v>45292</v>
      </c>
      <c r="K58" s="1103">
        <f t="shared" si="19"/>
        <v>45261</v>
      </c>
      <c r="L58" s="1103">
        <f t="shared" si="19"/>
        <v>45231</v>
      </c>
      <c r="M58" s="1103">
        <f t="shared" si="19"/>
        <v>45200</v>
      </c>
      <c r="N58" s="1103">
        <f t="shared" si="19"/>
        <v>45170</v>
      </c>
      <c r="O58" s="1103">
        <f t="shared" si="19"/>
        <v>45139</v>
      </c>
      <c r="P58" s="1099"/>
    </row>
    <row r="59" spans="1:29" s="102" customFormat="1">
      <c r="A59" s="443"/>
      <c r="B59" s="1771"/>
      <c r="C59" s="1101">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8"/>
      <c r="O61" s="878"/>
      <c r="P61" s="1773"/>
      <c r="Q61" s="439"/>
    </row>
    <row r="62" spans="1:29" s="102" customFormat="1" ht="14.4" thickBot="1">
      <c r="A62" s="455"/>
      <c r="B62" s="444"/>
      <c r="C62" s="445">
        <v>100</v>
      </c>
      <c r="D62" s="446"/>
      <c r="E62" s="446"/>
      <c r="F62" s="446"/>
      <c r="G62" s="446"/>
      <c r="H62" s="446"/>
      <c r="I62" s="446"/>
      <c r="J62" s="446"/>
      <c r="K62" s="446"/>
      <c r="L62" s="446"/>
      <c r="M62" s="448"/>
      <c r="N62" s="878"/>
      <c r="O62" s="878"/>
      <c r="P62" s="1772"/>
      <c r="Q62" s="439"/>
    </row>
    <row r="63" spans="1:29" ht="14.4">
      <c r="A63" s="379" t="s">
        <v>1719</v>
      </c>
      <c r="B63" s="460" t="s">
        <v>1685</v>
      </c>
      <c r="C63" s="461">
        <f>C9</f>
        <v>0</v>
      </c>
      <c r="D63" s="462"/>
      <c r="E63" s="462"/>
      <c r="F63" s="462"/>
      <c r="G63" s="462"/>
      <c r="H63" s="462"/>
      <c r="I63" s="462"/>
      <c r="J63" s="462"/>
      <c r="K63" s="463"/>
      <c r="L63" s="464"/>
      <c r="M63" s="465"/>
      <c r="N63" s="879"/>
      <c r="O63" s="879"/>
      <c r="P63" s="1774"/>
      <c r="Q63" s="439"/>
    </row>
    <row r="64" spans="1:29" ht="14.4" thickBot="1">
      <c r="A64" s="367"/>
      <c r="B64" s="466"/>
      <c r="C64" s="467">
        <v>100</v>
      </c>
      <c r="D64" s="467"/>
      <c r="E64" s="467"/>
      <c r="F64" s="467"/>
      <c r="G64" s="467"/>
      <c r="H64" s="467"/>
      <c r="I64" s="467"/>
      <c r="J64" s="467"/>
      <c r="K64" s="467"/>
      <c r="L64" s="467"/>
      <c r="M64" s="468"/>
      <c r="N64" s="880"/>
      <c r="O64" s="880"/>
      <c r="P64" s="1774"/>
      <c r="Q64" s="439"/>
    </row>
    <row r="65" spans="1:17" ht="29.4" thickTop="1">
      <c r="A65" s="367"/>
      <c r="B65" s="469" t="s">
        <v>1688</v>
      </c>
      <c r="C65" s="513"/>
      <c r="D65" s="513"/>
      <c r="E65" s="513"/>
      <c r="F65" s="513"/>
      <c r="G65" s="513"/>
      <c r="H65" s="513"/>
      <c r="I65" s="513"/>
      <c r="J65" s="513"/>
      <c r="K65" s="513"/>
      <c r="L65" s="513"/>
      <c r="M65" s="513"/>
      <c r="N65" s="880"/>
      <c r="O65" s="880"/>
      <c r="P65" s="1774"/>
      <c r="Q65" s="439"/>
    </row>
    <row r="66" spans="1:17" ht="14.4" thickBot="1">
      <c r="A66" s="367"/>
      <c r="B66" s="474"/>
      <c r="C66" s="467"/>
      <c r="D66" s="467"/>
      <c r="E66" s="467"/>
      <c r="F66" s="467"/>
      <c r="G66" s="467"/>
      <c r="H66" s="467"/>
      <c r="I66" s="467"/>
      <c r="J66" s="467"/>
      <c r="K66" s="467"/>
      <c r="L66" s="467"/>
      <c r="M66" s="468"/>
      <c r="N66" s="880"/>
      <c r="O66" s="880"/>
      <c r="P66" s="1774"/>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c r="A68" s="367"/>
      <c r="B68" s="479"/>
      <c r="C68" s="480"/>
      <c r="D68" s="480"/>
      <c r="E68" s="480"/>
      <c r="F68" s="480"/>
      <c r="G68" s="480"/>
      <c r="H68" s="480"/>
      <c r="I68" s="480"/>
      <c r="J68" s="480"/>
      <c r="K68" s="481"/>
      <c r="L68" s="482"/>
      <c r="M68" s="483"/>
      <c r="N68" s="879"/>
      <c r="O68" s="879"/>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4.4" thickTop="1">
      <c r="A70" s="484"/>
      <c r="B70" s="469">
        <f>B12</f>
        <v>111</v>
      </c>
      <c r="C70" s="485"/>
      <c r="D70" s="485"/>
      <c r="E70" s="485"/>
      <c r="F70" s="485"/>
      <c r="G70" s="485"/>
      <c r="H70" s="486"/>
      <c r="I70" s="486"/>
      <c r="J70" s="486"/>
      <c r="K70" s="486"/>
      <c r="L70" s="487"/>
      <c r="M70" s="488"/>
      <c r="N70" s="881"/>
      <c r="O70" s="881"/>
      <c r="P70" s="1775"/>
      <c r="Q70" s="490"/>
    </row>
    <row r="71" spans="1:17" s="408" customFormat="1" ht="14.4" thickBot="1">
      <c r="A71" s="484"/>
      <c r="B71" s="474"/>
      <c r="C71" s="491"/>
      <c r="D71" s="467"/>
      <c r="E71" s="467"/>
      <c r="F71" s="467"/>
      <c r="G71" s="467"/>
      <c r="H71" s="467"/>
      <c r="I71" s="467"/>
      <c r="J71" s="467"/>
      <c r="K71" s="467"/>
      <c r="L71" s="467"/>
      <c r="M71" s="468"/>
      <c r="N71" s="880"/>
      <c r="O71" s="880"/>
      <c r="P71" s="1775"/>
      <c r="Q71" s="490"/>
    </row>
    <row r="72" spans="1:17" s="408" customFormat="1" ht="14.4" thickTop="1">
      <c r="A72" s="484"/>
      <c r="B72" s="469">
        <f>B13</f>
        <v>111</v>
      </c>
      <c r="C72" s="485"/>
      <c r="D72" s="485"/>
      <c r="E72" s="485"/>
      <c r="F72" s="485"/>
      <c r="G72" s="485"/>
      <c r="H72" s="486"/>
      <c r="I72" s="486"/>
      <c r="J72" s="486"/>
      <c r="K72" s="486"/>
      <c r="L72" s="487"/>
      <c r="M72" s="488"/>
      <c r="N72" s="881"/>
      <c r="O72" s="881"/>
      <c r="P72" s="1776"/>
      <c r="Q72" s="492"/>
    </row>
    <row r="73" spans="1:17" s="408" customFormat="1" ht="14.4" thickBot="1">
      <c r="A73" s="484"/>
      <c r="B73" s="474"/>
      <c r="C73" s="491"/>
      <c r="D73" s="491"/>
      <c r="E73" s="491"/>
      <c r="F73" s="491"/>
      <c r="G73" s="491"/>
      <c r="H73" s="493"/>
      <c r="I73" s="493"/>
      <c r="J73" s="493"/>
      <c r="K73" s="493"/>
      <c r="L73" s="493"/>
      <c r="M73" s="494"/>
      <c r="N73" s="881"/>
      <c r="O73" s="881"/>
      <c r="P73" s="1775"/>
      <c r="Q73" s="490"/>
    </row>
    <row r="74" spans="1:17" s="408" customFormat="1" ht="14.4" thickTop="1">
      <c r="A74" s="484"/>
      <c r="B74" s="477">
        <f>B14</f>
        <v>111</v>
      </c>
      <c r="C74" s="485"/>
      <c r="D74" s="485"/>
      <c r="E74" s="485"/>
      <c r="F74" s="485"/>
      <c r="G74" s="31"/>
      <c r="H74" s="495"/>
      <c r="I74" s="495"/>
      <c r="J74" s="495"/>
      <c r="K74" s="495"/>
      <c r="L74" s="496"/>
      <c r="M74" s="497"/>
      <c r="N74" s="881"/>
      <c r="O74" s="881"/>
      <c r="P74" s="1777"/>
      <c r="Q74" s="490"/>
    </row>
    <row r="75" spans="1:17" s="408" customFormat="1" ht="14.4" thickBot="1">
      <c r="A75" s="499"/>
      <c r="B75" s="500"/>
      <c r="C75" s="501"/>
      <c r="D75" s="501"/>
      <c r="E75" s="501"/>
      <c r="F75" s="501"/>
      <c r="G75" s="501"/>
      <c r="H75" s="502"/>
      <c r="I75" s="502"/>
      <c r="J75" s="502"/>
      <c r="K75" s="502"/>
      <c r="L75" s="502"/>
      <c r="M75" s="503"/>
      <c r="N75" s="881"/>
      <c r="O75" s="881"/>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 thickTop="1">
      <c r="A86" s="370"/>
      <c r="B86" s="469" t="s">
        <v>1734</v>
      </c>
      <c r="C86" s="485"/>
      <c r="D86" s="485"/>
      <c r="E86" s="485"/>
      <c r="F86" s="485"/>
      <c r="G86" s="485"/>
      <c r="H86" s="485"/>
      <c r="I86" s="485"/>
      <c r="J86" s="485"/>
      <c r="K86" s="485"/>
      <c r="L86" s="510"/>
      <c r="M86" s="511"/>
      <c r="N86" s="878"/>
      <c r="O86" s="878"/>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 thickTop="1">
      <c r="A88" s="370"/>
      <c r="B88" s="469" t="s">
        <v>1735</v>
      </c>
      <c r="C88" s="485"/>
      <c r="D88" s="485"/>
      <c r="E88" s="485"/>
      <c r="F88" s="1779"/>
      <c r="G88" s="485"/>
      <c r="H88" s="485"/>
      <c r="I88" s="485"/>
      <c r="J88" s="485"/>
      <c r="K88" s="485"/>
      <c r="L88" s="485"/>
      <c r="M88" s="511"/>
      <c r="N88" s="878"/>
      <c r="O88" s="878"/>
      <c r="P88" s="1774"/>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4.4" thickTop="1">
      <c r="A90" s="484"/>
      <c r="B90" s="469">
        <f>B27</f>
        <v>111</v>
      </c>
      <c r="C90" s="485"/>
      <c r="D90" s="485"/>
      <c r="E90" s="485"/>
      <c r="F90" s="485"/>
      <c r="G90" s="485"/>
      <c r="H90" s="486"/>
      <c r="I90" s="486"/>
      <c r="J90" s="486"/>
      <c r="K90" s="486"/>
      <c r="L90" s="487"/>
      <c r="M90" s="488"/>
      <c r="N90" s="881"/>
      <c r="O90" s="881"/>
      <c r="P90" s="1775"/>
      <c r="Q90" s="490"/>
    </row>
    <row r="91" spans="1:17" s="408" customFormat="1" ht="14.4" thickBot="1">
      <c r="A91" s="484"/>
      <c r="B91" s="474"/>
      <c r="C91" s="491"/>
      <c r="D91" s="491"/>
      <c r="E91" s="491"/>
      <c r="F91" s="491"/>
      <c r="G91" s="491"/>
      <c r="H91" s="493"/>
      <c r="I91" s="493"/>
      <c r="J91" s="493"/>
      <c r="K91" s="493"/>
      <c r="L91" s="493"/>
      <c r="M91" s="494"/>
      <c r="N91" s="881"/>
      <c r="O91" s="881"/>
      <c r="P91" s="1775"/>
      <c r="Q91" s="490"/>
    </row>
    <row r="92" spans="1:17" ht="14.4" thickTop="1">
      <c r="A92" s="367"/>
      <c r="B92" s="469">
        <f>B28</f>
        <v>111</v>
      </c>
      <c r="C92" s="485"/>
      <c r="D92" s="485"/>
      <c r="E92" s="485"/>
      <c r="F92" s="485"/>
      <c r="G92" s="513"/>
      <c r="H92" s="513"/>
      <c r="I92" s="513"/>
      <c r="J92" s="513"/>
      <c r="K92" s="514"/>
      <c r="L92" s="515"/>
      <c r="M92" s="516"/>
      <c r="N92" s="879"/>
      <c r="O92" s="879"/>
      <c r="P92" s="1774"/>
      <c r="Q92" s="439"/>
    </row>
    <row r="93" spans="1:17" ht="14.4" thickBot="1">
      <c r="A93" s="367"/>
      <c r="B93" s="474"/>
      <c r="C93" s="491"/>
      <c r="D93" s="467"/>
      <c r="E93" s="467"/>
      <c r="F93" s="467"/>
      <c r="G93" s="467"/>
      <c r="H93" s="467"/>
      <c r="I93" s="467"/>
      <c r="J93" s="467"/>
      <c r="K93" s="467"/>
      <c r="L93" s="467"/>
      <c r="M93" s="468"/>
      <c r="N93" s="880"/>
      <c r="O93" s="880"/>
      <c r="P93" s="1774"/>
      <c r="Q93" s="439"/>
    </row>
    <row r="94" spans="1:17" ht="14.4" thickTop="1">
      <c r="A94" s="367"/>
      <c r="B94" s="469">
        <f>B29</f>
        <v>111</v>
      </c>
      <c r="C94" s="485"/>
      <c r="D94" s="485"/>
      <c r="E94" s="485"/>
      <c r="F94" s="485"/>
      <c r="G94" s="513"/>
      <c r="H94" s="513"/>
      <c r="I94" s="513"/>
      <c r="J94" s="513"/>
      <c r="K94" s="514"/>
      <c r="L94" s="515"/>
      <c r="M94" s="516"/>
      <c r="N94" s="879"/>
      <c r="O94" s="879"/>
      <c r="P94" s="1774"/>
      <c r="Q94" s="439"/>
    </row>
    <row r="95" spans="1:17" ht="14.4" thickBot="1">
      <c r="A95" s="367"/>
      <c r="B95" s="474"/>
      <c r="C95" s="491"/>
      <c r="D95" s="491"/>
      <c r="E95" s="491"/>
      <c r="F95" s="491"/>
      <c r="G95" s="467"/>
      <c r="H95" s="467"/>
      <c r="I95" s="467"/>
      <c r="J95" s="467"/>
      <c r="K95" s="467"/>
      <c r="L95" s="467"/>
      <c r="M95" s="468"/>
      <c r="N95" s="880"/>
      <c r="O95" s="880"/>
      <c r="P95" s="1774"/>
      <c r="Q95" s="439"/>
    </row>
    <row r="96" spans="1:17" ht="14.4" thickTop="1">
      <c r="A96" s="367"/>
      <c r="B96" s="469">
        <f>B30</f>
        <v>111</v>
      </c>
      <c r="C96" s="485"/>
      <c r="D96" s="485"/>
      <c r="E96" s="485"/>
      <c r="F96" s="485"/>
      <c r="G96" s="513"/>
      <c r="H96" s="513"/>
      <c r="I96" s="513"/>
      <c r="J96" s="513"/>
      <c r="K96" s="514"/>
      <c r="L96" s="515"/>
      <c r="M96" s="516"/>
      <c r="N96" s="879"/>
      <c r="O96" s="879"/>
      <c r="P96" s="1774"/>
      <c r="Q96" s="439"/>
    </row>
    <row r="97" spans="1:17" ht="14.4" thickBot="1">
      <c r="A97" s="367"/>
      <c r="B97" s="474"/>
      <c r="C97" s="501"/>
      <c r="D97" s="501"/>
      <c r="E97" s="501"/>
      <c r="F97" s="501"/>
      <c r="G97" s="467"/>
      <c r="H97" s="467"/>
      <c r="I97" s="467"/>
      <c r="J97" s="467"/>
      <c r="K97" s="467"/>
      <c r="L97" s="467"/>
      <c r="M97" s="468"/>
      <c r="N97" s="880"/>
      <c r="O97" s="880"/>
      <c r="P97" s="1774"/>
      <c r="Q97" s="439"/>
    </row>
    <row r="98" spans="1:17" ht="14.4" thickTop="1">
      <c r="A98" s="367"/>
      <c r="B98" s="477">
        <f>B31</f>
        <v>111</v>
      </c>
      <c r="C98" s="517"/>
      <c r="D98" s="517"/>
      <c r="E98" s="517"/>
      <c r="F98" s="517"/>
      <c r="G98" s="517"/>
      <c r="H98" s="517"/>
      <c r="I98" s="517"/>
      <c r="J98" s="517"/>
      <c r="K98" s="518"/>
      <c r="L98" s="519"/>
      <c r="M98" s="520"/>
      <c r="N98" s="879"/>
      <c r="O98" s="879"/>
      <c r="P98" s="1774"/>
      <c r="Q98" s="439"/>
    </row>
    <row r="99" spans="1:17" ht="14.4" thickBot="1">
      <c r="A99" s="375"/>
      <c r="B99" s="500"/>
      <c r="C99" s="521"/>
      <c r="D99" s="521"/>
      <c r="E99" s="521"/>
      <c r="F99" s="521"/>
      <c r="G99" s="521"/>
      <c r="H99" s="521"/>
      <c r="I99" s="521"/>
      <c r="J99" s="521"/>
      <c r="K99" s="521"/>
      <c r="L99" s="521"/>
      <c r="M99" s="522"/>
      <c r="N99" s="880"/>
      <c r="O99" s="880"/>
      <c r="P99" s="1774"/>
      <c r="Q99" s="439"/>
    </row>
    <row r="100" spans="1:17" ht="14.4">
      <c r="A100" s="379" t="s">
        <v>1694</v>
      </c>
      <c r="B100" s="460" t="s">
        <v>1736</v>
      </c>
      <c r="C100" s="462"/>
      <c r="D100" s="462"/>
      <c r="E100" s="462"/>
      <c r="F100" s="462"/>
      <c r="G100" s="462"/>
      <c r="H100" s="462"/>
      <c r="I100" s="462"/>
      <c r="J100" s="462"/>
      <c r="K100" s="463"/>
      <c r="L100" s="464"/>
      <c r="M100" s="465"/>
      <c r="N100" s="879"/>
      <c r="O100" s="879"/>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4.4"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4.4"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4.4" thickBot="1">
      <c r="A127" s="484"/>
      <c r="B127" s="474"/>
      <c r="C127" s="491"/>
      <c r="D127" s="467"/>
      <c r="E127" s="467"/>
      <c r="F127" s="467"/>
      <c r="G127" s="491"/>
      <c r="H127" s="493"/>
      <c r="I127" s="493"/>
      <c r="J127" s="493"/>
      <c r="K127" s="493"/>
      <c r="L127" s="493"/>
      <c r="M127" s="494"/>
      <c r="N127" s="881"/>
      <c r="O127" s="881"/>
      <c r="P127" s="1775"/>
      <c r="Q127" s="490"/>
    </row>
    <row r="128" spans="1:17" ht="14.4" thickTop="1">
      <c r="A128" s="409"/>
      <c r="B128" s="469">
        <f>B45</f>
        <v>111</v>
      </c>
      <c r="C128" s="485"/>
      <c r="D128" s="485"/>
      <c r="E128" s="485"/>
      <c r="F128" s="485"/>
      <c r="G128" s="513"/>
      <c r="H128" s="513"/>
      <c r="I128" s="513"/>
      <c r="J128" s="513"/>
      <c r="K128" s="514"/>
      <c r="L128" s="515"/>
      <c r="M128" s="516"/>
      <c r="N128" s="879"/>
      <c r="O128" s="879"/>
      <c r="P128" s="1774"/>
      <c r="Q128" s="439"/>
    </row>
    <row r="129" spans="1:17" ht="14.4" thickBot="1">
      <c r="A129" s="367"/>
      <c r="B129" s="474"/>
      <c r="C129" s="491"/>
      <c r="D129" s="491"/>
      <c r="E129" s="491"/>
      <c r="F129" s="491"/>
      <c r="G129" s="467"/>
      <c r="H129" s="467"/>
      <c r="I129" s="467"/>
      <c r="J129" s="467"/>
      <c r="K129" s="467"/>
      <c r="L129" s="467"/>
      <c r="M129" s="468"/>
      <c r="N129" s="880"/>
      <c r="O129" s="880"/>
      <c r="P129" s="1774"/>
      <c r="Q129" s="439"/>
    </row>
    <row r="130" spans="1:17" ht="14.4" thickTop="1">
      <c r="A130" s="409"/>
      <c r="B130" s="477">
        <f>B46</f>
        <v>111</v>
      </c>
      <c r="C130" s="485"/>
      <c r="D130" s="485"/>
      <c r="E130" s="485"/>
      <c r="F130" s="485"/>
      <c r="G130" s="517"/>
      <c r="H130" s="517"/>
      <c r="I130" s="517"/>
      <c r="J130" s="517"/>
      <c r="K130" s="31"/>
      <c r="L130" s="457"/>
      <c r="M130" s="520"/>
      <c r="N130" s="879"/>
      <c r="O130" s="879"/>
      <c r="P130" s="1774"/>
      <c r="Q130" s="439"/>
    </row>
    <row r="131" spans="1:17" ht="14.4"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6.2"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7" priority="14"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J52:J54">
    <cfRule type="containsText" dxfId="102" priority="15" stopIfTrue="1" operator="containsText" text="超过">
      <formula>NOT(ISERROR(SEARCH("超过",F52)))</formula>
    </cfRule>
  </conditionalFormatting>
  <conditionalFormatting sqref="G52">
    <cfRule type="expression" dxfId="101" priority="9" stopIfTrue="1">
      <formula>$H$52="超过30%"</formula>
    </cfRule>
  </conditionalFormatting>
  <conditionalFormatting sqref="G53">
    <cfRule type="expression" dxfId="100" priority="8" stopIfTrue="1">
      <formula>$H$53="超过20%"</formula>
    </cfRule>
  </conditionalFormatting>
  <conditionalFormatting sqref="G54">
    <cfRule type="expression" dxfId="99" priority="12"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E9 G9 I9" xr:uid="{00000000-0002-0000-1C00-000011000000}">
      <formula1>住宅用途</formula1>
    </dataValidation>
    <dataValidation type="list" allowBlank="1" showInputMessage="1" showErrorMessage="1" sqref="C22 E22 G22 I22" xr:uid="{00000000-0002-0000-1C00-000012000000}">
      <formula1>基础设施水平</formula1>
    </dataValidation>
    <dataValidation type="list" allowBlank="1" showInputMessage="1" showErrorMessage="1" sqref="F1" xr:uid="{00000000-0002-0000-1C00-000013000000}">
      <formula1>"售价,租金"</formula1>
    </dataValidation>
    <dataValidation type="list" allowBlank="1" showInputMessage="1" showErrorMessage="1" sqref="C2" xr:uid="{00000000-0002-0000-1C00-000014000000}">
      <formula1>"需扣减承租人权益,——"</formula1>
    </dataValidation>
    <dataValidation type="list" allowBlank="1" showInputMessage="1" showErrorMessage="1" sqref="F2" xr:uid="{00000000-0002-0000-1C00-000015000000}">
      <formula1>估价方法</formula1>
    </dataValidation>
    <dataValidation type="list" allowBlank="1" showInputMessage="1" showErrorMessage="1" sqref="D48" xr:uid="{00000000-0002-0000-1C00-000016000000}">
      <formula1>"简单平均,加权平均"</formula1>
    </dataValidation>
    <dataValidation type="list" allowBlank="1" showInputMessage="1" showErrorMessage="1" sqref="E1" xr:uid="{00000000-0002-0000-1C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1766</v>
      </c>
      <c r="C1" s="1154" t="s">
        <v>1662</v>
      </c>
      <c r="D1" s="1141"/>
      <c r="E1" s="3124"/>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17457.32</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4.4">
      <c r="A4" s="345" t="s">
        <v>1769</v>
      </c>
      <c r="B4" s="346"/>
      <c r="C4" s="3360" t="s">
        <v>1770</v>
      </c>
      <c r="D4" s="3372"/>
      <c r="E4" s="3373" t="s">
        <v>1771</v>
      </c>
      <c r="F4" s="3374"/>
      <c r="G4" s="3360" t="s">
        <v>1772</v>
      </c>
      <c r="H4" s="3372"/>
      <c r="I4" s="3360" t="s">
        <v>1773</v>
      </c>
      <c r="J4" s="3372"/>
      <c r="K4" s="537" t="s">
        <v>1774</v>
      </c>
      <c r="L4" s="2486"/>
      <c r="M4" s="2487"/>
      <c r="N4" s="2487"/>
      <c r="O4" s="2487"/>
      <c r="P4" s="3375" t="s">
        <v>1775</v>
      </c>
      <c r="Q4" s="3376"/>
      <c r="R4" s="3381" t="s">
        <v>1771</v>
      </c>
      <c r="S4" s="3382"/>
      <c r="T4" s="3381" t="s">
        <v>1772</v>
      </c>
      <c r="U4" s="3382"/>
      <c r="V4" s="3368" t="s">
        <v>1773</v>
      </c>
      <c r="W4" s="3368"/>
      <c r="X4" s="1264"/>
      <c r="Y4" s="3381" t="s">
        <v>1775</v>
      </c>
      <c r="Z4" s="3382"/>
      <c r="AA4" s="3369" t="s">
        <v>1771</v>
      </c>
      <c r="AB4" s="3368" t="s">
        <v>1772</v>
      </c>
      <c r="AC4" s="3369" t="s">
        <v>1773</v>
      </c>
    </row>
    <row r="5" spans="1:29">
      <c r="A5" s="348"/>
      <c r="B5" s="349"/>
      <c r="C5" s="3389" t="s">
        <v>1673</v>
      </c>
      <c r="D5" s="3390"/>
      <c r="E5" s="3396" t="s">
        <v>1674</v>
      </c>
      <c r="F5" s="3397"/>
      <c r="G5" s="3389" t="s">
        <v>1675</v>
      </c>
      <c r="H5" s="3390"/>
      <c r="I5" s="3389" t="s">
        <v>1676</v>
      </c>
      <c r="J5" s="3390"/>
      <c r="K5" s="537"/>
      <c r="L5" s="2486"/>
      <c r="M5" s="2487"/>
      <c r="N5" s="2487"/>
      <c r="O5" s="2487"/>
      <c r="P5" s="3377"/>
      <c r="Q5" s="3378"/>
      <c r="R5" s="3383"/>
      <c r="S5" s="3384"/>
      <c r="T5" s="3383"/>
      <c r="U5" s="3384"/>
      <c r="V5" s="3368"/>
      <c r="W5" s="3368"/>
      <c r="X5" s="1264"/>
      <c r="Y5" s="3383"/>
      <c r="Z5" s="3384"/>
      <c r="AA5" s="3370"/>
      <c r="AB5" s="3368"/>
      <c r="AC5" s="3370"/>
    </row>
    <row r="6" spans="1:29" ht="15" thickBot="1">
      <c r="A6" s="350"/>
      <c r="B6" s="351"/>
      <c r="C6" s="3387" t="s">
        <v>1677</v>
      </c>
      <c r="D6" s="3388"/>
      <c r="E6" s="3394" t="s">
        <v>1677</v>
      </c>
      <c r="F6" s="3395"/>
      <c r="G6" s="3387" t="s">
        <v>1677</v>
      </c>
      <c r="H6" s="3388"/>
      <c r="I6" s="3387" t="s">
        <v>1677</v>
      </c>
      <c r="J6" s="3388"/>
      <c r="K6" s="537" t="s">
        <v>1678</v>
      </c>
      <c r="L6" s="2486"/>
      <c r="M6" s="2487"/>
      <c r="N6" s="2487"/>
      <c r="O6" s="2487"/>
      <c r="P6" s="3379"/>
      <c r="Q6" s="3380"/>
      <c r="R6" s="3383"/>
      <c r="S6" s="3384"/>
      <c r="T6" s="3385"/>
      <c r="U6" s="3386"/>
      <c r="V6" s="3368"/>
      <c r="W6" s="3368"/>
      <c r="X6" s="1264"/>
      <c r="Y6" s="3385"/>
      <c r="Z6" s="3386"/>
      <c r="AA6" s="3371"/>
      <c r="AB6" s="3368"/>
      <c r="AC6" s="3371"/>
    </row>
    <row r="7" spans="1:29" s="102" customFormat="1" ht="15" thickBot="1">
      <c r="A7" s="352" t="s">
        <v>1679</v>
      </c>
      <c r="B7" s="353"/>
      <c r="C7" s="354">
        <f>'数据-取费表'!B2</f>
        <v>45526</v>
      </c>
      <c r="D7" s="355">
        <v>100</v>
      </c>
      <c r="E7" s="356"/>
      <c r="F7" s="357">
        <f>SUMIF(58:58,YEAR(E7)&amp;"-"&amp;MONTH(E7),59:59)</f>
        <v>0</v>
      </c>
      <c r="G7" s="356"/>
      <c r="H7" s="355">
        <f>SUMIF(58:58,YEAR(G7)&amp;"-"&amp;MONTH(G7),59:59)</f>
        <v>0</v>
      </c>
      <c r="I7" s="356"/>
      <c r="J7" s="355">
        <f>SUMIF(58:58,YEAR(I7)&amp;"-"&amp;MONTH(I7),59:59)</f>
        <v>0</v>
      </c>
      <c r="K7" s="38"/>
      <c r="L7" s="2488"/>
      <c r="M7" s="2439"/>
      <c r="N7" s="2439"/>
      <c r="O7" s="2439"/>
      <c r="P7" s="3391" t="s">
        <v>1680</v>
      </c>
      <c r="Q7" s="3393"/>
      <c r="R7" s="664" t="s">
        <v>14</v>
      </c>
      <c r="S7" s="665">
        <f t="shared" ref="S7:S15" si="0">F7</f>
        <v>0</v>
      </c>
      <c r="T7" s="664" t="s">
        <v>14</v>
      </c>
      <c r="U7" s="665">
        <f t="shared" ref="U7:U15" si="1">H7</f>
        <v>0</v>
      </c>
      <c r="V7" s="664" t="s">
        <v>14</v>
      </c>
      <c r="W7" s="665">
        <f t="shared" ref="W7:W15" si="2">J7</f>
        <v>0</v>
      </c>
      <c r="X7" s="666"/>
      <c r="Y7" s="3391" t="s">
        <v>1680</v>
      </c>
      <c r="Z7" s="3392"/>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91" t="s">
        <v>1683</v>
      </c>
      <c r="Q8" s="3392"/>
      <c r="R8" s="664" t="s">
        <v>14</v>
      </c>
      <c r="S8" s="665">
        <f t="shared" si="0"/>
        <v>100</v>
      </c>
      <c r="T8" s="664" t="s">
        <v>14</v>
      </c>
      <c r="U8" s="665">
        <f t="shared" si="1"/>
        <v>100</v>
      </c>
      <c r="V8" s="664" t="s">
        <v>14</v>
      </c>
      <c r="W8" s="665">
        <f t="shared" si="2"/>
        <v>100</v>
      </c>
      <c r="X8" s="666"/>
      <c r="Y8" s="3391" t="s">
        <v>1683</v>
      </c>
      <c r="Z8" s="3392"/>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62"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62"/>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62"/>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62"/>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62"/>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62"/>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15">
      <c r="A15" s="379" t="s">
        <v>1690</v>
      </c>
      <c r="B15" s="58" t="s">
        <v>1777</v>
      </c>
      <c r="C15" s="1749">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32" t="s">
        <v>1691</v>
      </c>
      <c r="Q15" s="1262" t="str">
        <f t="shared" si="6"/>
        <v>商业繁华度</v>
      </c>
      <c r="R15" s="667" t="s">
        <v>14</v>
      </c>
      <c r="S15" s="668">
        <f t="shared" si="0"/>
        <v>100</v>
      </c>
      <c r="T15" s="667" t="s">
        <v>14</v>
      </c>
      <c r="U15" s="668">
        <f t="shared" si="1"/>
        <v>100</v>
      </c>
      <c r="V15" s="667" t="s">
        <v>14</v>
      </c>
      <c r="W15" s="668">
        <f t="shared" si="2"/>
        <v>100</v>
      </c>
      <c r="X15" s="1264"/>
      <c r="Y15" s="3364"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2"/>
      <c r="M16" s="2487"/>
      <c r="N16" s="2487"/>
      <c r="O16" s="2487"/>
      <c r="P16" s="3433"/>
      <c r="Q16" s="1262"/>
      <c r="R16" s="667"/>
      <c r="S16" s="668"/>
      <c r="T16" s="667"/>
      <c r="U16" s="668"/>
      <c r="V16" s="667"/>
      <c r="W16" s="668"/>
      <c r="X16" s="1264"/>
      <c r="Y16" s="3365"/>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33"/>
      <c r="Q17" s="1262" t="str">
        <f>B17</f>
        <v>交通便捷度</v>
      </c>
      <c r="R17" s="667" t="s">
        <v>14</v>
      </c>
      <c r="S17" s="668">
        <f>F17</f>
        <v>100</v>
      </c>
      <c r="T17" s="667" t="s">
        <v>14</v>
      </c>
      <c r="U17" s="668">
        <f>H17</f>
        <v>100</v>
      </c>
      <c r="V17" s="667" t="s">
        <v>14</v>
      </c>
      <c r="W17" s="668">
        <f>J17</f>
        <v>100</v>
      </c>
      <c r="X17" s="1264"/>
      <c r="Y17" s="3365"/>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2"/>
      <c r="M18" s="2487"/>
      <c r="N18" s="2487"/>
      <c r="O18" s="2487"/>
      <c r="P18" s="3433"/>
      <c r="Q18" s="1262"/>
      <c r="R18" s="667"/>
      <c r="S18" s="668"/>
      <c r="T18" s="667"/>
      <c r="U18" s="668"/>
      <c r="V18" s="667"/>
      <c r="W18" s="668"/>
      <c r="X18" s="1264"/>
      <c r="Y18" s="3365"/>
      <c r="Z18" s="1263"/>
      <c r="AA18" s="1263">
        <v>1</v>
      </c>
      <c r="AB18" s="1263">
        <v>1</v>
      </c>
      <c r="AC18" s="1263">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33"/>
      <c r="Q19" s="1262" t="str">
        <f>B19</f>
        <v>公共配套设施</v>
      </c>
      <c r="R19" s="667" t="s">
        <v>14</v>
      </c>
      <c r="S19" s="668">
        <f>F19</f>
        <v>100</v>
      </c>
      <c r="T19" s="667" t="s">
        <v>14</v>
      </c>
      <c r="U19" s="668">
        <f>H19</f>
        <v>100</v>
      </c>
      <c r="V19" s="667" t="s">
        <v>14</v>
      </c>
      <c r="W19" s="668">
        <f>J19</f>
        <v>100</v>
      </c>
      <c r="X19" s="1264"/>
      <c r="Y19" s="3365"/>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2"/>
      <c r="M20" s="2487"/>
      <c r="N20" s="2487"/>
      <c r="O20" s="2487"/>
      <c r="P20" s="3433"/>
      <c r="Q20" s="1262"/>
      <c r="R20" s="667"/>
      <c r="S20" s="668"/>
      <c r="T20" s="667"/>
      <c r="U20" s="668"/>
      <c r="V20" s="667"/>
      <c r="W20" s="668"/>
      <c r="X20" s="1264"/>
      <c r="Y20" s="3365"/>
      <c r="Z20" s="1263"/>
      <c r="AA20" s="1263">
        <v>1</v>
      </c>
      <c r="AB20" s="1263">
        <v>1</v>
      </c>
      <c r="AC20" s="1263">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33"/>
      <c r="Q21" s="1262" t="str">
        <f>B21</f>
        <v>基础设施水平</v>
      </c>
      <c r="R21" s="667" t="s">
        <v>14</v>
      </c>
      <c r="S21" s="668">
        <f>F21</f>
        <v>100</v>
      </c>
      <c r="T21" s="667" t="s">
        <v>14</v>
      </c>
      <c r="U21" s="668">
        <f>H21</f>
        <v>100</v>
      </c>
      <c r="V21" s="667" t="s">
        <v>14</v>
      </c>
      <c r="W21" s="668">
        <f>J21</f>
        <v>100</v>
      </c>
      <c r="X21" s="1264"/>
      <c r="Y21" s="3365"/>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2"/>
      <c r="M22" s="2487"/>
      <c r="N22" s="2487"/>
      <c r="O22" s="2487"/>
      <c r="P22" s="3433"/>
      <c r="Q22" s="1262"/>
      <c r="R22" s="667"/>
      <c r="S22" s="668"/>
      <c r="T22" s="667"/>
      <c r="U22" s="668"/>
      <c r="V22" s="667"/>
      <c r="W22" s="668"/>
      <c r="X22" s="1264"/>
      <c r="Y22" s="3365"/>
      <c r="Z22" s="1263"/>
      <c r="AA22" s="1263">
        <v>1</v>
      </c>
      <c r="AB22" s="1263">
        <v>1</v>
      </c>
      <c r="AC22" s="1263">
        <v>1</v>
      </c>
    </row>
    <row r="23" spans="1:29" ht="55.2">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33"/>
      <c r="Q23" s="1262" t="str">
        <f>B23</f>
        <v>自然及人文环境</v>
      </c>
      <c r="R23" s="667" t="s">
        <v>14</v>
      </c>
      <c r="S23" s="668">
        <f>F23</f>
        <v>100</v>
      </c>
      <c r="T23" s="667" t="s">
        <v>14</v>
      </c>
      <c r="U23" s="668">
        <f>H23</f>
        <v>100</v>
      </c>
      <c r="V23" s="667" t="s">
        <v>14</v>
      </c>
      <c r="W23" s="668">
        <f>J23</f>
        <v>100</v>
      </c>
      <c r="X23" s="1264"/>
      <c r="Y23" s="3365"/>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2"/>
      <c r="M24" s="2487"/>
      <c r="N24" s="2487"/>
      <c r="O24" s="2487"/>
      <c r="P24" s="3433"/>
      <c r="Q24" s="1262"/>
      <c r="R24" s="667"/>
      <c r="S24" s="668"/>
      <c r="T24" s="667"/>
      <c r="U24" s="668"/>
      <c r="V24" s="667"/>
      <c r="W24" s="668"/>
      <c r="X24" s="1264"/>
      <c r="Y24" s="3365"/>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33"/>
      <c r="Q25" s="1262" t="str">
        <f t="shared" ref="Q25:Q46" si="11">B25</f>
        <v>临街状况</v>
      </c>
      <c r="R25" s="667" t="s">
        <v>14</v>
      </c>
      <c r="S25" s="668">
        <f>F25</f>
        <v>100</v>
      </c>
      <c r="T25" s="667" t="s">
        <v>14</v>
      </c>
      <c r="U25" s="668">
        <f>H25</f>
        <v>100</v>
      </c>
      <c r="V25" s="667" t="s">
        <v>14</v>
      </c>
      <c r="W25" s="668">
        <f>J25</f>
        <v>100</v>
      </c>
      <c r="X25" s="1264"/>
      <c r="Y25" s="3365"/>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33"/>
      <c r="Q26" s="1262" t="str">
        <f t="shared" si="11"/>
        <v>平面位置/可视性</v>
      </c>
      <c r="R26" s="667" t="s">
        <v>14</v>
      </c>
      <c r="S26" s="668">
        <f>F26</f>
        <v>100</v>
      </c>
      <c r="T26" s="667" t="s">
        <v>14</v>
      </c>
      <c r="U26" s="668">
        <f>H26</f>
        <v>100</v>
      </c>
      <c r="V26" s="667" t="s">
        <v>14</v>
      </c>
      <c r="W26" s="668">
        <f>J26</f>
        <v>100</v>
      </c>
      <c r="X26" s="1264"/>
      <c r="Y26" s="3365"/>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33"/>
      <c r="Q27" s="530" t="str">
        <f t="shared" si="11"/>
        <v>人流量</v>
      </c>
      <c r="R27" s="664" t="s">
        <v>14</v>
      </c>
      <c r="S27" s="665">
        <f>F27</f>
        <v>100</v>
      </c>
      <c r="T27" s="664" t="s">
        <v>14</v>
      </c>
      <c r="U27" s="665">
        <f>H27</f>
        <v>100</v>
      </c>
      <c r="V27" s="664" t="s">
        <v>14</v>
      </c>
      <c r="W27" s="665">
        <f>J27</f>
        <v>100</v>
      </c>
      <c r="X27" s="666"/>
      <c r="Y27" s="3365"/>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33"/>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65"/>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33"/>
      <c r="Q29" s="1262">
        <f t="shared" si="11"/>
        <v>111</v>
      </c>
      <c r="R29" s="667" t="s">
        <v>14</v>
      </c>
      <c r="S29" s="668">
        <f t="shared" si="12"/>
        <v>100</v>
      </c>
      <c r="T29" s="667" t="s">
        <v>14</v>
      </c>
      <c r="U29" s="668">
        <f t="shared" si="13"/>
        <v>100</v>
      </c>
      <c r="V29" s="667" t="s">
        <v>14</v>
      </c>
      <c r="W29" s="668">
        <f t="shared" si="14"/>
        <v>100</v>
      </c>
      <c r="X29" s="1264"/>
      <c r="Y29" s="3365"/>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33"/>
      <c r="Q30" s="1262">
        <f t="shared" si="11"/>
        <v>111</v>
      </c>
      <c r="R30" s="667" t="s">
        <v>14</v>
      </c>
      <c r="S30" s="668">
        <f t="shared" si="12"/>
        <v>100</v>
      </c>
      <c r="T30" s="667" t="s">
        <v>14</v>
      </c>
      <c r="U30" s="668">
        <f t="shared" si="13"/>
        <v>100</v>
      </c>
      <c r="V30" s="667" t="s">
        <v>14</v>
      </c>
      <c r="W30" s="668">
        <f t="shared" si="14"/>
        <v>100</v>
      </c>
      <c r="X30" s="1264"/>
      <c r="Y30" s="3365"/>
      <c r="Z30" s="1263">
        <f t="shared" si="15"/>
        <v>111</v>
      </c>
      <c r="AA30" s="1263">
        <f t="shared" si="3"/>
        <v>1</v>
      </c>
      <c r="AB30" s="1263">
        <f t="shared" si="4"/>
        <v>1</v>
      </c>
      <c r="AC30" s="1263">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33"/>
      <c r="Q31" s="1262">
        <f t="shared" si="11"/>
        <v>111</v>
      </c>
      <c r="R31" s="667" t="s">
        <v>14</v>
      </c>
      <c r="S31" s="668">
        <f t="shared" si="12"/>
        <v>100</v>
      </c>
      <c r="T31" s="667" t="s">
        <v>14</v>
      </c>
      <c r="U31" s="668">
        <f t="shared" si="13"/>
        <v>100</v>
      </c>
      <c r="V31" s="667" t="s">
        <v>14</v>
      </c>
      <c r="W31" s="668">
        <f t="shared" si="14"/>
        <v>100</v>
      </c>
      <c r="X31" s="1264"/>
      <c r="Y31" s="3365"/>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28" t="s">
        <v>1696</v>
      </c>
      <c r="Q32" s="1262" t="str">
        <f t="shared" si="11"/>
        <v>商业类型</v>
      </c>
      <c r="R32" s="667" t="s">
        <v>14</v>
      </c>
      <c r="S32" s="668">
        <f t="shared" si="12"/>
        <v>100</v>
      </c>
      <c r="T32" s="667" t="s">
        <v>14</v>
      </c>
      <c r="U32" s="668">
        <f t="shared" si="13"/>
        <v>100</v>
      </c>
      <c r="V32" s="667" t="s">
        <v>14</v>
      </c>
      <c r="W32" s="668">
        <f t="shared" si="14"/>
        <v>100</v>
      </c>
      <c r="X32" s="1264"/>
      <c r="Y32" s="3367"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29"/>
      <c r="Q33" s="531" t="str">
        <f t="shared" si="11"/>
        <v>项目建筑规模</v>
      </c>
      <c r="R33" s="669" t="s">
        <v>14</v>
      </c>
      <c r="S33" s="670" t="e">
        <f t="shared" si="12"/>
        <v>#N/A</v>
      </c>
      <c r="T33" s="669" t="s">
        <v>14</v>
      </c>
      <c r="U33" s="670" t="e">
        <f t="shared" si="13"/>
        <v>#N/A</v>
      </c>
      <c r="V33" s="669" t="s">
        <v>14</v>
      </c>
      <c r="W33" s="670" t="e">
        <f t="shared" si="14"/>
        <v>#N/A</v>
      </c>
      <c r="X33" s="671"/>
      <c r="Y33" s="3367"/>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29"/>
      <c r="Q34" s="1262" t="str">
        <f t="shared" si="11"/>
        <v>建筑结构</v>
      </c>
      <c r="R34" s="667" t="s">
        <v>14</v>
      </c>
      <c r="S34" s="668">
        <f t="shared" si="12"/>
        <v>100</v>
      </c>
      <c r="T34" s="667" t="s">
        <v>14</v>
      </c>
      <c r="U34" s="668">
        <f t="shared" si="13"/>
        <v>100</v>
      </c>
      <c r="V34" s="667" t="s">
        <v>14</v>
      </c>
      <c r="W34" s="668">
        <f t="shared" si="14"/>
        <v>100</v>
      </c>
      <c r="X34" s="1264"/>
      <c r="Y34" s="3367"/>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29"/>
      <c r="Q35" s="1262" t="str">
        <f t="shared" si="11"/>
        <v>公共部分装修</v>
      </c>
      <c r="R35" s="667" t="s">
        <v>14</v>
      </c>
      <c r="S35" s="668">
        <f t="shared" si="12"/>
        <v>100</v>
      </c>
      <c r="T35" s="667" t="s">
        <v>14</v>
      </c>
      <c r="U35" s="668">
        <f t="shared" si="13"/>
        <v>100</v>
      </c>
      <c r="V35" s="667" t="s">
        <v>14</v>
      </c>
      <c r="W35" s="668">
        <f t="shared" si="14"/>
        <v>100</v>
      </c>
      <c r="X35" s="1264"/>
      <c r="Y35" s="3367"/>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29"/>
      <c r="Q36" s="1262" t="str">
        <f t="shared" si="11"/>
        <v>成新度</v>
      </c>
      <c r="R36" s="667" t="s">
        <v>14</v>
      </c>
      <c r="S36" s="668" t="e">
        <f t="shared" si="12"/>
        <v>#N/A</v>
      </c>
      <c r="T36" s="667" t="s">
        <v>14</v>
      </c>
      <c r="U36" s="668" t="e">
        <f t="shared" si="13"/>
        <v>#N/A</v>
      </c>
      <c r="V36" s="667" t="s">
        <v>14</v>
      </c>
      <c r="W36" s="668" t="e">
        <f t="shared" si="14"/>
        <v>#N/A</v>
      </c>
      <c r="X36" s="1264"/>
      <c r="Y36" s="3367"/>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29"/>
      <c r="Q37" s="530" t="str">
        <f t="shared" si="11"/>
        <v>市政基础设施</v>
      </c>
      <c r="R37" s="664" t="s">
        <v>14</v>
      </c>
      <c r="S37" s="665">
        <f t="shared" si="12"/>
        <v>100</v>
      </c>
      <c r="T37" s="664" t="s">
        <v>14</v>
      </c>
      <c r="U37" s="665">
        <f t="shared" si="13"/>
        <v>100</v>
      </c>
      <c r="V37" s="664" t="s">
        <v>14</v>
      </c>
      <c r="W37" s="665">
        <f t="shared" si="14"/>
        <v>100</v>
      </c>
      <c r="X37" s="666"/>
      <c r="Y37" s="3367"/>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29" t="s">
        <v>1696</v>
      </c>
      <c r="Q38" s="1262" t="str">
        <f t="shared" si="11"/>
        <v>业态</v>
      </c>
      <c r="R38" s="667" t="s">
        <v>14</v>
      </c>
      <c r="S38" s="668">
        <f t="shared" si="12"/>
        <v>100</v>
      </c>
      <c r="T38" s="667" t="s">
        <v>14</v>
      </c>
      <c r="U38" s="668">
        <f t="shared" si="13"/>
        <v>100</v>
      </c>
      <c r="V38" s="667" t="s">
        <v>14</v>
      </c>
      <c r="W38" s="668">
        <f t="shared" si="14"/>
        <v>100</v>
      </c>
      <c r="X38" s="1264"/>
      <c r="Y38" s="3367"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29"/>
      <c r="Q39" s="1262" t="str">
        <f t="shared" si="11"/>
        <v>层高</v>
      </c>
      <c r="R39" s="667" t="s">
        <v>14</v>
      </c>
      <c r="S39" s="668">
        <f t="shared" si="12"/>
        <v>100</v>
      </c>
      <c r="T39" s="667" t="s">
        <v>14</v>
      </c>
      <c r="U39" s="668">
        <f t="shared" si="13"/>
        <v>100</v>
      </c>
      <c r="V39" s="667" t="s">
        <v>14</v>
      </c>
      <c r="W39" s="668">
        <f t="shared" si="14"/>
        <v>100</v>
      </c>
      <c r="X39" s="1264"/>
      <c r="Y39" s="3367"/>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29"/>
      <c r="Q40" s="1262" t="str">
        <f t="shared" si="11"/>
        <v>单套建筑面积</v>
      </c>
      <c r="R40" s="667" t="s">
        <v>14</v>
      </c>
      <c r="S40" s="668">
        <f t="shared" si="12"/>
        <v>100</v>
      </c>
      <c r="T40" s="667" t="s">
        <v>14</v>
      </c>
      <c r="U40" s="668">
        <f t="shared" si="13"/>
        <v>100</v>
      </c>
      <c r="V40" s="667" t="s">
        <v>14</v>
      </c>
      <c r="W40" s="668">
        <f t="shared" si="14"/>
        <v>100</v>
      </c>
      <c r="X40" s="1264"/>
      <c r="Y40" s="3367"/>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29"/>
      <c r="Q41" s="531" t="str">
        <f t="shared" si="11"/>
        <v>进深比</v>
      </c>
      <c r="R41" s="669" t="s">
        <v>14</v>
      </c>
      <c r="S41" s="670">
        <f t="shared" si="12"/>
        <v>100</v>
      </c>
      <c r="T41" s="669" t="s">
        <v>14</v>
      </c>
      <c r="U41" s="670">
        <f t="shared" si="13"/>
        <v>100</v>
      </c>
      <c r="V41" s="669" t="s">
        <v>14</v>
      </c>
      <c r="W41" s="670">
        <f t="shared" si="14"/>
        <v>100</v>
      </c>
      <c r="X41" s="671"/>
      <c r="Y41" s="3367"/>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29"/>
      <c r="Q42" s="1262" t="str">
        <f t="shared" si="11"/>
        <v>内部装修</v>
      </c>
      <c r="R42" s="667" t="s">
        <v>14</v>
      </c>
      <c r="S42" s="668">
        <f t="shared" si="12"/>
        <v>100</v>
      </c>
      <c r="T42" s="667" t="s">
        <v>14</v>
      </c>
      <c r="U42" s="668">
        <f t="shared" si="13"/>
        <v>100</v>
      </c>
      <c r="V42" s="667" t="s">
        <v>14</v>
      </c>
      <c r="W42" s="668">
        <f t="shared" si="14"/>
        <v>100</v>
      </c>
      <c r="X42" s="1264"/>
      <c r="Y42" s="3367"/>
      <c r="Z42" s="1263" t="str">
        <f t="shared" si="15"/>
        <v>内部装修</v>
      </c>
      <c r="AA42" s="1263">
        <f t="shared" si="3"/>
        <v>1</v>
      </c>
      <c r="AB42" s="1263">
        <f t="shared" si="4"/>
        <v>1</v>
      </c>
      <c r="AC42" s="1263">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29"/>
      <c r="Q43" s="1262" t="str">
        <f t="shared" si="11"/>
        <v>内部装修维护情况</v>
      </c>
      <c r="R43" s="667" t="s">
        <v>14</v>
      </c>
      <c r="S43" s="668">
        <f t="shared" si="12"/>
        <v>100</v>
      </c>
      <c r="T43" s="667" t="s">
        <v>14</v>
      </c>
      <c r="U43" s="668">
        <f t="shared" si="13"/>
        <v>100</v>
      </c>
      <c r="V43" s="667" t="s">
        <v>14</v>
      </c>
      <c r="W43" s="668">
        <f t="shared" si="14"/>
        <v>100</v>
      </c>
      <c r="X43" s="1264"/>
      <c r="Y43" s="3367"/>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29"/>
      <c r="Q44" s="530">
        <f t="shared" si="11"/>
        <v>111</v>
      </c>
      <c r="R44" s="664" t="s">
        <v>14</v>
      </c>
      <c r="S44" s="665">
        <f t="shared" si="12"/>
        <v>100</v>
      </c>
      <c r="T44" s="664" t="s">
        <v>14</v>
      </c>
      <c r="U44" s="665">
        <f t="shared" si="13"/>
        <v>100</v>
      </c>
      <c r="V44" s="664" t="s">
        <v>14</v>
      </c>
      <c r="W44" s="665">
        <f t="shared" si="14"/>
        <v>100</v>
      </c>
      <c r="X44" s="666"/>
      <c r="Y44" s="336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29"/>
      <c r="Q45" s="1262">
        <f t="shared" si="11"/>
        <v>111</v>
      </c>
      <c r="R45" s="667" t="s">
        <v>14</v>
      </c>
      <c r="S45" s="668">
        <f t="shared" si="12"/>
        <v>100</v>
      </c>
      <c r="T45" s="667" t="s">
        <v>14</v>
      </c>
      <c r="U45" s="668">
        <f t="shared" si="13"/>
        <v>100</v>
      </c>
      <c r="V45" s="667" t="s">
        <v>14</v>
      </c>
      <c r="W45" s="668">
        <f t="shared" si="14"/>
        <v>100</v>
      </c>
      <c r="X45" s="1264"/>
      <c r="Y45" s="3367"/>
      <c r="Z45" s="1263">
        <f t="shared" si="15"/>
        <v>111</v>
      </c>
      <c r="AA45" s="1263">
        <f t="shared" si="3"/>
        <v>1</v>
      </c>
      <c r="AB45" s="1263">
        <f t="shared" si="4"/>
        <v>1</v>
      </c>
      <c r="AC45" s="1263">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30"/>
      <c r="Q46" s="1262">
        <f t="shared" si="11"/>
        <v>111</v>
      </c>
      <c r="R46" s="667" t="s">
        <v>14</v>
      </c>
      <c r="S46" s="668">
        <f t="shared" si="12"/>
        <v>100</v>
      </c>
      <c r="T46" s="667" t="s">
        <v>14</v>
      </c>
      <c r="U46" s="668">
        <f t="shared" si="13"/>
        <v>100</v>
      </c>
      <c r="V46" s="667" t="s">
        <v>14</v>
      </c>
      <c r="W46" s="668">
        <f t="shared" si="14"/>
        <v>100</v>
      </c>
      <c r="X46" s="1264"/>
      <c r="Y46" s="3431"/>
      <c r="Z46" s="1263">
        <f t="shared" si="15"/>
        <v>111</v>
      </c>
      <c r="AA46" s="1263">
        <f t="shared" si="3"/>
        <v>1</v>
      </c>
      <c r="AB46" s="1263">
        <f t="shared" si="4"/>
        <v>1</v>
      </c>
      <c r="AC46" s="1263">
        <f t="shared" si="5"/>
        <v>1</v>
      </c>
    </row>
    <row r="47" spans="1:29" ht="14.4">
      <c r="A47" s="416" t="s">
        <v>1708</v>
      </c>
      <c r="B47" s="417"/>
      <c r="C47" s="1081" t="s">
        <v>0</v>
      </c>
      <c r="D47" s="418"/>
      <c r="E47" s="419"/>
      <c r="F47" s="420"/>
      <c r="G47" s="421"/>
      <c r="H47" s="422"/>
      <c r="I47" s="419"/>
      <c r="J47" s="422"/>
      <c r="K47" s="674"/>
      <c r="L47" s="2494"/>
      <c r="M47" s="2487"/>
      <c r="N47" s="2487"/>
      <c r="O47" s="2487"/>
      <c r="P47" s="3363" t="str">
        <f>A47</f>
        <v>成交单价（元/平方米）</v>
      </c>
      <c r="Q47" s="3363"/>
      <c r="R47" s="3368">
        <f>E47</f>
        <v>0</v>
      </c>
      <c r="S47" s="3368"/>
      <c r="T47" s="3368">
        <f>G47</f>
        <v>0</v>
      </c>
      <c r="U47" s="3368"/>
      <c r="V47" s="3368">
        <f>I47</f>
        <v>0</v>
      </c>
      <c r="W47" s="3368"/>
      <c r="X47" s="385"/>
      <c r="Y47" s="673"/>
      <c r="Z47" s="385"/>
      <c r="AA47" s="385"/>
      <c r="AB47" s="385"/>
      <c r="AC47" s="385"/>
    </row>
    <row r="48" spans="1:29" ht="1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363" t="str">
        <f>A48</f>
        <v>比较价值（元/平方米）</v>
      </c>
      <c r="Q48" s="3363"/>
      <c r="R48" s="3368" t="e">
        <f>IF(F1="售价",ROUND(PRODUCT(R47,AA7:AA46),0),ROUND(PRODUCT(R47,AA7:AA46),1))</f>
        <v>#DIV/0!</v>
      </c>
      <c r="S48" s="3368"/>
      <c r="T48" s="3368" t="e">
        <f>IF(F1="售价",ROUND(PRODUCT(T47,AB7:AB46),0),ROUND(PRODUCT(T47,AB7:AB46),1))</f>
        <v>#DIV/0!</v>
      </c>
      <c r="U48" s="3368"/>
      <c r="V48" s="3368" t="e">
        <f>IF(F1="售价",ROUND(PRODUCT(V47,AC7:AC46),0),ROUND(PRODUCT(V47,AC7:AC46),1))</f>
        <v>#DIV/0!</v>
      </c>
      <c r="W48" s="3368"/>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4"/>
      <c r="M49" s="2487"/>
      <c r="N49" s="2487"/>
      <c r="O49" s="2487"/>
      <c r="P49" s="3357" t="str">
        <f>A49</f>
        <v>估价对象XX用房的比较价值（楼面单价，元/平方米）</v>
      </c>
      <c r="Q49" s="3358"/>
      <c r="R49" s="3427" t="e">
        <f>IF(F1="售价",ROUND(IF(D48="简单平均",AVERAGE(R48:V48),R48*F48+T48*H48+V48*J48),0),ROUND(IF(D48="简单平均",AVERAGE(R48:V48),R48*F48+T48*H48+V48*J48),1))</f>
        <v>#DIV/0!</v>
      </c>
      <c r="S49" s="3427"/>
      <c r="T49" s="3427"/>
      <c r="U49" s="3427"/>
      <c r="V49" s="3427"/>
      <c r="W49" s="342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2.2"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4.4">
      <c r="A58" s="440" t="s">
        <v>1679</v>
      </c>
      <c r="B58" s="441"/>
      <c r="C58" s="1102" t="str">
        <f>YEAR(C7)&amp;"-"&amp;MONTH(C7)</f>
        <v>2024-8</v>
      </c>
      <c r="D58" s="1103">
        <f>EDATE(C58,-1)</f>
        <v>45474</v>
      </c>
      <c r="E58" s="1103">
        <f t="shared" ref="E58:N58" si="16">EDATE(D58,-1)</f>
        <v>45444</v>
      </c>
      <c r="F58" s="1103">
        <f t="shared" si="16"/>
        <v>45413</v>
      </c>
      <c r="G58" s="1103">
        <f t="shared" si="16"/>
        <v>45383</v>
      </c>
      <c r="H58" s="1103">
        <f t="shared" si="16"/>
        <v>45352</v>
      </c>
      <c r="I58" s="1103">
        <f t="shared" si="16"/>
        <v>45323</v>
      </c>
      <c r="J58" s="1103">
        <f t="shared" si="16"/>
        <v>45292</v>
      </c>
      <c r="K58" s="1103">
        <f t="shared" si="16"/>
        <v>45261</v>
      </c>
      <c r="L58" s="1103">
        <f t="shared" si="16"/>
        <v>45231</v>
      </c>
      <c r="M58" s="1103">
        <f t="shared" si="16"/>
        <v>45200</v>
      </c>
      <c r="N58" s="1103">
        <f t="shared" si="16"/>
        <v>45170</v>
      </c>
      <c r="O58" s="1103">
        <f>EDATE(N58,-1)</f>
        <v>45139</v>
      </c>
      <c r="P58" s="2509"/>
      <c r="Q58" s="2510"/>
      <c r="R58" s="2510"/>
      <c r="S58" s="2510"/>
      <c r="T58" s="2510"/>
      <c r="U58" s="2510"/>
      <c r="V58" s="2510"/>
      <c r="W58" s="2510"/>
      <c r="X58" s="2510"/>
      <c r="Y58" s="2510"/>
      <c r="Z58" s="2510"/>
      <c r="AA58" s="2510"/>
      <c r="AB58" s="2510"/>
      <c r="AC58" s="2510"/>
    </row>
    <row r="59" spans="1:29" s="102" customFormat="1">
      <c r="A59" s="443"/>
      <c r="B59" s="444"/>
      <c r="C59" s="1101">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4.4"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9.4"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4.4"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4.4"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4.4"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4.4"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4.4"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4.4"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4.4"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ht="14.4">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4.4"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4.4"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4.4"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4.4"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4.4"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4.4"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4.4"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4.4"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ht="14.4">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4.4"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4.4"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4.4"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4.4"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4.4"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4.4"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4.4"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4.4"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C43 E43 G43 I43" xr:uid="{00000000-0002-0000-1D00-000001000000}">
      <formula1>内部装修维护情况</formula1>
    </dataValidation>
    <dataValidation type="list" allowBlank="1" showInputMessage="1" showErrorMessage="1" sqref="E20 I20 G20 C20" xr:uid="{00000000-0002-0000-1D00-000002000000}">
      <formula1>公共配套设施</formula1>
    </dataValidation>
    <dataValidation type="list" allowBlank="1" showInputMessage="1" showErrorMessage="1" sqref="E18 G18 I18 C18" xr:uid="{00000000-0002-0000-1D00-000003000000}">
      <formula1>交通便捷度</formula1>
    </dataValidation>
    <dataValidation type="list" allowBlank="1" showInputMessage="1" showErrorMessage="1" sqref="E24 G24 I24 C24" xr:uid="{00000000-0002-0000-1D00-000004000000}">
      <formula1>环境</formula1>
    </dataValidation>
    <dataValidation type="list" allowBlank="1" showInputMessage="1" showErrorMessage="1" sqref="C25 E25 G25 I25" xr:uid="{00000000-0002-0000-1D00-000005000000}">
      <formula1>商业临街状况</formula1>
    </dataValidation>
    <dataValidation type="list" allowBlank="1" showInputMessage="1" showErrorMessage="1" sqref="C27 E27 G27 I27" xr:uid="{00000000-0002-0000-1D00-000006000000}">
      <formula1>商业人流量</formula1>
    </dataValidation>
    <dataValidation type="list" allowBlank="1" showInputMessage="1" showErrorMessage="1" sqref="C28 E28 G28 I28" xr:uid="{00000000-0002-0000-1D00-000007000000}">
      <formula1>商业楼层</formula1>
    </dataValidation>
    <dataValidation type="list" allowBlank="1" showInputMessage="1" showErrorMessage="1" sqref="C32 E32 G32 I32" xr:uid="{00000000-0002-0000-1D00-000008000000}">
      <formula1>商业类型</formula1>
    </dataValidation>
    <dataValidation type="list" allowBlank="1" showInputMessage="1" showErrorMessage="1" sqref="C34 E34 G34 I34" xr:uid="{00000000-0002-0000-1D00-000009000000}">
      <formula1>商业建筑结构</formula1>
    </dataValidation>
    <dataValidation type="list" allowBlank="1" showInputMessage="1" showErrorMessage="1" sqref="C35 E35 G35 I35" xr:uid="{00000000-0002-0000-1D00-00000A000000}">
      <formula1>商业公共部分装修</formula1>
    </dataValidation>
    <dataValidation type="list" allowBlank="1" showInputMessage="1" showErrorMessage="1" sqref="C37 E37 G37 I37" xr:uid="{00000000-0002-0000-1D00-00000B000000}">
      <formula1>商业基础设施水平</formula1>
    </dataValidation>
    <dataValidation type="list" allowBlank="1" showInputMessage="1" showErrorMessage="1" sqref="C41 E41 G41 I41" xr:uid="{00000000-0002-0000-1D00-00000C000000}">
      <formula1>商业进深比</formula1>
    </dataValidation>
    <dataValidation type="list" allowBlank="1" showInputMessage="1" showErrorMessage="1" sqref="C42 E42 G42 I42" xr:uid="{00000000-0002-0000-1D00-00000D000000}">
      <formula1>商业内部装修</formula1>
    </dataValidation>
    <dataValidation type="list" allowBlank="1" showInputMessage="1" showErrorMessage="1" sqref="E9 G9 I9" xr:uid="{00000000-0002-0000-1D00-00000E000000}">
      <formula1>商业用途</formula1>
    </dataValidation>
    <dataValidation type="list" allowBlank="1" showInputMessage="1" showErrorMessage="1" sqref="C38 E38 G38 I38" xr:uid="{00000000-0002-0000-1D00-00000F000000}">
      <formula1>商业业态</formula1>
    </dataValidation>
    <dataValidation type="list" allowBlank="1" showInputMessage="1" showErrorMessage="1" sqref="C39 E39 G39 I39" xr:uid="{00000000-0002-0000-1D00-000010000000}">
      <formula1>商业层高</formula1>
    </dataValidation>
    <dataValidation type="list" allowBlank="1" showInputMessage="1" showErrorMessage="1" sqref="C8 E8 G8 I8" xr:uid="{00000000-0002-0000-1D00-000011000000}">
      <formula1>商业交易情况</formula1>
    </dataValidation>
    <dataValidation type="list" allowBlank="1" showInputMessage="1" showErrorMessage="1" sqref="C16 E16 G16 I16" xr:uid="{00000000-0002-0000-1D00-000012000000}">
      <formula1>商业繁华度</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8"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17457.32</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4.4">
      <c r="A4" s="345" t="s">
        <v>1769</v>
      </c>
      <c r="B4" s="346"/>
      <c r="C4" s="3360" t="s">
        <v>1770</v>
      </c>
      <c r="D4" s="3372"/>
      <c r="E4" s="3373" t="s">
        <v>1771</v>
      </c>
      <c r="F4" s="3374"/>
      <c r="G4" s="3360" t="s">
        <v>1772</v>
      </c>
      <c r="H4" s="3372"/>
      <c r="I4" s="3360" t="s">
        <v>1773</v>
      </c>
      <c r="J4" s="3372"/>
      <c r="K4" s="537" t="s">
        <v>1774</v>
      </c>
      <c r="L4" s="2486"/>
      <c r="M4" s="2487"/>
      <c r="N4" s="2487"/>
      <c r="O4" s="2487"/>
      <c r="P4" s="3440" t="s">
        <v>1775</v>
      </c>
      <c r="Q4" s="3441"/>
      <c r="R4" s="3444" t="s">
        <v>1771</v>
      </c>
      <c r="S4" s="3445"/>
      <c r="T4" s="3444" t="s">
        <v>1772</v>
      </c>
      <c r="U4" s="3445"/>
      <c r="V4" s="3446" t="s">
        <v>1773</v>
      </c>
      <c r="W4" s="3446"/>
      <c r="X4" s="1808"/>
      <c r="Y4" s="3444" t="s">
        <v>1775</v>
      </c>
      <c r="Z4" s="3445"/>
      <c r="AA4" s="3448" t="s">
        <v>1771</v>
      </c>
      <c r="AB4" s="3448" t="s">
        <v>1772</v>
      </c>
      <c r="AC4" s="3437" t="s">
        <v>1773</v>
      </c>
    </row>
    <row r="5" spans="1:29">
      <c r="A5" s="348"/>
      <c r="B5" s="349"/>
      <c r="C5" s="3389" t="s">
        <v>1673</v>
      </c>
      <c r="D5" s="3390"/>
      <c r="E5" s="3396" t="s">
        <v>1674</v>
      </c>
      <c r="F5" s="3397"/>
      <c r="G5" s="3389" t="s">
        <v>1675</v>
      </c>
      <c r="H5" s="3390"/>
      <c r="I5" s="3389" t="s">
        <v>1676</v>
      </c>
      <c r="J5" s="3390"/>
      <c r="K5" s="537"/>
      <c r="L5" s="2486"/>
      <c r="M5" s="2487"/>
      <c r="N5" s="2487"/>
      <c r="O5" s="2487"/>
      <c r="P5" s="3442"/>
      <c r="Q5" s="3378"/>
      <c r="R5" s="3383"/>
      <c r="S5" s="3384"/>
      <c r="T5" s="3383"/>
      <c r="U5" s="3384"/>
      <c r="V5" s="3368"/>
      <c r="W5" s="3368"/>
      <c r="X5" s="1264"/>
      <c r="Y5" s="3383"/>
      <c r="Z5" s="3384"/>
      <c r="AA5" s="3370"/>
      <c r="AB5" s="3370"/>
      <c r="AC5" s="3438"/>
    </row>
    <row r="6" spans="1:29" ht="15" thickBot="1">
      <c r="A6" s="350"/>
      <c r="B6" s="351"/>
      <c r="C6" s="3387" t="s">
        <v>1677</v>
      </c>
      <c r="D6" s="3388"/>
      <c r="E6" s="3394" t="s">
        <v>1677</v>
      </c>
      <c r="F6" s="3395"/>
      <c r="G6" s="3387" t="s">
        <v>1677</v>
      </c>
      <c r="H6" s="3388"/>
      <c r="I6" s="3387" t="s">
        <v>1677</v>
      </c>
      <c r="J6" s="3388"/>
      <c r="K6" s="537" t="s">
        <v>1678</v>
      </c>
      <c r="L6" s="2486"/>
      <c r="M6" s="2487"/>
      <c r="N6" s="2487"/>
      <c r="O6" s="2487"/>
      <c r="P6" s="3443"/>
      <c r="Q6" s="3380"/>
      <c r="R6" s="3383"/>
      <c r="S6" s="3384"/>
      <c r="T6" s="3385"/>
      <c r="U6" s="3386"/>
      <c r="V6" s="3368"/>
      <c r="W6" s="3368"/>
      <c r="X6" s="1264"/>
      <c r="Y6" s="3385"/>
      <c r="Z6" s="3386"/>
      <c r="AA6" s="3371"/>
      <c r="AB6" s="3371"/>
      <c r="AC6" s="3439"/>
    </row>
    <row r="7" spans="1:29" s="102" customFormat="1" ht="15" thickBot="1">
      <c r="A7" s="352" t="s">
        <v>1679</v>
      </c>
      <c r="B7" s="353"/>
      <c r="C7" s="354">
        <f>'数据-取费表'!B2</f>
        <v>45526</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7" t="s">
        <v>1680</v>
      </c>
      <c r="Q7" s="3393"/>
      <c r="R7" s="664" t="s">
        <v>14</v>
      </c>
      <c r="S7" s="665">
        <f t="shared" ref="S7:S15" si="0">F7</f>
        <v>0</v>
      </c>
      <c r="T7" s="664" t="s">
        <v>14</v>
      </c>
      <c r="U7" s="665">
        <f t="shared" ref="U7:U15" si="1">H7</f>
        <v>0</v>
      </c>
      <c r="V7" s="664" t="s">
        <v>14</v>
      </c>
      <c r="W7" s="665">
        <f t="shared" ref="W7:W15" si="2">J7</f>
        <v>0</v>
      </c>
      <c r="X7" s="666"/>
      <c r="Y7" s="3391" t="s">
        <v>1680</v>
      </c>
      <c r="Z7" s="3392"/>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7" t="s">
        <v>1683</v>
      </c>
      <c r="Q8" s="3392"/>
      <c r="R8" s="664" t="s">
        <v>14</v>
      </c>
      <c r="S8" s="665">
        <f t="shared" si="0"/>
        <v>100</v>
      </c>
      <c r="T8" s="664" t="s">
        <v>14</v>
      </c>
      <c r="U8" s="665">
        <f t="shared" si="1"/>
        <v>100</v>
      </c>
      <c r="V8" s="664" t="s">
        <v>14</v>
      </c>
      <c r="W8" s="665">
        <f t="shared" si="2"/>
        <v>100</v>
      </c>
      <c r="X8" s="666"/>
      <c r="Y8" s="3391" t="s">
        <v>1683</v>
      </c>
      <c r="Z8" s="3392"/>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62"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802">
        <f t="shared" si="5"/>
        <v>1</v>
      </c>
    </row>
    <row r="10" spans="1:29" s="366" customFormat="1" ht="28.8">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62"/>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62"/>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62"/>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62"/>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802">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62"/>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802">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32" t="s">
        <v>1691</v>
      </c>
      <c r="Q15" s="1262" t="str">
        <f t="shared" si="6"/>
        <v>办公集聚程度</v>
      </c>
      <c r="R15" s="667" t="s">
        <v>14</v>
      </c>
      <c r="S15" s="668">
        <f t="shared" si="0"/>
        <v>100</v>
      </c>
      <c r="T15" s="667" t="s">
        <v>14</v>
      </c>
      <c r="U15" s="668">
        <f t="shared" si="1"/>
        <v>100</v>
      </c>
      <c r="V15" s="667" t="s">
        <v>14</v>
      </c>
      <c r="W15" s="668">
        <f t="shared" si="2"/>
        <v>100</v>
      </c>
      <c r="X15" s="1264"/>
      <c r="Y15" s="3364"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2"/>
      <c r="M16" s="2487"/>
      <c r="N16" s="2487"/>
      <c r="O16" s="2487"/>
      <c r="P16" s="3433"/>
      <c r="Q16" s="1262"/>
      <c r="R16" s="667"/>
      <c r="S16" s="668"/>
      <c r="T16" s="667"/>
      <c r="U16" s="668"/>
      <c r="V16" s="667"/>
      <c r="W16" s="668"/>
      <c r="X16" s="1264"/>
      <c r="Y16" s="3365"/>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33"/>
      <c r="Q17" s="1262" t="str">
        <f>B17</f>
        <v>交通便捷度</v>
      </c>
      <c r="R17" s="667" t="s">
        <v>14</v>
      </c>
      <c r="S17" s="668">
        <f>F17</f>
        <v>100</v>
      </c>
      <c r="T17" s="667" t="s">
        <v>14</v>
      </c>
      <c r="U17" s="668">
        <f>H17</f>
        <v>100</v>
      </c>
      <c r="V17" s="667" t="s">
        <v>14</v>
      </c>
      <c r="W17" s="668">
        <f>J17</f>
        <v>100</v>
      </c>
      <c r="X17" s="1264"/>
      <c r="Y17" s="3365"/>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2"/>
      <c r="M18" s="2487"/>
      <c r="N18" s="2487"/>
      <c r="O18" s="2487"/>
      <c r="P18" s="3433"/>
      <c r="Q18" s="1262"/>
      <c r="R18" s="667"/>
      <c r="S18" s="668"/>
      <c r="T18" s="667"/>
      <c r="U18" s="668"/>
      <c r="V18" s="667"/>
      <c r="W18" s="668"/>
      <c r="X18" s="1264"/>
      <c r="Y18" s="3365"/>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33"/>
      <c r="Q19" s="1262" t="str">
        <f>B19</f>
        <v>公共配套设施</v>
      </c>
      <c r="R19" s="667" t="s">
        <v>14</v>
      </c>
      <c r="S19" s="668">
        <f>F19</f>
        <v>100</v>
      </c>
      <c r="T19" s="667" t="s">
        <v>14</v>
      </c>
      <c r="U19" s="668">
        <f>H19</f>
        <v>100</v>
      </c>
      <c r="V19" s="667" t="s">
        <v>14</v>
      </c>
      <c r="W19" s="668">
        <f>J19</f>
        <v>100</v>
      </c>
      <c r="X19" s="1264"/>
      <c r="Y19" s="3365"/>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2"/>
      <c r="M20" s="2487"/>
      <c r="N20" s="2487"/>
      <c r="O20" s="2487"/>
      <c r="P20" s="3433"/>
      <c r="Q20" s="1262"/>
      <c r="R20" s="667"/>
      <c r="S20" s="668"/>
      <c r="T20" s="667"/>
      <c r="U20" s="668"/>
      <c r="V20" s="667"/>
      <c r="W20" s="668"/>
      <c r="X20" s="1264"/>
      <c r="Y20" s="3365"/>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33"/>
      <c r="Q21" s="1262" t="str">
        <f>B21</f>
        <v>基础设施水平</v>
      </c>
      <c r="R21" s="667" t="s">
        <v>14</v>
      </c>
      <c r="S21" s="668">
        <f>F21</f>
        <v>100</v>
      </c>
      <c r="T21" s="667" t="s">
        <v>14</v>
      </c>
      <c r="U21" s="668">
        <f>H21</f>
        <v>100</v>
      </c>
      <c r="V21" s="667" t="s">
        <v>14</v>
      </c>
      <c r="W21" s="668">
        <f>J21</f>
        <v>100</v>
      </c>
      <c r="X21" s="1264"/>
      <c r="Y21" s="3365"/>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33"/>
      <c r="Q22" s="1262"/>
      <c r="R22" s="667"/>
      <c r="S22" s="668"/>
      <c r="T22" s="667"/>
      <c r="U22" s="668"/>
      <c r="V22" s="667"/>
      <c r="W22" s="668"/>
      <c r="X22" s="1264"/>
      <c r="Y22" s="3365"/>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33"/>
      <c r="Q23" s="1262" t="str">
        <f>B23</f>
        <v>环境质量</v>
      </c>
      <c r="R23" s="667" t="s">
        <v>14</v>
      </c>
      <c r="S23" s="668">
        <f>F23</f>
        <v>100</v>
      </c>
      <c r="T23" s="667" t="s">
        <v>14</v>
      </c>
      <c r="U23" s="668">
        <f>H23</f>
        <v>100</v>
      </c>
      <c r="V23" s="667" t="s">
        <v>14</v>
      </c>
      <c r="W23" s="668">
        <f>J23</f>
        <v>100</v>
      </c>
      <c r="X23" s="1264"/>
      <c r="Y23" s="3365"/>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2"/>
      <c r="M24" s="2487"/>
      <c r="N24" s="2487"/>
      <c r="O24" s="2487"/>
      <c r="P24" s="3433"/>
      <c r="Q24" s="1262"/>
      <c r="R24" s="667"/>
      <c r="S24" s="668"/>
      <c r="T24" s="667"/>
      <c r="U24" s="668"/>
      <c r="V24" s="667"/>
      <c r="W24" s="668"/>
      <c r="X24" s="1264"/>
      <c r="Y24" s="3365"/>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33"/>
      <c r="Q25" s="1262" t="str">
        <f>B25</f>
        <v>毗邻道路的类型与等级</v>
      </c>
      <c r="R25" s="667" t="s">
        <v>14</v>
      </c>
      <c r="S25" s="668">
        <f>F25</f>
        <v>100</v>
      </c>
      <c r="T25" s="667" t="s">
        <v>14</v>
      </c>
      <c r="U25" s="668">
        <f>H25</f>
        <v>100</v>
      </c>
      <c r="V25" s="667" t="s">
        <v>14</v>
      </c>
      <c r="W25" s="668">
        <f>J25</f>
        <v>100</v>
      </c>
      <c r="X25" s="1264"/>
      <c r="Y25" s="3365"/>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2"/>
      <c r="M26" s="2487"/>
      <c r="N26" s="2487"/>
      <c r="O26" s="2487"/>
      <c r="P26" s="3433"/>
      <c r="Q26" s="1262"/>
      <c r="R26" s="667"/>
      <c r="S26" s="668"/>
      <c r="T26" s="667"/>
      <c r="U26" s="668"/>
      <c r="V26" s="667"/>
      <c r="W26" s="668"/>
      <c r="X26" s="1264"/>
      <c r="Y26" s="3365"/>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33"/>
      <c r="Q27" s="1262" t="str">
        <f t="shared" ref="Q27:Q47" si="11">B27</f>
        <v>楼层</v>
      </c>
      <c r="R27" s="667" t="s">
        <v>14</v>
      </c>
      <c r="S27" s="668">
        <f>F27</f>
        <v>100</v>
      </c>
      <c r="T27" s="667" t="s">
        <v>14</v>
      </c>
      <c r="U27" s="668">
        <f>H27</f>
        <v>100</v>
      </c>
      <c r="V27" s="667" t="s">
        <v>14</v>
      </c>
      <c r="W27" s="668">
        <f>J27</f>
        <v>100</v>
      </c>
      <c r="X27" s="1264"/>
      <c r="Y27" s="3365"/>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33"/>
      <c r="Q28" s="530" t="str">
        <f t="shared" si="11"/>
        <v>朝向</v>
      </c>
      <c r="R28" s="664" t="s">
        <v>14</v>
      </c>
      <c r="S28" s="665">
        <f>F28</f>
        <v>100</v>
      </c>
      <c r="T28" s="664" t="s">
        <v>14</v>
      </c>
      <c r="U28" s="665">
        <f>H28</f>
        <v>100</v>
      </c>
      <c r="V28" s="664" t="s">
        <v>14</v>
      </c>
      <c r="W28" s="665">
        <f>J28</f>
        <v>100</v>
      </c>
      <c r="X28" s="666"/>
      <c r="Y28" s="3365"/>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33"/>
      <c r="Q29" s="1262">
        <f t="shared" si="11"/>
        <v>111</v>
      </c>
      <c r="R29" s="667" t="s">
        <v>14</v>
      </c>
      <c r="S29" s="668">
        <f t="shared" ref="S29:S47" si="12">F29</f>
        <v>100</v>
      </c>
      <c r="T29" s="667" t="s">
        <v>14</v>
      </c>
      <c r="U29" s="668">
        <f t="shared" ref="U29:U47" si="13">H29</f>
        <v>100</v>
      </c>
      <c r="V29" s="667" t="s">
        <v>14</v>
      </c>
      <c r="W29" s="668">
        <f t="shared" ref="W29:W47" si="14">J29</f>
        <v>100</v>
      </c>
      <c r="X29" s="1264"/>
      <c r="Y29" s="3365"/>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33"/>
      <c r="Q30" s="1262">
        <f t="shared" si="11"/>
        <v>111</v>
      </c>
      <c r="R30" s="667" t="s">
        <v>14</v>
      </c>
      <c r="S30" s="668">
        <f t="shared" si="12"/>
        <v>100</v>
      </c>
      <c r="T30" s="667" t="s">
        <v>14</v>
      </c>
      <c r="U30" s="668">
        <f t="shared" si="13"/>
        <v>100</v>
      </c>
      <c r="V30" s="667" t="s">
        <v>14</v>
      </c>
      <c r="W30" s="668">
        <f t="shared" si="14"/>
        <v>100</v>
      </c>
      <c r="X30" s="1264"/>
      <c r="Y30" s="3365"/>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33"/>
      <c r="Q31" s="1262">
        <f t="shared" si="11"/>
        <v>111</v>
      </c>
      <c r="R31" s="667" t="s">
        <v>14</v>
      </c>
      <c r="S31" s="668">
        <f t="shared" si="12"/>
        <v>100</v>
      </c>
      <c r="T31" s="667" t="s">
        <v>14</v>
      </c>
      <c r="U31" s="668">
        <f t="shared" si="13"/>
        <v>100</v>
      </c>
      <c r="V31" s="667" t="s">
        <v>14</v>
      </c>
      <c r="W31" s="668">
        <f t="shared" si="14"/>
        <v>100</v>
      </c>
      <c r="X31" s="1264"/>
      <c r="Y31" s="3365"/>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33"/>
      <c r="Q32" s="1262">
        <f t="shared" si="11"/>
        <v>111</v>
      </c>
      <c r="R32" s="667" t="s">
        <v>14</v>
      </c>
      <c r="S32" s="668">
        <f t="shared" si="12"/>
        <v>100</v>
      </c>
      <c r="T32" s="667" t="s">
        <v>14</v>
      </c>
      <c r="U32" s="668">
        <f t="shared" si="13"/>
        <v>100</v>
      </c>
      <c r="V32" s="667" t="s">
        <v>14</v>
      </c>
      <c r="W32" s="668">
        <f t="shared" si="14"/>
        <v>100</v>
      </c>
      <c r="X32" s="1264"/>
      <c r="Y32" s="3365"/>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28" t="s">
        <v>1696</v>
      </c>
      <c r="Q33" s="1262" t="str">
        <f t="shared" si="11"/>
        <v>建筑类型</v>
      </c>
      <c r="R33" s="667" t="s">
        <v>14</v>
      </c>
      <c r="S33" s="668">
        <f t="shared" si="12"/>
        <v>100</v>
      </c>
      <c r="T33" s="667" t="s">
        <v>14</v>
      </c>
      <c r="U33" s="668">
        <f t="shared" si="13"/>
        <v>100</v>
      </c>
      <c r="V33" s="667" t="s">
        <v>14</v>
      </c>
      <c r="W33" s="668">
        <f t="shared" si="14"/>
        <v>100</v>
      </c>
      <c r="X33" s="1264"/>
      <c r="Y33" s="3367"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29"/>
      <c r="Q34" s="531" t="str">
        <f t="shared" si="11"/>
        <v>项目建筑规模</v>
      </c>
      <c r="R34" s="669" t="s">
        <v>14</v>
      </c>
      <c r="S34" s="670" t="e">
        <f t="shared" si="12"/>
        <v>#N/A</v>
      </c>
      <c r="T34" s="669" t="s">
        <v>14</v>
      </c>
      <c r="U34" s="670" t="e">
        <f t="shared" si="13"/>
        <v>#N/A</v>
      </c>
      <c r="V34" s="669" t="s">
        <v>14</v>
      </c>
      <c r="W34" s="670" t="e">
        <f t="shared" si="14"/>
        <v>#N/A</v>
      </c>
      <c r="X34" s="671"/>
      <c r="Y34" s="3367"/>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29"/>
      <c r="Q35" s="1262" t="str">
        <f t="shared" si="11"/>
        <v>建筑结构</v>
      </c>
      <c r="R35" s="667" t="s">
        <v>14</v>
      </c>
      <c r="S35" s="668">
        <f t="shared" si="12"/>
        <v>100</v>
      </c>
      <c r="T35" s="667" t="s">
        <v>14</v>
      </c>
      <c r="U35" s="668">
        <f t="shared" si="13"/>
        <v>100</v>
      </c>
      <c r="V35" s="667" t="s">
        <v>14</v>
      </c>
      <c r="W35" s="668">
        <f t="shared" si="14"/>
        <v>100</v>
      </c>
      <c r="X35" s="1264"/>
      <c r="Y35" s="3367"/>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29"/>
      <c r="Q36" s="1262" t="str">
        <f t="shared" si="11"/>
        <v>公共部分装修</v>
      </c>
      <c r="R36" s="667" t="s">
        <v>14</v>
      </c>
      <c r="S36" s="668">
        <f t="shared" si="12"/>
        <v>100</v>
      </c>
      <c r="T36" s="667" t="s">
        <v>14</v>
      </c>
      <c r="U36" s="668">
        <f t="shared" si="13"/>
        <v>100</v>
      </c>
      <c r="V36" s="667" t="s">
        <v>14</v>
      </c>
      <c r="W36" s="668">
        <f t="shared" si="14"/>
        <v>100</v>
      </c>
      <c r="X36" s="1264"/>
      <c r="Y36" s="3367"/>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29"/>
      <c r="Q37" s="1262" t="str">
        <f t="shared" si="11"/>
        <v>成新度</v>
      </c>
      <c r="R37" s="667" t="s">
        <v>14</v>
      </c>
      <c r="S37" s="668" t="e">
        <f t="shared" si="12"/>
        <v>#N/A</v>
      </c>
      <c r="T37" s="667" t="s">
        <v>14</v>
      </c>
      <c r="U37" s="668" t="e">
        <f t="shared" si="13"/>
        <v>#N/A</v>
      </c>
      <c r="V37" s="667" t="s">
        <v>14</v>
      </c>
      <c r="W37" s="668" t="e">
        <f t="shared" si="14"/>
        <v>#N/A</v>
      </c>
      <c r="X37" s="1264"/>
      <c r="Y37" s="3367"/>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29"/>
      <c r="Q38" s="530" t="str">
        <f t="shared" si="11"/>
        <v>写字楼等级</v>
      </c>
      <c r="R38" s="664" t="s">
        <v>14</v>
      </c>
      <c r="S38" s="665">
        <f t="shared" si="12"/>
        <v>100</v>
      </c>
      <c r="T38" s="664" t="s">
        <v>14</v>
      </c>
      <c r="U38" s="665">
        <f t="shared" si="13"/>
        <v>100</v>
      </c>
      <c r="V38" s="664" t="s">
        <v>14</v>
      </c>
      <c r="W38" s="665">
        <f t="shared" si="14"/>
        <v>100</v>
      </c>
      <c r="X38" s="666"/>
      <c r="Y38" s="336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29" t="s">
        <v>1696</v>
      </c>
      <c r="Q39" s="1262" t="str">
        <f t="shared" si="11"/>
        <v>物业管理</v>
      </c>
      <c r="R39" s="667" t="s">
        <v>14</v>
      </c>
      <c r="S39" s="668">
        <f t="shared" si="12"/>
        <v>100</v>
      </c>
      <c r="T39" s="667" t="s">
        <v>14</v>
      </c>
      <c r="U39" s="668">
        <f t="shared" si="13"/>
        <v>100</v>
      </c>
      <c r="V39" s="667" t="s">
        <v>14</v>
      </c>
      <c r="W39" s="668">
        <f t="shared" si="14"/>
        <v>100</v>
      </c>
      <c r="X39" s="1264"/>
      <c r="Y39" s="3367"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29"/>
      <c r="Q40" s="1262" t="str">
        <f t="shared" si="11"/>
        <v>市政基础设施</v>
      </c>
      <c r="R40" s="667" t="s">
        <v>14</v>
      </c>
      <c r="S40" s="668">
        <f t="shared" si="12"/>
        <v>100</v>
      </c>
      <c r="T40" s="667" t="s">
        <v>14</v>
      </c>
      <c r="U40" s="668">
        <f t="shared" si="13"/>
        <v>100</v>
      </c>
      <c r="V40" s="667" t="s">
        <v>14</v>
      </c>
      <c r="W40" s="668">
        <f t="shared" si="14"/>
        <v>100</v>
      </c>
      <c r="X40" s="1264"/>
      <c r="Y40" s="3367"/>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29"/>
      <c r="Q41" s="1262" t="str">
        <f t="shared" si="11"/>
        <v>层高</v>
      </c>
      <c r="R41" s="667" t="s">
        <v>14</v>
      </c>
      <c r="S41" s="668">
        <f t="shared" si="12"/>
        <v>100</v>
      </c>
      <c r="T41" s="667" t="s">
        <v>14</v>
      </c>
      <c r="U41" s="668">
        <f t="shared" si="13"/>
        <v>100</v>
      </c>
      <c r="V41" s="667" t="s">
        <v>14</v>
      </c>
      <c r="W41" s="668">
        <f t="shared" si="14"/>
        <v>100</v>
      </c>
      <c r="X41" s="1264"/>
      <c r="Y41" s="3367"/>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29"/>
      <c r="Q42" s="531" t="str">
        <f t="shared" si="11"/>
        <v>单套建筑面积</v>
      </c>
      <c r="R42" s="669" t="s">
        <v>14</v>
      </c>
      <c r="S42" s="670">
        <f t="shared" si="12"/>
        <v>100</v>
      </c>
      <c r="T42" s="669" t="s">
        <v>14</v>
      </c>
      <c r="U42" s="670">
        <f t="shared" si="13"/>
        <v>100</v>
      </c>
      <c r="V42" s="669" t="s">
        <v>14</v>
      </c>
      <c r="W42" s="670">
        <f t="shared" si="14"/>
        <v>100</v>
      </c>
      <c r="X42" s="671"/>
      <c r="Y42" s="3367"/>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29"/>
      <c r="Q43" s="1262" t="str">
        <f t="shared" si="11"/>
        <v>内部装修</v>
      </c>
      <c r="R43" s="667" t="s">
        <v>14</v>
      </c>
      <c r="S43" s="668">
        <f t="shared" si="12"/>
        <v>100</v>
      </c>
      <c r="T43" s="667" t="s">
        <v>14</v>
      </c>
      <c r="U43" s="668">
        <f t="shared" si="13"/>
        <v>100</v>
      </c>
      <c r="V43" s="667" t="s">
        <v>14</v>
      </c>
      <c r="W43" s="668">
        <f t="shared" si="14"/>
        <v>100</v>
      </c>
      <c r="X43" s="1264"/>
      <c r="Y43" s="3367"/>
      <c r="Z43" s="1263" t="str">
        <f t="shared" si="15"/>
        <v>内部装修</v>
      </c>
      <c r="AA43" s="1263">
        <f t="shared" si="3"/>
        <v>1</v>
      </c>
      <c r="AB43" s="1263">
        <f t="shared" si="4"/>
        <v>1</v>
      </c>
      <c r="AC43" s="1811">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29"/>
      <c r="Q44" s="1262" t="str">
        <f t="shared" si="11"/>
        <v>内部装修维护情况</v>
      </c>
      <c r="R44" s="667" t="s">
        <v>14</v>
      </c>
      <c r="S44" s="668">
        <f t="shared" si="12"/>
        <v>100</v>
      </c>
      <c r="T44" s="667" t="s">
        <v>14</v>
      </c>
      <c r="U44" s="668">
        <f t="shared" si="13"/>
        <v>100</v>
      </c>
      <c r="V44" s="667" t="s">
        <v>14</v>
      </c>
      <c r="W44" s="668">
        <f t="shared" si="14"/>
        <v>100</v>
      </c>
      <c r="X44" s="1264"/>
      <c r="Y44" s="3367"/>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29"/>
      <c r="Q45" s="530">
        <f t="shared" si="11"/>
        <v>111</v>
      </c>
      <c r="R45" s="664" t="s">
        <v>14</v>
      </c>
      <c r="S45" s="665">
        <f t="shared" si="12"/>
        <v>100</v>
      </c>
      <c r="T45" s="664" t="s">
        <v>14</v>
      </c>
      <c r="U45" s="665">
        <f t="shared" si="13"/>
        <v>100</v>
      </c>
      <c r="V45" s="664" t="s">
        <v>14</v>
      </c>
      <c r="W45" s="665">
        <f t="shared" si="14"/>
        <v>100</v>
      </c>
      <c r="X45" s="666"/>
      <c r="Y45" s="336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29"/>
      <c r="Q46" s="1262">
        <f t="shared" si="11"/>
        <v>111</v>
      </c>
      <c r="R46" s="667" t="s">
        <v>14</v>
      </c>
      <c r="S46" s="668">
        <f t="shared" si="12"/>
        <v>100</v>
      </c>
      <c r="T46" s="667" t="s">
        <v>14</v>
      </c>
      <c r="U46" s="668">
        <f t="shared" si="13"/>
        <v>100</v>
      </c>
      <c r="V46" s="667" t="s">
        <v>14</v>
      </c>
      <c r="W46" s="668">
        <f t="shared" si="14"/>
        <v>100</v>
      </c>
      <c r="X46" s="1264"/>
      <c r="Y46" s="3367"/>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30"/>
      <c r="Q47" s="1262">
        <f t="shared" si="11"/>
        <v>111</v>
      </c>
      <c r="R47" s="667" t="s">
        <v>14</v>
      </c>
      <c r="S47" s="668">
        <f t="shared" si="12"/>
        <v>100</v>
      </c>
      <c r="T47" s="667" t="s">
        <v>14</v>
      </c>
      <c r="U47" s="668">
        <f t="shared" si="13"/>
        <v>100</v>
      </c>
      <c r="V47" s="667" t="s">
        <v>14</v>
      </c>
      <c r="W47" s="668">
        <f t="shared" si="14"/>
        <v>100</v>
      </c>
      <c r="X47" s="1264"/>
      <c r="Y47" s="3431"/>
      <c r="Z47" s="1263">
        <f t="shared" si="15"/>
        <v>111</v>
      </c>
      <c r="AA47" s="1263">
        <f t="shared" si="3"/>
        <v>1</v>
      </c>
      <c r="AB47" s="1263">
        <f t="shared" si="4"/>
        <v>1</v>
      </c>
      <c r="AC47" s="1811">
        <f t="shared" si="5"/>
        <v>1</v>
      </c>
    </row>
    <row r="48" spans="1:29" ht="14.4">
      <c r="A48" s="416" t="s">
        <v>1708</v>
      </c>
      <c r="B48" s="417"/>
      <c r="C48" s="1081" t="s">
        <v>0</v>
      </c>
      <c r="D48" s="418"/>
      <c r="E48" s="419"/>
      <c r="F48" s="420"/>
      <c r="G48" s="421"/>
      <c r="H48" s="422"/>
      <c r="I48" s="419"/>
      <c r="J48" s="422"/>
      <c r="K48" s="674"/>
      <c r="L48" s="2494"/>
      <c r="M48" s="2487"/>
      <c r="N48" s="2487"/>
      <c r="O48" s="2487"/>
      <c r="P48" s="3362" t="str">
        <f>A48</f>
        <v>成交单价（元/平方米）</v>
      </c>
      <c r="Q48" s="3363"/>
      <c r="R48" s="3368">
        <f>E48</f>
        <v>0</v>
      </c>
      <c r="S48" s="3368"/>
      <c r="T48" s="3368">
        <f>G48</f>
        <v>0</v>
      </c>
      <c r="U48" s="3368"/>
      <c r="V48" s="3368">
        <f>I48</f>
        <v>0</v>
      </c>
      <c r="W48" s="3368"/>
      <c r="X48" s="385"/>
      <c r="Y48" s="673"/>
      <c r="Z48" s="385"/>
      <c r="AA48" s="385"/>
      <c r="AB48" s="385"/>
      <c r="AC48" s="555"/>
    </row>
    <row r="49" spans="1:29" ht="1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62" t="str">
        <f>A49</f>
        <v>比较价值（元/平方米）</v>
      </c>
      <c r="Q49" s="3363"/>
      <c r="R49" s="3368" t="e">
        <f>IF(F1="售价",ROUND(PRODUCT(R48,AA7:AA47),0),ROUND(PRODUCT(R48,AA7:AA47),1))</f>
        <v>#DIV/0!</v>
      </c>
      <c r="S49" s="3368"/>
      <c r="T49" s="3368" t="e">
        <f>IF(F1="售价",ROUND(PRODUCT(T48,AB7:AB47),0),ROUND(PRODUCT(T48,AB7:AB47),1))</f>
        <v>#DIV/0!</v>
      </c>
      <c r="U49" s="3368"/>
      <c r="V49" s="3368" t="e">
        <f>IF(F1="售价",ROUND(PRODUCT(V48,AC7:AC47),0),ROUND(PRODUCT(V48,AC7:AC47),1))</f>
        <v>#DIV/0!</v>
      </c>
      <c r="W49" s="3368"/>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4"/>
      <c r="M50" s="2487"/>
      <c r="N50" s="2487"/>
      <c r="O50" s="2487"/>
      <c r="P50" s="3434" t="str">
        <f>A50</f>
        <v>估价对象XX用房的比较价值（楼面单价，元/平方米）</v>
      </c>
      <c r="Q50" s="3435"/>
      <c r="R50" s="3436" t="e">
        <f>IF(F1="售价",ROUND(IF(D49="简单平均",AVERAGE(R49:V49),R49*F49+T49*H49+V49*J49),0),ROUND(IF(D49="简单平均",AVERAGE(R49:V49),R49*F49+T49*H49+V49*J49),1))</f>
        <v>#DIV/0!</v>
      </c>
      <c r="S50" s="3436"/>
      <c r="T50" s="3436"/>
      <c r="U50" s="3436"/>
      <c r="V50" s="3436"/>
      <c r="W50" s="3436"/>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2.2"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4.4">
      <c r="A59" s="440" t="s">
        <v>1679</v>
      </c>
      <c r="B59" s="441"/>
      <c r="C59" s="1102" t="str">
        <f>YEAR(C7)&amp;"-"&amp;MONTH(C7)</f>
        <v>2024-8</v>
      </c>
      <c r="D59" s="1103">
        <f>EDATE(C59,-1)</f>
        <v>45474</v>
      </c>
      <c r="E59" s="1103">
        <f>EDATE(D59,-1)</f>
        <v>45444</v>
      </c>
      <c r="F59" s="1103">
        <f t="shared" ref="F59:O59" si="16">EDATE(E59,-1)</f>
        <v>45413</v>
      </c>
      <c r="G59" s="1103">
        <f t="shared" si="16"/>
        <v>45383</v>
      </c>
      <c r="H59" s="1103">
        <f t="shared" si="16"/>
        <v>45352</v>
      </c>
      <c r="I59" s="1103">
        <f t="shared" si="16"/>
        <v>45323</v>
      </c>
      <c r="J59" s="1103">
        <f t="shared" si="16"/>
        <v>45292</v>
      </c>
      <c r="K59" s="1103">
        <f t="shared" si="16"/>
        <v>45261</v>
      </c>
      <c r="L59" s="1103">
        <f t="shared" si="16"/>
        <v>45231</v>
      </c>
      <c r="M59" s="1103">
        <f t="shared" si="16"/>
        <v>45200</v>
      </c>
      <c r="N59" s="1103">
        <f t="shared" si="16"/>
        <v>45170</v>
      </c>
      <c r="O59" s="1103">
        <f t="shared" si="16"/>
        <v>45139</v>
      </c>
      <c r="P59" s="2527"/>
      <c r="Q59" s="2510"/>
      <c r="R59" s="2510"/>
      <c r="S59" s="2510"/>
      <c r="T59" s="2510"/>
      <c r="U59" s="2510"/>
      <c r="V59" s="2510"/>
      <c r="W59" s="2510"/>
      <c r="X59" s="2510"/>
      <c r="Y59" s="2510"/>
      <c r="Z59" s="2510"/>
      <c r="AA59" s="2510"/>
      <c r="AB59" s="2510"/>
      <c r="AC59" s="2510"/>
    </row>
    <row r="60" spans="1:29" s="102" customFormat="1">
      <c r="A60" s="443"/>
      <c r="B60" s="444"/>
      <c r="C60" s="1101">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4.4"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9.4"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4.4"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4.4"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4.4"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4.4"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4.4"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4.4"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4.4"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ht="14.4">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9.4"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4.4"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4.4"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4.4"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4.4"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4.4"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4.4"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ht="14.4">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4.4"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4.4"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4.4"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4.4"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4.4"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4.4"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4.4"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4.4"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G26 C26 E26 I26" xr:uid="{00000000-0002-0000-1E00-000008000000}">
      <formula1>办公道路级别</formula1>
    </dataValidation>
    <dataValidation type="list" allowBlank="1" showInputMessage="1" showErrorMessage="1" sqref="C28 E28 G28 I28" xr:uid="{00000000-0002-0000-1E00-000009000000}">
      <formula1>办公朝向</formula1>
    </dataValidation>
    <dataValidation type="list" allowBlank="1" showInputMessage="1" showErrorMessage="1" sqref="C27 E27 G27 I27" xr:uid="{00000000-0002-0000-1E00-00000A000000}">
      <formula1>办公楼层</formula1>
    </dataValidation>
    <dataValidation type="list" allowBlank="1" showInputMessage="1" showErrorMessage="1" sqref="C33 E33 G33 I33" xr:uid="{00000000-0002-0000-1E00-00000B000000}">
      <formula1>办公建筑类型</formula1>
    </dataValidation>
    <dataValidation type="list" allowBlank="1" showInputMessage="1" showErrorMessage="1" sqref="C36 E36 G36 I36" xr:uid="{00000000-0002-0000-1E00-00000C000000}">
      <formula1>办公公共部分装修</formula1>
    </dataValidation>
    <dataValidation type="list" allowBlank="1" showInputMessage="1" showErrorMessage="1" sqref="C38 E38 G38 I38" xr:uid="{00000000-0002-0000-1E00-00000D000000}">
      <formula1>写字楼等级</formula1>
    </dataValidation>
    <dataValidation type="list" allowBlank="1" showInputMessage="1" showErrorMessage="1" sqref="C39 E39 G39 I39" xr:uid="{00000000-0002-0000-1E00-00000E000000}">
      <formula1>办公物业管理</formula1>
    </dataValidation>
    <dataValidation type="list" allowBlank="1" showInputMessage="1" showErrorMessage="1" sqref="C40 E40 G40 I40" xr:uid="{00000000-0002-0000-1E00-00000F000000}">
      <formula1>办公基础设施水平</formula1>
    </dataValidation>
    <dataValidation type="list" allowBlank="1" showInputMessage="1" showErrorMessage="1" sqref="C41 E41 G41 I41" xr:uid="{00000000-0002-0000-1E00-000010000000}">
      <formula1>办公层高</formula1>
    </dataValidation>
    <dataValidation type="list" allowBlank="1" showInputMessage="1" showErrorMessage="1" sqref="C43 E43 G43 I43" xr:uid="{00000000-0002-0000-1E00-000011000000}">
      <formula1>办公内部装修</formula1>
    </dataValidation>
    <dataValidation type="list" allowBlank="1" showInputMessage="1" showErrorMessage="1" sqref="C8 E8 G8 I8" xr:uid="{00000000-0002-0000-1E00-000012000000}">
      <formula1>办公交易情况</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9"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1826</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17457.32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60" t="s">
        <v>1770</v>
      </c>
      <c r="D4" s="3372"/>
      <c r="E4" s="3373" t="s">
        <v>1771</v>
      </c>
      <c r="F4" s="3374"/>
      <c r="G4" s="3360" t="s">
        <v>1772</v>
      </c>
      <c r="H4" s="3372"/>
      <c r="I4" s="3360" t="s">
        <v>1773</v>
      </c>
      <c r="J4" s="3372"/>
      <c r="K4" s="537" t="s">
        <v>1774</v>
      </c>
      <c r="L4" s="860"/>
      <c r="M4" s="861"/>
      <c r="N4" s="861"/>
      <c r="O4" s="861"/>
      <c r="P4" s="3375" t="s">
        <v>1775</v>
      </c>
      <c r="Q4" s="3376"/>
      <c r="R4" s="3381" t="s">
        <v>1771</v>
      </c>
      <c r="S4" s="3382"/>
      <c r="T4" s="3381" t="s">
        <v>1772</v>
      </c>
      <c r="U4" s="3382"/>
      <c r="V4" s="3368" t="s">
        <v>1773</v>
      </c>
      <c r="W4" s="3368"/>
      <c r="X4" s="1264"/>
      <c r="Y4" s="3381" t="s">
        <v>1775</v>
      </c>
      <c r="Z4" s="3382"/>
      <c r="AA4" s="3369" t="s">
        <v>1771</v>
      </c>
      <c r="AB4" s="3370" t="s">
        <v>1772</v>
      </c>
      <c r="AC4" s="3369" t="s">
        <v>1773</v>
      </c>
    </row>
    <row r="5" spans="1:29">
      <c r="A5" s="348"/>
      <c r="B5" s="349"/>
      <c r="C5" s="3389" t="s">
        <v>1673</v>
      </c>
      <c r="D5" s="3390"/>
      <c r="E5" s="3396" t="s">
        <v>1674</v>
      </c>
      <c r="F5" s="3397"/>
      <c r="G5" s="3389" t="s">
        <v>1675</v>
      </c>
      <c r="H5" s="3390"/>
      <c r="I5" s="3389" t="s">
        <v>1676</v>
      </c>
      <c r="J5" s="3390"/>
      <c r="K5" s="537"/>
      <c r="L5" s="860"/>
      <c r="M5" s="861"/>
      <c r="N5" s="861"/>
      <c r="O5" s="861"/>
      <c r="P5" s="3377"/>
      <c r="Q5" s="3378"/>
      <c r="R5" s="3383"/>
      <c r="S5" s="3384"/>
      <c r="T5" s="3383"/>
      <c r="U5" s="3384"/>
      <c r="V5" s="3368"/>
      <c r="W5" s="3368"/>
      <c r="X5" s="1264"/>
      <c r="Y5" s="3383"/>
      <c r="Z5" s="3384"/>
      <c r="AA5" s="3370"/>
      <c r="AB5" s="3370"/>
      <c r="AC5" s="3370"/>
    </row>
    <row r="6" spans="1:29" ht="15" thickBot="1">
      <c r="A6" s="350"/>
      <c r="B6" s="351"/>
      <c r="C6" s="3387" t="s">
        <v>1677</v>
      </c>
      <c r="D6" s="3388"/>
      <c r="E6" s="3394" t="s">
        <v>1677</v>
      </c>
      <c r="F6" s="3395"/>
      <c r="G6" s="3387" t="s">
        <v>1677</v>
      </c>
      <c r="H6" s="3388"/>
      <c r="I6" s="3387" t="s">
        <v>1677</v>
      </c>
      <c r="J6" s="3388"/>
      <c r="K6" s="537" t="s">
        <v>1678</v>
      </c>
      <c r="L6" s="860"/>
      <c r="M6" s="861"/>
      <c r="N6" s="861"/>
      <c r="O6" s="861"/>
      <c r="P6" s="3379"/>
      <c r="Q6" s="3380"/>
      <c r="R6" s="3383"/>
      <c r="S6" s="3384"/>
      <c r="T6" s="3385"/>
      <c r="U6" s="3386"/>
      <c r="V6" s="3368"/>
      <c r="W6" s="3368"/>
      <c r="X6" s="1264"/>
      <c r="Y6" s="3385"/>
      <c r="Z6" s="3386"/>
      <c r="AA6" s="3371"/>
      <c r="AB6" s="3371"/>
      <c r="AC6" s="3371"/>
    </row>
    <row r="7" spans="1:29" s="102" customFormat="1" ht="15" thickBot="1">
      <c r="A7" s="352" t="s">
        <v>1679</v>
      </c>
      <c r="B7" s="353"/>
      <c r="C7" s="354">
        <f>'数据-取费表'!B2</f>
        <v>45526</v>
      </c>
      <c r="D7" s="355">
        <v>100</v>
      </c>
      <c r="E7" s="356"/>
      <c r="F7" s="357">
        <f>SUMIF(52:52,YEAR(E7)&amp;"-"&amp;MONTH(E7),53:53)</f>
        <v>0</v>
      </c>
      <c r="G7" s="356"/>
      <c r="H7" s="355">
        <f>SUMIF(52:52,YEAR(G7)&amp;"-"&amp;MONTH(G7),53:53)</f>
        <v>0</v>
      </c>
      <c r="I7" s="356"/>
      <c r="J7" s="355">
        <f>SUMIF(52:52,YEAR(I7)&amp;"-"&amp;MONTH(I7),53:53)</f>
        <v>0</v>
      </c>
      <c r="K7" s="38"/>
      <c r="L7" s="862"/>
      <c r="M7" s="863"/>
      <c r="N7" s="863"/>
      <c r="O7" s="863"/>
      <c r="P7" s="3391" t="s">
        <v>1680</v>
      </c>
      <c r="Q7" s="3393"/>
      <c r="R7" s="664" t="s">
        <v>14</v>
      </c>
      <c r="S7" s="665">
        <f t="shared" ref="S7:S15" si="0">F7</f>
        <v>0</v>
      </c>
      <c r="T7" s="664" t="s">
        <v>14</v>
      </c>
      <c r="U7" s="665">
        <f t="shared" ref="U7:U15" si="1">H7</f>
        <v>0</v>
      </c>
      <c r="V7" s="664" t="s">
        <v>14</v>
      </c>
      <c r="W7" s="665">
        <f t="shared" ref="W7:W15" si="2">J7</f>
        <v>0</v>
      </c>
      <c r="X7" s="666"/>
      <c r="Y7" s="3391" t="s">
        <v>1680</v>
      </c>
      <c r="Z7" s="3392"/>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1" t="s">
        <v>1683</v>
      </c>
      <c r="Q8" s="3392"/>
      <c r="R8" s="664" t="s">
        <v>14</v>
      </c>
      <c r="S8" s="665">
        <f t="shared" si="0"/>
        <v>100</v>
      </c>
      <c r="T8" s="664" t="s">
        <v>14</v>
      </c>
      <c r="U8" s="665">
        <f t="shared" si="1"/>
        <v>100</v>
      </c>
      <c r="V8" s="664" t="s">
        <v>14</v>
      </c>
      <c r="W8" s="665">
        <f t="shared" si="2"/>
        <v>100</v>
      </c>
      <c r="X8" s="666"/>
      <c r="Y8" s="3391" t="s">
        <v>1683</v>
      </c>
      <c r="Z8" s="3392"/>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63"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63"/>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63"/>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63"/>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63"/>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63"/>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64" t="s">
        <v>1691</v>
      </c>
      <c r="Q15" s="1262" t="str">
        <f t="shared" si="6"/>
        <v>产业集聚程度</v>
      </c>
      <c r="R15" s="667" t="s">
        <v>14</v>
      </c>
      <c r="S15" s="668">
        <f t="shared" si="0"/>
        <v>100</v>
      </c>
      <c r="T15" s="667" t="s">
        <v>14</v>
      </c>
      <c r="U15" s="668">
        <f t="shared" si="1"/>
        <v>100</v>
      </c>
      <c r="V15" s="667" t="s">
        <v>14</v>
      </c>
      <c r="W15" s="668">
        <f t="shared" si="2"/>
        <v>100</v>
      </c>
      <c r="X15" s="1264"/>
      <c r="Y15" s="3364"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65"/>
      <c r="Q16" s="1262"/>
      <c r="R16" s="667"/>
      <c r="S16" s="668"/>
      <c r="T16" s="667"/>
      <c r="U16" s="668"/>
      <c r="V16" s="667"/>
      <c r="W16" s="668"/>
      <c r="X16" s="1264"/>
      <c r="Y16" s="3365"/>
      <c r="Z16" s="1263"/>
      <c r="AA16" s="1263">
        <v>1</v>
      </c>
      <c r="AB16" s="1263">
        <v>1</v>
      </c>
      <c r="AC16" s="1263">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65"/>
      <c r="Q17" s="1262" t="str">
        <f>B17</f>
        <v>交通便捷度</v>
      </c>
      <c r="R17" s="667" t="s">
        <v>14</v>
      </c>
      <c r="S17" s="668">
        <f>F17</f>
        <v>100</v>
      </c>
      <c r="T17" s="667" t="s">
        <v>14</v>
      </c>
      <c r="U17" s="668">
        <f>H17</f>
        <v>100</v>
      </c>
      <c r="V17" s="667" t="s">
        <v>14</v>
      </c>
      <c r="W17" s="668">
        <f>J17</f>
        <v>100</v>
      </c>
      <c r="X17" s="1264"/>
      <c r="Y17" s="3365"/>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65"/>
      <c r="Q18" s="1262"/>
      <c r="R18" s="667"/>
      <c r="S18" s="668"/>
      <c r="T18" s="667"/>
      <c r="U18" s="668"/>
      <c r="V18" s="667"/>
      <c r="W18" s="668"/>
      <c r="X18" s="1264"/>
      <c r="Y18" s="3365"/>
      <c r="Z18" s="1263"/>
      <c r="AA18" s="1263">
        <v>1</v>
      </c>
      <c r="AB18" s="1263">
        <v>1</v>
      </c>
      <c r="AC18" s="1263">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65"/>
      <c r="Q19" s="1262" t="str">
        <f>B19</f>
        <v>公共配套设施</v>
      </c>
      <c r="R19" s="667" t="s">
        <v>14</v>
      </c>
      <c r="S19" s="668">
        <f>F19</f>
        <v>100</v>
      </c>
      <c r="T19" s="667" t="s">
        <v>14</v>
      </c>
      <c r="U19" s="668">
        <f>H19</f>
        <v>100</v>
      </c>
      <c r="V19" s="667" t="s">
        <v>14</v>
      </c>
      <c r="W19" s="668">
        <f>J19</f>
        <v>100</v>
      </c>
      <c r="X19" s="1264"/>
      <c r="Y19" s="3365"/>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65"/>
      <c r="Q20" s="1262"/>
      <c r="R20" s="667"/>
      <c r="S20" s="668"/>
      <c r="T20" s="667"/>
      <c r="U20" s="668"/>
      <c r="V20" s="667"/>
      <c r="W20" s="668"/>
      <c r="X20" s="1264"/>
      <c r="Y20" s="3365"/>
      <c r="Z20" s="1263"/>
      <c r="AA20" s="1263">
        <v>1</v>
      </c>
      <c r="AB20" s="1263">
        <v>1</v>
      </c>
      <c r="AC20" s="1263">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65"/>
      <c r="Q21" s="1262" t="str">
        <f>B21</f>
        <v>基础设施水平</v>
      </c>
      <c r="R21" s="667" t="s">
        <v>14</v>
      </c>
      <c r="S21" s="668">
        <f>F21</f>
        <v>100</v>
      </c>
      <c r="T21" s="667" t="s">
        <v>14</v>
      </c>
      <c r="U21" s="668">
        <f>H21</f>
        <v>100</v>
      </c>
      <c r="V21" s="667" t="s">
        <v>14</v>
      </c>
      <c r="W21" s="668">
        <f>J21</f>
        <v>100</v>
      </c>
      <c r="X21" s="1264"/>
      <c r="Y21" s="3365"/>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65"/>
      <c r="Q22" s="1262"/>
      <c r="R22" s="667"/>
      <c r="S22" s="668"/>
      <c r="T22" s="667"/>
      <c r="U22" s="668"/>
      <c r="V22" s="667"/>
      <c r="W22" s="668"/>
      <c r="X22" s="1264"/>
      <c r="Y22" s="3365"/>
      <c r="Z22" s="1263"/>
      <c r="AA22" s="1263">
        <v>1</v>
      </c>
      <c r="AB22" s="1263">
        <v>1</v>
      </c>
      <c r="AC22" s="1263">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65"/>
      <c r="Q23" s="1262" t="str">
        <f>B23</f>
        <v>环境质量</v>
      </c>
      <c r="R23" s="667" t="s">
        <v>14</v>
      </c>
      <c r="S23" s="668">
        <f>F23</f>
        <v>100</v>
      </c>
      <c r="T23" s="667" t="s">
        <v>14</v>
      </c>
      <c r="U23" s="668">
        <f>H23</f>
        <v>100</v>
      </c>
      <c r="V23" s="667" t="s">
        <v>14</v>
      </c>
      <c r="W23" s="668">
        <f>J23</f>
        <v>100</v>
      </c>
      <c r="X23" s="1264"/>
      <c r="Y23" s="3365"/>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65"/>
      <c r="Q24" s="1262"/>
      <c r="R24" s="667"/>
      <c r="S24" s="668"/>
      <c r="T24" s="667"/>
      <c r="U24" s="668"/>
      <c r="V24" s="667"/>
      <c r="W24" s="668"/>
      <c r="X24" s="1264"/>
      <c r="Y24" s="3365"/>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65"/>
      <c r="Q25" s="1262">
        <f>B25</f>
        <v>111</v>
      </c>
      <c r="R25" s="667" t="s">
        <v>14</v>
      </c>
      <c r="S25" s="668">
        <f>F25</f>
        <v>100</v>
      </c>
      <c r="T25" s="667" t="s">
        <v>14</v>
      </c>
      <c r="U25" s="668">
        <f>H25</f>
        <v>100</v>
      </c>
      <c r="V25" s="667" t="s">
        <v>14</v>
      </c>
      <c r="W25" s="668">
        <f>J25</f>
        <v>100</v>
      </c>
      <c r="X25" s="1264"/>
      <c r="Y25" s="3365"/>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65"/>
      <c r="Q26" s="1262">
        <f t="shared" ref="Q26:Q40" si="11">B26</f>
        <v>111</v>
      </c>
      <c r="R26" s="667" t="s">
        <v>14</v>
      </c>
      <c r="S26" s="668">
        <f>F26</f>
        <v>100</v>
      </c>
      <c r="T26" s="667" t="s">
        <v>14</v>
      </c>
      <c r="U26" s="668">
        <f>H26</f>
        <v>100</v>
      </c>
      <c r="V26" s="667" t="s">
        <v>14</v>
      </c>
      <c r="W26" s="668">
        <f>J26</f>
        <v>100</v>
      </c>
      <c r="X26" s="1264"/>
      <c r="Y26" s="3365"/>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65"/>
      <c r="Q27" s="530">
        <f t="shared" si="11"/>
        <v>111</v>
      </c>
      <c r="R27" s="664" t="s">
        <v>14</v>
      </c>
      <c r="S27" s="665">
        <f>F27</f>
        <v>100</v>
      </c>
      <c r="T27" s="664" t="s">
        <v>14</v>
      </c>
      <c r="U27" s="665">
        <f>H27</f>
        <v>100</v>
      </c>
      <c r="V27" s="664" t="s">
        <v>14</v>
      </c>
      <c r="W27" s="665">
        <f>J27</f>
        <v>100</v>
      </c>
      <c r="X27" s="666"/>
      <c r="Y27" s="3365"/>
      <c r="Z27" s="50">
        <f>Q27</f>
        <v>111</v>
      </c>
      <c r="AA27" s="1263">
        <f>D27/F27</f>
        <v>1</v>
      </c>
      <c r="AB27" s="1263">
        <f>D27/H27</f>
        <v>1</v>
      </c>
      <c r="AC27" s="1263">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65"/>
      <c r="Q28" s="1262">
        <f t="shared" si="11"/>
        <v>111</v>
      </c>
      <c r="R28" s="667" t="s">
        <v>14</v>
      </c>
      <c r="S28" s="668">
        <f t="shared" ref="S28:S40" si="12">F28</f>
        <v>100</v>
      </c>
      <c r="T28" s="667" t="s">
        <v>14</v>
      </c>
      <c r="U28" s="668">
        <f t="shared" ref="U28:U40" si="13">H28</f>
        <v>100</v>
      </c>
      <c r="V28" s="667" t="s">
        <v>14</v>
      </c>
      <c r="W28" s="668">
        <f t="shared" ref="W28:W40" si="14">J28</f>
        <v>100</v>
      </c>
      <c r="X28" s="1264"/>
      <c r="Y28" s="3365"/>
      <c r="Z28" s="1263">
        <f t="shared" ref="Z28:Z40" si="15">Q28</f>
        <v>111</v>
      </c>
      <c r="AA28" s="1263">
        <f t="shared" si="3"/>
        <v>1</v>
      </c>
      <c r="AB28" s="1263">
        <f t="shared" si="4"/>
        <v>1</v>
      </c>
      <c r="AC28" s="1263">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366" t="s">
        <v>1696</v>
      </c>
      <c r="Q29" s="1262" t="str">
        <f t="shared" si="11"/>
        <v>建筑类型</v>
      </c>
      <c r="R29" s="667" t="s">
        <v>14</v>
      </c>
      <c r="S29" s="668">
        <f t="shared" si="12"/>
        <v>100</v>
      </c>
      <c r="T29" s="667" t="s">
        <v>14</v>
      </c>
      <c r="U29" s="668">
        <f t="shared" si="13"/>
        <v>100</v>
      </c>
      <c r="V29" s="667" t="s">
        <v>14</v>
      </c>
      <c r="W29" s="668">
        <f t="shared" si="14"/>
        <v>100</v>
      </c>
      <c r="X29" s="1264"/>
      <c r="Y29" s="3367"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7"/>
      <c r="Q30" s="531" t="str">
        <f t="shared" si="11"/>
        <v>项目建筑规模</v>
      </c>
      <c r="R30" s="669" t="s">
        <v>14</v>
      </c>
      <c r="S30" s="670" t="e">
        <f t="shared" si="12"/>
        <v>#N/A</v>
      </c>
      <c r="T30" s="669" t="s">
        <v>14</v>
      </c>
      <c r="U30" s="670" t="e">
        <f t="shared" si="13"/>
        <v>#N/A</v>
      </c>
      <c r="V30" s="669" t="s">
        <v>14</v>
      </c>
      <c r="W30" s="670" t="e">
        <f t="shared" si="14"/>
        <v>#N/A</v>
      </c>
      <c r="X30" s="671"/>
      <c r="Y30" s="3367"/>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7"/>
      <c r="Q31" s="1262" t="str">
        <f t="shared" si="11"/>
        <v>建筑结构</v>
      </c>
      <c r="R31" s="667" t="s">
        <v>14</v>
      </c>
      <c r="S31" s="668">
        <f t="shared" si="12"/>
        <v>100</v>
      </c>
      <c r="T31" s="667" t="s">
        <v>14</v>
      </c>
      <c r="U31" s="668">
        <f t="shared" si="13"/>
        <v>100</v>
      </c>
      <c r="V31" s="667" t="s">
        <v>14</v>
      </c>
      <c r="W31" s="668">
        <f t="shared" si="14"/>
        <v>100</v>
      </c>
      <c r="X31" s="1264"/>
      <c r="Y31" s="3367"/>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7"/>
      <c r="Q32" s="1262" t="str">
        <f t="shared" si="11"/>
        <v>公共部分装修</v>
      </c>
      <c r="R32" s="667" t="s">
        <v>14</v>
      </c>
      <c r="S32" s="668">
        <f t="shared" si="12"/>
        <v>100</v>
      </c>
      <c r="T32" s="667" t="s">
        <v>14</v>
      </c>
      <c r="U32" s="668">
        <f t="shared" si="13"/>
        <v>100</v>
      </c>
      <c r="V32" s="667" t="s">
        <v>14</v>
      </c>
      <c r="W32" s="668">
        <f t="shared" si="14"/>
        <v>100</v>
      </c>
      <c r="X32" s="1264"/>
      <c r="Y32" s="3367"/>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7"/>
      <c r="Q33" s="1262" t="str">
        <f t="shared" si="11"/>
        <v>成新度</v>
      </c>
      <c r="R33" s="667" t="s">
        <v>14</v>
      </c>
      <c r="S33" s="668" t="e">
        <f t="shared" si="12"/>
        <v>#N/A</v>
      </c>
      <c r="T33" s="667" t="s">
        <v>14</v>
      </c>
      <c r="U33" s="668" t="e">
        <f t="shared" si="13"/>
        <v>#N/A</v>
      </c>
      <c r="V33" s="667" t="s">
        <v>14</v>
      </c>
      <c r="W33" s="668" t="e">
        <f t="shared" si="14"/>
        <v>#N/A</v>
      </c>
      <c r="X33" s="1264"/>
      <c r="Y33" s="3367"/>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7"/>
      <c r="Q34" s="530" t="str">
        <f t="shared" si="11"/>
        <v>物业管理</v>
      </c>
      <c r="R34" s="664" t="s">
        <v>14</v>
      </c>
      <c r="S34" s="665">
        <f t="shared" si="12"/>
        <v>100</v>
      </c>
      <c r="T34" s="664" t="s">
        <v>14</v>
      </c>
      <c r="U34" s="665">
        <f t="shared" si="13"/>
        <v>100</v>
      </c>
      <c r="V34" s="664" t="s">
        <v>14</v>
      </c>
      <c r="W34" s="665">
        <f t="shared" si="14"/>
        <v>100</v>
      </c>
      <c r="X34" s="666"/>
      <c r="Y34" s="336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7" t="s">
        <v>1696</v>
      </c>
      <c r="Q35" s="1262" t="str">
        <f t="shared" si="11"/>
        <v>市政基础设施</v>
      </c>
      <c r="R35" s="667" t="s">
        <v>14</v>
      </c>
      <c r="S35" s="668">
        <f t="shared" si="12"/>
        <v>100</v>
      </c>
      <c r="T35" s="667" t="s">
        <v>14</v>
      </c>
      <c r="U35" s="668">
        <f t="shared" si="13"/>
        <v>100</v>
      </c>
      <c r="V35" s="667" t="s">
        <v>14</v>
      </c>
      <c r="W35" s="668">
        <f t="shared" si="14"/>
        <v>100</v>
      </c>
      <c r="X35" s="1264"/>
      <c r="Y35" s="3367"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7"/>
      <c r="Q36" s="1262" t="str">
        <f t="shared" si="11"/>
        <v>内部装修</v>
      </c>
      <c r="R36" s="667" t="s">
        <v>14</v>
      </c>
      <c r="S36" s="668">
        <f t="shared" si="12"/>
        <v>100</v>
      </c>
      <c r="T36" s="667" t="s">
        <v>14</v>
      </c>
      <c r="U36" s="668">
        <f t="shared" si="13"/>
        <v>100</v>
      </c>
      <c r="V36" s="667" t="s">
        <v>14</v>
      </c>
      <c r="W36" s="668">
        <f t="shared" si="14"/>
        <v>100</v>
      </c>
      <c r="X36" s="1264"/>
      <c r="Y36" s="3367"/>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7"/>
      <c r="Q37" s="1262" t="str">
        <f t="shared" si="11"/>
        <v>内部装修状况</v>
      </c>
      <c r="R37" s="667" t="s">
        <v>14</v>
      </c>
      <c r="S37" s="668">
        <f t="shared" si="12"/>
        <v>100</v>
      </c>
      <c r="T37" s="667" t="s">
        <v>14</v>
      </c>
      <c r="U37" s="668">
        <f t="shared" si="13"/>
        <v>100</v>
      </c>
      <c r="V37" s="667" t="s">
        <v>14</v>
      </c>
      <c r="W37" s="668">
        <f t="shared" si="14"/>
        <v>100</v>
      </c>
      <c r="X37" s="1264"/>
      <c r="Y37" s="3367"/>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7"/>
      <c r="Q38" s="531">
        <f t="shared" si="11"/>
        <v>111</v>
      </c>
      <c r="R38" s="669" t="s">
        <v>14</v>
      </c>
      <c r="S38" s="670">
        <f t="shared" si="12"/>
        <v>100</v>
      </c>
      <c r="T38" s="669" t="s">
        <v>14</v>
      </c>
      <c r="U38" s="670">
        <f t="shared" si="13"/>
        <v>100</v>
      </c>
      <c r="V38" s="669" t="s">
        <v>14</v>
      </c>
      <c r="W38" s="670">
        <f t="shared" si="14"/>
        <v>100</v>
      </c>
      <c r="X38" s="671"/>
      <c r="Y38" s="3367"/>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7"/>
      <c r="Q39" s="1262">
        <f t="shared" si="11"/>
        <v>111</v>
      </c>
      <c r="R39" s="667" t="s">
        <v>14</v>
      </c>
      <c r="S39" s="668">
        <f t="shared" si="12"/>
        <v>100</v>
      </c>
      <c r="T39" s="667" t="s">
        <v>14</v>
      </c>
      <c r="U39" s="668">
        <f t="shared" si="13"/>
        <v>100</v>
      </c>
      <c r="V39" s="667" t="s">
        <v>14</v>
      </c>
      <c r="W39" s="668">
        <f t="shared" si="14"/>
        <v>100</v>
      </c>
      <c r="X39" s="1264"/>
      <c r="Y39" s="3367"/>
      <c r="Z39" s="1263">
        <f t="shared" si="15"/>
        <v>111</v>
      </c>
      <c r="AA39" s="1263">
        <f t="shared" si="3"/>
        <v>1</v>
      </c>
      <c r="AB39" s="1263">
        <f t="shared" si="4"/>
        <v>1</v>
      </c>
      <c r="AC39" s="1263">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31"/>
      <c r="Q40" s="1262">
        <f t="shared" si="11"/>
        <v>111</v>
      </c>
      <c r="R40" s="667" t="s">
        <v>14</v>
      </c>
      <c r="S40" s="668">
        <f t="shared" si="12"/>
        <v>100</v>
      </c>
      <c r="T40" s="667" t="s">
        <v>14</v>
      </c>
      <c r="U40" s="668">
        <f t="shared" si="13"/>
        <v>100</v>
      </c>
      <c r="V40" s="667" t="s">
        <v>14</v>
      </c>
      <c r="W40" s="668">
        <f t="shared" si="14"/>
        <v>100</v>
      </c>
      <c r="X40" s="1264"/>
      <c r="Y40" s="3431"/>
      <c r="Z40" s="1263">
        <f t="shared" si="15"/>
        <v>111</v>
      </c>
      <c r="AA40" s="1263">
        <f t="shared" si="3"/>
        <v>1</v>
      </c>
      <c r="AB40" s="1263">
        <f t="shared" si="4"/>
        <v>1</v>
      </c>
      <c r="AC40" s="1263">
        <f t="shared" si="5"/>
        <v>1</v>
      </c>
    </row>
    <row r="41" spans="1:29" ht="14.4">
      <c r="A41" s="416" t="s">
        <v>1708</v>
      </c>
      <c r="B41" s="417"/>
      <c r="C41" s="1081" t="s">
        <v>0</v>
      </c>
      <c r="D41" s="418"/>
      <c r="E41" s="419"/>
      <c r="F41" s="420"/>
      <c r="G41" s="421"/>
      <c r="H41" s="422"/>
      <c r="I41" s="419"/>
      <c r="J41" s="422"/>
      <c r="K41" s="674"/>
      <c r="L41" s="873"/>
      <c r="M41" s="861"/>
      <c r="N41" s="861"/>
      <c r="O41" s="861"/>
      <c r="P41" s="3363" t="str">
        <f>A41</f>
        <v>成交单价（元/平方米）</v>
      </c>
      <c r="Q41" s="3363"/>
      <c r="R41" s="3368">
        <f>E41</f>
        <v>0</v>
      </c>
      <c r="S41" s="3368"/>
      <c r="T41" s="3368">
        <f>G41</f>
        <v>0</v>
      </c>
      <c r="U41" s="3368"/>
      <c r="V41" s="3368">
        <f>I41</f>
        <v>0</v>
      </c>
      <c r="W41" s="3368"/>
      <c r="X41" s="385"/>
      <c r="Y41" s="673"/>
      <c r="Z41" s="385"/>
      <c r="AA41" s="385"/>
      <c r="AB41" s="385"/>
      <c r="AC41" s="385"/>
    </row>
    <row r="42" spans="1:29" ht="1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63" t="str">
        <f>A42</f>
        <v>比较价值（元/平方米）</v>
      </c>
      <c r="Q42" s="3363"/>
      <c r="R42" s="3368" t="e">
        <f>IF(F1="售价",ROUND(PRODUCT(R41,AA7:AA40),0),ROUND(PRODUCT(R41,AA7:AA40),1))</f>
        <v>#DIV/0!</v>
      </c>
      <c r="S42" s="3368"/>
      <c r="T42" s="3368" t="e">
        <f>IF(F1="售价",ROUND(PRODUCT(T41,AB7:AB40),0),ROUND(PRODUCT(T41,AB7:AB40),1))</f>
        <v>#DIV/0!</v>
      </c>
      <c r="U42" s="3368"/>
      <c r="V42" s="3368" t="e">
        <f>IF(F1="售价",ROUND(PRODUCT(V41,AC7:AC40),0),ROUND(PRODUCT(V41,AC7:AC40),1))</f>
        <v>#DIV/0!</v>
      </c>
      <c r="W42" s="3368"/>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57" t="str">
        <f>A43</f>
        <v>估价对象XX用房的比较价值（楼面单价，元/平方米）</v>
      </c>
      <c r="Q43" s="3358"/>
      <c r="R43" s="3427" t="e">
        <f>IF(F1="售价",ROUND(IF(D42="简单平均",AVERAGE(R42:V42),R42*F42+T42*H42+V42*J42),0),ROUND(IF(D42="简单平均",AVERAGE(R42:V42),R42*F42+T42*H42+V42*J42),1))</f>
        <v>#DIV/0!</v>
      </c>
      <c r="S43" s="3427"/>
      <c r="T43" s="3427"/>
      <c r="U43" s="3427"/>
      <c r="V43" s="3427"/>
      <c r="W43" s="3427"/>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2" t="str">
        <f>YEAR(C7)&amp;"-"&amp;MONTH(C7)</f>
        <v>2024-8</v>
      </c>
      <c r="D52" s="1103">
        <f>EDATE(C52,-1)</f>
        <v>45474</v>
      </c>
      <c r="E52" s="1103">
        <f t="shared" ref="E52:O52" si="16">EDATE(D52,-1)</f>
        <v>45444</v>
      </c>
      <c r="F52" s="1103">
        <f t="shared" si="16"/>
        <v>45413</v>
      </c>
      <c r="G52" s="1103">
        <f t="shared" si="16"/>
        <v>45383</v>
      </c>
      <c r="H52" s="1103">
        <f t="shared" si="16"/>
        <v>45352</v>
      </c>
      <c r="I52" s="1103">
        <f t="shared" si="16"/>
        <v>45323</v>
      </c>
      <c r="J52" s="1103">
        <f t="shared" si="16"/>
        <v>45292</v>
      </c>
      <c r="K52" s="1103">
        <f t="shared" si="16"/>
        <v>45261</v>
      </c>
      <c r="L52" s="1103">
        <f t="shared" si="16"/>
        <v>45231</v>
      </c>
      <c r="M52" s="1103">
        <f t="shared" si="16"/>
        <v>45200</v>
      </c>
      <c r="N52" s="1103">
        <f t="shared" si="16"/>
        <v>45170</v>
      </c>
      <c r="O52" s="1103">
        <f t="shared" si="16"/>
        <v>45139</v>
      </c>
    </row>
    <row r="53" spans="1:17" s="102" customFormat="1">
      <c r="A53" s="443"/>
      <c r="B53" s="444"/>
      <c r="C53" s="1101">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8"/>
      <c r="O54" s="2539"/>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C20 G20 E20 I20" xr:uid="{00000000-0002-0000-1F00-000001000000}">
      <formula1>公共配套设施</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4 G24 I24 C24" xr:uid="{00000000-0002-0000-1F00-000003000000}">
      <formula1>环境</formula1>
    </dataValidation>
    <dataValidation type="list" allowBlank="1" showInputMessage="1" showErrorMessage="1" sqref="C8 E8 G8 I8" xr:uid="{00000000-0002-0000-1F00-000004000000}">
      <formula1>工业交易情况</formula1>
    </dataValidation>
    <dataValidation type="list" allowBlank="1" showInputMessage="1" showErrorMessage="1" sqref="E9 G9 I9" xr:uid="{00000000-0002-0000-1F00-000005000000}">
      <formula1>工业用途</formula1>
    </dataValidation>
    <dataValidation type="list" allowBlank="1" showInputMessage="1" showErrorMessage="1" sqref="C29 E29 G29 I29" xr:uid="{00000000-0002-0000-1F00-000006000000}">
      <formula1>工业建筑类型</formula1>
    </dataValidation>
    <dataValidation type="list" allowBlank="1" showInputMessage="1" showErrorMessage="1" sqref="C31 E31 G31 I31" xr:uid="{00000000-0002-0000-1F00-000007000000}">
      <formula1>工业建筑结构</formula1>
    </dataValidation>
    <dataValidation type="list" allowBlank="1" showInputMessage="1" showErrorMessage="1" sqref="C32 E32 G32 I32" xr:uid="{00000000-0002-0000-1F00-000008000000}">
      <formula1>工业公共部分装修</formula1>
    </dataValidation>
    <dataValidation type="list" allowBlank="1" showInputMessage="1" showErrorMessage="1" sqref="C34 E34 G34 I34" xr:uid="{00000000-0002-0000-1F00-000009000000}">
      <formula1>工业物业管理</formula1>
    </dataValidation>
    <dataValidation type="list" allowBlank="1" showInputMessage="1" showErrorMessage="1" sqref="C35 E35 G35 I35" xr:uid="{00000000-0002-0000-1F00-00000A000000}">
      <formula1>工业基础设施水平</formula1>
    </dataValidation>
    <dataValidation type="list" allowBlank="1" showInputMessage="1" showErrorMessage="1" sqref="C36 E36 G36 I36" xr:uid="{00000000-0002-0000-1F00-00000B000000}">
      <formula1>工业内部装修</formula1>
    </dataValidation>
    <dataValidation type="list" allowBlank="1" showInputMessage="1" showErrorMessage="1" sqref="C37 E37 G37 I37" xr:uid="{00000000-0002-0000-1F00-00000C000000}">
      <formula1>内部装修维护情况</formula1>
    </dataValidation>
    <dataValidation type="list" allowBlank="1" showInputMessage="1" showErrorMessage="1" sqref="C16 E16 G16 I16" xr:uid="{00000000-0002-0000-1F00-00000D000000}">
      <formula1>产业集聚程度</formula1>
    </dataValidation>
    <dataValidation type="list" allowBlank="1" showInputMessage="1" showErrorMessage="1" sqref="C22 E22 G22 I22"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42"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3333</v>
      </c>
      <c r="C1" s="1140" t="s">
        <v>1662</v>
      </c>
      <c r="D1" s="1141"/>
      <c r="E1" s="3131"/>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4.4">
      <c r="A4" s="345" t="s">
        <v>1769</v>
      </c>
      <c r="B4" s="346"/>
      <c r="C4" s="3360" t="s">
        <v>1770</v>
      </c>
      <c r="D4" s="3372"/>
      <c r="E4" s="3373" t="s">
        <v>1771</v>
      </c>
      <c r="F4" s="3374"/>
      <c r="G4" s="3360" t="s">
        <v>1772</v>
      </c>
      <c r="H4" s="3372"/>
      <c r="I4" s="3360" t="s">
        <v>1773</v>
      </c>
      <c r="J4" s="3372"/>
      <c r="K4" s="537" t="s">
        <v>1774</v>
      </c>
      <c r="L4" s="2486"/>
      <c r="M4" s="2487"/>
      <c r="N4" s="2487"/>
      <c r="O4" s="2487"/>
      <c r="P4" s="3375" t="s">
        <v>1775</v>
      </c>
      <c r="Q4" s="3376"/>
      <c r="R4" s="3381" t="s">
        <v>1771</v>
      </c>
      <c r="S4" s="3382"/>
      <c r="T4" s="3381" t="s">
        <v>1772</v>
      </c>
      <c r="U4" s="3382"/>
      <c r="V4" s="3368" t="s">
        <v>1773</v>
      </c>
      <c r="W4" s="3368"/>
      <c r="X4" s="1264"/>
      <c r="Y4" s="3381" t="s">
        <v>1775</v>
      </c>
      <c r="Z4" s="3382"/>
      <c r="AA4" s="3369" t="s">
        <v>1771</v>
      </c>
      <c r="AB4" s="3370" t="s">
        <v>1772</v>
      </c>
      <c r="AC4" s="3369" t="s">
        <v>1773</v>
      </c>
    </row>
    <row r="5" spans="1:29">
      <c r="A5" s="348"/>
      <c r="B5" s="349"/>
      <c r="C5" s="3389" t="s">
        <v>1673</v>
      </c>
      <c r="D5" s="3390"/>
      <c r="E5" s="3396" t="s">
        <v>1674</v>
      </c>
      <c r="F5" s="3397"/>
      <c r="G5" s="3389" t="s">
        <v>1675</v>
      </c>
      <c r="H5" s="3390"/>
      <c r="I5" s="3389" t="s">
        <v>1676</v>
      </c>
      <c r="J5" s="3390"/>
      <c r="K5" s="537"/>
      <c r="L5" s="2486"/>
      <c r="M5" s="2487"/>
      <c r="N5" s="2487"/>
      <c r="O5" s="2487"/>
      <c r="P5" s="3377"/>
      <c r="Q5" s="3378"/>
      <c r="R5" s="3383"/>
      <c r="S5" s="3384"/>
      <c r="T5" s="3383"/>
      <c r="U5" s="3384"/>
      <c r="V5" s="3368"/>
      <c r="W5" s="3368"/>
      <c r="X5" s="1264"/>
      <c r="Y5" s="3383"/>
      <c r="Z5" s="3384"/>
      <c r="AA5" s="3370"/>
      <c r="AB5" s="3370"/>
      <c r="AC5" s="3370"/>
    </row>
    <row r="6" spans="1:29" ht="15" thickBot="1">
      <c r="A6" s="350"/>
      <c r="B6" s="351"/>
      <c r="C6" s="3387" t="s">
        <v>1677</v>
      </c>
      <c r="D6" s="3388"/>
      <c r="E6" s="3394" t="s">
        <v>1677</v>
      </c>
      <c r="F6" s="3395"/>
      <c r="G6" s="3387" t="s">
        <v>1677</v>
      </c>
      <c r="H6" s="3388"/>
      <c r="I6" s="3387" t="s">
        <v>1677</v>
      </c>
      <c r="J6" s="3388"/>
      <c r="K6" s="537" t="s">
        <v>1678</v>
      </c>
      <c r="L6" s="2486"/>
      <c r="M6" s="2487"/>
      <c r="N6" s="2487"/>
      <c r="O6" s="2487"/>
      <c r="P6" s="3379"/>
      <c r="Q6" s="3380"/>
      <c r="R6" s="3383"/>
      <c r="S6" s="3384"/>
      <c r="T6" s="3385"/>
      <c r="U6" s="3386"/>
      <c r="V6" s="3368"/>
      <c r="W6" s="3368"/>
      <c r="X6" s="1264"/>
      <c r="Y6" s="3385"/>
      <c r="Z6" s="3386"/>
      <c r="AA6" s="3371"/>
      <c r="AB6" s="3371"/>
      <c r="AC6" s="3371"/>
    </row>
    <row r="7" spans="1:29" s="102" customFormat="1" ht="15" thickBot="1">
      <c r="A7" s="352" t="s">
        <v>1679</v>
      </c>
      <c r="B7" s="353"/>
      <c r="C7" s="354">
        <f>'数据-取费表'!B2</f>
        <v>45526</v>
      </c>
      <c r="D7" s="355">
        <v>100</v>
      </c>
      <c r="E7" s="356"/>
      <c r="F7" s="357">
        <f>SUMIF(48:48,YEAR(E7)&amp;"-"&amp;MONTH(E7),49:49)</f>
        <v>0</v>
      </c>
      <c r="G7" s="356"/>
      <c r="H7" s="355">
        <f>SUMIF(48:48,YEAR(G7)&amp;"-"&amp;MONTH(G7),49:49)</f>
        <v>0</v>
      </c>
      <c r="I7" s="356"/>
      <c r="J7" s="355">
        <f>SUMIF(48:48,YEAR(I7)&amp;"-"&amp;MONTH(I7),49:49)</f>
        <v>0</v>
      </c>
      <c r="K7" s="38"/>
      <c r="L7" s="2488"/>
      <c r="M7" s="2439"/>
      <c r="N7" s="2439"/>
      <c r="O7" s="2439"/>
      <c r="P7" s="3391" t="s">
        <v>1680</v>
      </c>
      <c r="Q7" s="3393"/>
      <c r="R7" s="664" t="s">
        <v>14</v>
      </c>
      <c r="S7" s="665">
        <f t="shared" ref="S7:S14" si="0">F7</f>
        <v>0</v>
      </c>
      <c r="T7" s="664" t="s">
        <v>14</v>
      </c>
      <c r="U7" s="665">
        <f t="shared" ref="U7:U14" si="1">H7</f>
        <v>0</v>
      </c>
      <c r="V7" s="664" t="s">
        <v>14</v>
      </c>
      <c r="W7" s="665">
        <f t="shared" ref="W7:W14" si="2">J7</f>
        <v>0</v>
      </c>
      <c r="X7" s="666"/>
      <c r="Y7" s="3391" t="s">
        <v>1680</v>
      </c>
      <c r="Z7" s="3392"/>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91" t="s">
        <v>1683</v>
      </c>
      <c r="Q8" s="3392"/>
      <c r="R8" s="664" t="s">
        <v>14</v>
      </c>
      <c r="S8" s="665">
        <f t="shared" si="0"/>
        <v>100</v>
      </c>
      <c r="T8" s="664" t="s">
        <v>14</v>
      </c>
      <c r="U8" s="665">
        <f t="shared" si="1"/>
        <v>100</v>
      </c>
      <c r="V8" s="664" t="s">
        <v>14</v>
      </c>
      <c r="W8" s="665">
        <f t="shared" si="2"/>
        <v>100</v>
      </c>
      <c r="X8" s="666"/>
      <c r="Y8" s="3391" t="s">
        <v>1683</v>
      </c>
      <c r="Z8" s="3392"/>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63" t="s">
        <v>1686</v>
      </c>
      <c r="Q9" s="530" t="str">
        <f t="shared" ref="Q9:Q14" si="6">B9</f>
        <v>用途</v>
      </c>
      <c r="R9" s="664" t="s">
        <v>14</v>
      </c>
      <c r="S9" s="665">
        <f t="shared" si="0"/>
        <v>100</v>
      </c>
      <c r="T9" s="664" t="s">
        <v>14</v>
      </c>
      <c r="U9" s="665">
        <f t="shared" si="1"/>
        <v>100</v>
      </c>
      <c r="V9" s="664" t="s">
        <v>14</v>
      </c>
      <c r="W9" s="665">
        <f t="shared" si="2"/>
        <v>100</v>
      </c>
      <c r="X9" s="666"/>
      <c r="Y9" s="3263" t="s">
        <v>1687</v>
      </c>
      <c r="Z9" s="50" t="str">
        <f t="shared" ref="Z9:Z14" si="7">Q9</f>
        <v>用途</v>
      </c>
      <c r="AA9" s="50">
        <f t="shared" si="3"/>
        <v>1</v>
      </c>
      <c r="AB9" s="50">
        <f t="shared" si="4"/>
        <v>1</v>
      </c>
      <c r="AC9" s="50">
        <f t="shared" si="5"/>
        <v>1</v>
      </c>
    </row>
    <row r="10" spans="1:29" s="366" customFormat="1" ht="28.8">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63"/>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63"/>
      <c r="Q11" s="530">
        <f t="shared" si="6"/>
        <v>111</v>
      </c>
      <c r="R11" s="664" t="s">
        <v>14</v>
      </c>
      <c r="S11" s="665">
        <f t="shared" si="0"/>
        <v>100</v>
      </c>
      <c r="T11" s="664" t="s">
        <v>14</v>
      </c>
      <c r="U11" s="665">
        <f t="shared" si="1"/>
        <v>100</v>
      </c>
      <c r="V11" s="664" t="s">
        <v>14</v>
      </c>
      <c r="W11" s="665">
        <f t="shared" si="2"/>
        <v>100</v>
      </c>
      <c r="X11" s="666"/>
      <c r="Y11" s="326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63"/>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63"/>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96.6">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64" t="s">
        <v>1691</v>
      </c>
      <c r="Q14" s="1262" t="str">
        <f t="shared" si="6"/>
        <v>交通便捷度</v>
      </c>
      <c r="R14" s="667" t="s">
        <v>14</v>
      </c>
      <c r="S14" s="668">
        <f t="shared" si="0"/>
        <v>100</v>
      </c>
      <c r="T14" s="667" t="s">
        <v>14</v>
      </c>
      <c r="U14" s="668">
        <f t="shared" si="1"/>
        <v>100</v>
      </c>
      <c r="V14" s="667" t="s">
        <v>14</v>
      </c>
      <c r="W14" s="668">
        <f t="shared" si="2"/>
        <v>100</v>
      </c>
      <c r="X14" s="1264"/>
      <c r="Y14" s="3364"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2"/>
      <c r="M15" s="2487"/>
      <c r="N15" s="2487"/>
      <c r="O15" s="2487"/>
      <c r="P15" s="3365"/>
      <c r="Q15" s="1262"/>
      <c r="R15" s="667"/>
      <c r="S15" s="668"/>
      <c r="T15" s="667"/>
      <c r="U15" s="668"/>
      <c r="V15" s="667"/>
      <c r="W15" s="668"/>
      <c r="X15" s="1264"/>
      <c r="Y15" s="3365"/>
      <c r="Z15" s="1263"/>
      <c r="AA15" s="1263">
        <v>1</v>
      </c>
      <c r="AB15" s="1263">
        <v>1</v>
      </c>
      <c r="AC15" s="1263">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65"/>
      <c r="Q16" s="1262" t="str">
        <f>B16</f>
        <v>公共配套设施</v>
      </c>
      <c r="R16" s="667" t="s">
        <v>14</v>
      </c>
      <c r="S16" s="668">
        <f>F16</f>
        <v>100</v>
      </c>
      <c r="T16" s="667" t="s">
        <v>14</v>
      </c>
      <c r="U16" s="668">
        <f>H16</f>
        <v>100</v>
      </c>
      <c r="V16" s="667" t="s">
        <v>14</v>
      </c>
      <c r="W16" s="668">
        <f>J16</f>
        <v>100</v>
      </c>
      <c r="X16" s="1264"/>
      <c r="Y16" s="3365"/>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2"/>
      <c r="M17" s="2487"/>
      <c r="N17" s="2487"/>
      <c r="O17" s="2487"/>
      <c r="P17" s="3365"/>
      <c r="Q17" s="1262"/>
      <c r="R17" s="667"/>
      <c r="S17" s="668"/>
      <c r="T17" s="667"/>
      <c r="U17" s="668"/>
      <c r="V17" s="667"/>
      <c r="W17" s="668"/>
      <c r="X17" s="1264"/>
      <c r="Y17" s="3365"/>
      <c r="Z17" s="1263"/>
      <c r="AA17" s="1263">
        <v>1</v>
      </c>
      <c r="AB17" s="1263">
        <v>1</v>
      </c>
      <c r="AC17" s="1263">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65"/>
      <c r="Q18" s="1262" t="str">
        <f>B18</f>
        <v>基础设施水平</v>
      </c>
      <c r="R18" s="667" t="s">
        <v>14</v>
      </c>
      <c r="S18" s="668">
        <f>F18</f>
        <v>100</v>
      </c>
      <c r="T18" s="667" t="s">
        <v>14</v>
      </c>
      <c r="U18" s="668">
        <f>H18</f>
        <v>100</v>
      </c>
      <c r="V18" s="667" t="s">
        <v>14</v>
      </c>
      <c r="W18" s="668">
        <f>J18</f>
        <v>100</v>
      </c>
      <c r="X18" s="1264"/>
      <c r="Y18" s="3365"/>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2"/>
      <c r="M19" s="2487"/>
      <c r="N19" s="2487"/>
      <c r="O19" s="2487"/>
      <c r="P19" s="3365"/>
      <c r="Q19" s="1262"/>
      <c r="R19" s="667"/>
      <c r="S19" s="668"/>
      <c r="T19" s="667"/>
      <c r="U19" s="668"/>
      <c r="V19" s="667"/>
      <c r="W19" s="668"/>
      <c r="X19" s="1264"/>
      <c r="Y19" s="3365"/>
      <c r="Z19" s="1263"/>
      <c r="AA19" s="1263">
        <v>1</v>
      </c>
      <c r="AB19" s="1263">
        <v>1</v>
      </c>
      <c r="AC19" s="1263">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65"/>
      <c r="Q20" s="1262" t="str">
        <f>B20</f>
        <v>自然及人文环境</v>
      </c>
      <c r="R20" s="667" t="s">
        <v>14</v>
      </c>
      <c r="S20" s="668">
        <f>F20</f>
        <v>100</v>
      </c>
      <c r="T20" s="667" t="s">
        <v>14</v>
      </c>
      <c r="U20" s="668">
        <f>H20</f>
        <v>100</v>
      </c>
      <c r="V20" s="667" t="s">
        <v>14</v>
      </c>
      <c r="W20" s="668">
        <f>J20</f>
        <v>100</v>
      </c>
      <c r="X20" s="1264"/>
      <c r="Y20" s="3365"/>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2"/>
      <c r="M21" s="2487"/>
      <c r="N21" s="2487"/>
      <c r="O21" s="2487"/>
      <c r="P21" s="3365"/>
      <c r="Q21" s="1262"/>
      <c r="R21" s="667"/>
      <c r="S21" s="668"/>
      <c r="T21" s="667"/>
      <c r="U21" s="668"/>
      <c r="V21" s="667"/>
      <c r="W21" s="668"/>
      <c r="X21" s="1264"/>
      <c r="Y21" s="3365"/>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65"/>
      <c r="Q22" s="1262" t="str">
        <f>B22</f>
        <v>楼层</v>
      </c>
      <c r="R22" s="667" t="s">
        <v>14</v>
      </c>
      <c r="S22" s="668">
        <f>F22</f>
        <v>100</v>
      </c>
      <c r="T22" s="667" t="s">
        <v>14</v>
      </c>
      <c r="U22" s="668">
        <f>H22</f>
        <v>100</v>
      </c>
      <c r="V22" s="667" t="s">
        <v>14</v>
      </c>
      <c r="W22" s="668">
        <f>J22</f>
        <v>100</v>
      </c>
      <c r="X22" s="1264"/>
      <c r="Y22" s="3365"/>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65"/>
      <c r="Q23" s="1262">
        <f>B23</f>
        <v>111</v>
      </c>
      <c r="R23" s="667" t="s">
        <v>14</v>
      </c>
      <c r="S23" s="668">
        <f>F23</f>
        <v>100</v>
      </c>
      <c r="T23" s="667" t="s">
        <v>14</v>
      </c>
      <c r="U23" s="668">
        <f>H23</f>
        <v>100</v>
      </c>
      <c r="V23" s="667" t="s">
        <v>14</v>
      </c>
      <c r="W23" s="668">
        <f>J23</f>
        <v>100</v>
      </c>
      <c r="X23" s="1264"/>
      <c r="Y23" s="3365"/>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65"/>
      <c r="Q24" s="1262">
        <f t="shared" ref="Q24:Q36" si="11">B24</f>
        <v>111</v>
      </c>
      <c r="R24" s="667" t="s">
        <v>14</v>
      </c>
      <c r="S24" s="668">
        <f>F24</f>
        <v>100</v>
      </c>
      <c r="T24" s="667" t="s">
        <v>14</v>
      </c>
      <c r="U24" s="668">
        <f>H24</f>
        <v>100</v>
      </c>
      <c r="V24" s="667" t="s">
        <v>14</v>
      </c>
      <c r="W24" s="668">
        <f>J24</f>
        <v>100</v>
      </c>
      <c r="X24" s="1264"/>
      <c r="Y24" s="3365"/>
      <c r="Z24" s="1263">
        <f>Q24</f>
        <v>111</v>
      </c>
      <c r="AA24" s="1263">
        <f t="shared" si="3"/>
        <v>1</v>
      </c>
      <c r="AB24" s="1263">
        <f t="shared" si="4"/>
        <v>1</v>
      </c>
      <c r="AC24" s="1263">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65"/>
      <c r="Q25" s="530">
        <f t="shared" si="11"/>
        <v>111</v>
      </c>
      <c r="R25" s="664" t="s">
        <v>14</v>
      </c>
      <c r="S25" s="665">
        <f>F25</f>
        <v>100</v>
      </c>
      <c r="T25" s="664" t="s">
        <v>14</v>
      </c>
      <c r="U25" s="665">
        <f>H25</f>
        <v>100</v>
      </c>
      <c r="V25" s="664" t="s">
        <v>14</v>
      </c>
      <c r="W25" s="665">
        <f>J25</f>
        <v>100</v>
      </c>
      <c r="X25" s="666"/>
      <c r="Y25" s="3365"/>
      <c r="Z25" s="50">
        <f>Q25</f>
        <v>111</v>
      </c>
      <c r="AA25" s="1263">
        <f>D25/F25</f>
        <v>1</v>
      </c>
      <c r="AB25" s="1263">
        <f>D25/H25</f>
        <v>1</v>
      </c>
      <c r="AC25" s="1263">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366"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67"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67"/>
      <c r="Q27" s="531" t="str">
        <f t="shared" si="11"/>
        <v>项目停车位配比</v>
      </c>
      <c r="R27" s="669" t="s">
        <v>14</v>
      </c>
      <c r="S27" s="670">
        <f t="shared" si="12"/>
        <v>100</v>
      </c>
      <c r="T27" s="669" t="s">
        <v>14</v>
      </c>
      <c r="U27" s="670">
        <f t="shared" si="13"/>
        <v>100</v>
      </c>
      <c r="V27" s="669" t="s">
        <v>14</v>
      </c>
      <c r="W27" s="670">
        <f t="shared" si="14"/>
        <v>100</v>
      </c>
      <c r="X27" s="671"/>
      <c r="Y27" s="3367"/>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67"/>
      <c r="Q28" s="1262" t="str">
        <f t="shared" si="11"/>
        <v>公共部分装修</v>
      </c>
      <c r="R28" s="667" t="s">
        <v>14</v>
      </c>
      <c r="S28" s="668">
        <f t="shared" si="12"/>
        <v>100</v>
      </c>
      <c r="T28" s="667" t="s">
        <v>14</v>
      </c>
      <c r="U28" s="668">
        <f t="shared" si="13"/>
        <v>100</v>
      </c>
      <c r="V28" s="667" t="s">
        <v>14</v>
      </c>
      <c r="W28" s="668">
        <f t="shared" si="14"/>
        <v>100</v>
      </c>
      <c r="X28" s="1264"/>
      <c r="Y28" s="3367"/>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67"/>
      <c r="Q29" s="1262" t="str">
        <f t="shared" si="11"/>
        <v>成新率</v>
      </c>
      <c r="R29" s="667" t="s">
        <v>14</v>
      </c>
      <c r="S29" s="668" t="e">
        <f t="shared" si="12"/>
        <v>#N/A</v>
      </c>
      <c r="T29" s="667" t="s">
        <v>14</v>
      </c>
      <c r="U29" s="668" t="e">
        <f t="shared" si="13"/>
        <v>#N/A</v>
      </c>
      <c r="V29" s="667" t="s">
        <v>14</v>
      </c>
      <c r="W29" s="668" t="e">
        <f t="shared" si="14"/>
        <v>#N/A</v>
      </c>
      <c r="X29" s="1264"/>
      <c r="Y29" s="3367"/>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67"/>
      <c r="Q30" s="1262" t="str">
        <f t="shared" si="11"/>
        <v>物业等级</v>
      </c>
      <c r="R30" s="667" t="s">
        <v>14</v>
      </c>
      <c r="S30" s="668">
        <f t="shared" si="12"/>
        <v>100</v>
      </c>
      <c r="T30" s="667" t="s">
        <v>14</v>
      </c>
      <c r="U30" s="668">
        <f t="shared" si="13"/>
        <v>100</v>
      </c>
      <c r="V30" s="667" t="s">
        <v>14</v>
      </c>
      <c r="W30" s="668">
        <f t="shared" si="14"/>
        <v>100</v>
      </c>
      <c r="X30" s="1264"/>
      <c r="Y30" s="3367"/>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67"/>
      <c r="Q31" s="530" t="str">
        <f t="shared" si="11"/>
        <v>停车位面积</v>
      </c>
      <c r="R31" s="664" t="s">
        <v>14</v>
      </c>
      <c r="S31" s="665" t="e">
        <f t="shared" si="12"/>
        <v>#N/A</v>
      </c>
      <c r="T31" s="664" t="s">
        <v>14</v>
      </c>
      <c r="U31" s="665" t="e">
        <f t="shared" si="13"/>
        <v>#N/A</v>
      </c>
      <c r="V31" s="664" t="s">
        <v>14</v>
      </c>
      <c r="W31" s="665" t="e">
        <f t="shared" si="14"/>
        <v>#N/A</v>
      </c>
      <c r="X31" s="666"/>
      <c r="Y31" s="336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67" t="s">
        <v>1696</v>
      </c>
      <c r="Q32" s="1262" t="str">
        <f t="shared" si="11"/>
        <v>车位类型</v>
      </c>
      <c r="R32" s="667" t="s">
        <v>14</v>
      </c>
      <c r="S32" s="668">
        <f t="shared" si="12"/>
        <v>100</v>
      </c>
      <c r="T32" s="667" t="s">
        <v>14</v>
      </c>
      <c r="U32" s="668">
        <f t="shared" si="13"/>
        <v>100</v>
      </c>
      <c r="V32" s="667" t="s">
        <v>14</v>
      </c>
      <c r="W32" s="668">
        <f t="shared" si="14"/>
        <v>100</v>
      </c>
      <c r="X32" s="1264"/>
      <c r="Y32" s="3367"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67"/>
      <c r="Q33" s="1262" t="str">
        <f t="shared" si="11"/>
        <v>是否直接入户</v>
      </c>
      <c r="R33" s="667" t="s">
        <v>14</v>
      </c>
      <c r="S33" s="668">
        <f t="shared" si="12"/>
        <v>100</v>
      </c>
      <c r="T33" s="667" t="s">
        <v>14</v>
      </c>
      <c r="U33" s="668">
        <f t="shared" si="13"/>
        <v>100</v>
      </c>
      <c r="V33" s="667" t="s">
        <v>14</v>
      </c>
      <c r="W33" s="668">
        <f t="shared" si="14"/>
        <v>100</v>
      </c>
      <c r="X33" s="1264"/>
      <c r="Y33" s="3367"/>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67"/>
      <c r="Q34" s="1262">
        <f t="shared" si="11"/>
        <v>111</v>
      </c>
      <c r="R34" s="667" t="s">
        <v>14</v>
      </c>
      <c r="S34" s="668">
        <f t="shared" si="12"/>
        <v>100</v>
      </c>
      <c r="T34" s="667" t="s">
        <v>14</v>
      </c>
      <c r="U34" s="668">
        <f t="shared" si="13"/>
        <v>100</v>
      </c>
      <c r="V34" s="667" t="s">
        <v>14</v>
      </c>
      <c r="W34" s="668">
        <f t="shared" si="14"/>
        <v>100</v>
      </c>
      <c r="X34" s="1264"/>
      <c r="Y34" s="3367"/>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67"/>
      <c r="Q35" s="531">
        <f t="shared" si="11"/>
        <v>111</v>
      </c>
      <c r="R35" s="669" t="s">
        <v>14</v>
      </c>
      <c r="S35" s="670">
        <f t="shared" si="12"/>
        <v>100</v>
      </c>
      <c r="T35" s="669" t="s">
        <v>14</v>
      </c>
      <c r="U35" s="670">
        <f t="shared" si="13"/>
        <v>100</v>
      </c>
      <c r="V35" s="669" t="s">
        <v>14</v>
      </c>
      <c r="W35" s="670">
        <f t="shared" si="14"/>
        <v>100</v>
      </c>
      <c r="X35" s="671"/>
      <c r="Y35" s="3367"/>
      <c r="Z35" s="672">
        <f t="shared" si="15"/>
        <v>111</v>
      </c>
      <c r="AA35" s="1263">
        <f t="shared" si="3"/>
        <v>1</v>
      </c>
      <c r="AB35" s="1263">
        <f t="shared" si="4"/>
        <v>1</v>
      </c>
      <c r="AC35" s="1263">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67"/>
      <c r="Q36" s="1262">
        <f t="shared" si="11"/>
        <v>111</v>
      </c>
      <c r="R36" s="667" t="s">
        <v>14</v>
      </c>
      <c r="S36" s="668">
        <f t="shared" si="12"/>
        <v>100</v>
      </c>
      <c r="T36" s="667" t="s">
        <v>14</v>
      </c>
      <c r="U36" s="668">
        <f t="shared" si="13"/>
        <v>100</v>
      </c>
      <c r="V36" s="667" t="s">
        <v>14</v>
      </c>
      <c r="W36" s="668">
        <f t="shared" si="14"/>
        <v>100</v>
      </c>
      <c r="X36" s="1264"/>
      <c r="Y36" s="3367"/>
      <c r="Z36" s="1263">
        <f t="shared" si="15"/>
        <v>111</v>
      </c>
      <c r="AA36" s="1263">
        <f t="shared" si="3"/>
        <v>1</v>
      </c>
      <c r="AB36" s="1263">
        <f t="shared" si="4"/>
        <v>1</v>
      </c>
      <c r="AC36" s="1263">
        <f t="shared" si="5"/>
        <v>1</v>
      </c>
    </row>
    <row r="37" spans="1:29" ht="14.4">
      <c r="A37" s="416" t="s">
        <v>1844</v>
      </c>
      <c r="B37" s="1820" t="s">
        <v>3354</v>
      </c>
      <c r="C37" s="1081" t="s">
        <v>0</v>
      </c>
      <c r="D37" s="418"/>
      <c r="E37" s="419"/>
      <c r="F37" s="420"/>
      <c r="G37" s="421"/>
      <c r="H37" s="422"/>
      <c r="I37" s="419"/>
      <c r="J37" s="422"/>
      <c r="K37" s="545"/>
      <c r="L37" s="2494"/>
      <c r="M37" s="2487"/>
      <c r="N37" s="2487"/>
      <c r="O37" s="2487"/>
      <c r="P37" s="3363" t="str">
        <f>A37</f>
        <v>成交单价</v>
      </c>
      <c r="Q37" s="3363"/>
      <c r="R37" s="3368">
        <f>E37</f>
        <v>0</v>
      </c>
      <c r="S37" s="3368"/>
      <c r="T37" s="3368">
        <f>G37</f>
        <v>0</v>
      </c>
      <c r="U37" s="3368"/>
      <c r="V37" s="3368">
        <f>I37</f>
        <v>0</v>
      </c>
      <c r="W37" s="3368"/>
      <c r="X37" s="385"/>
      <c r="Y37" s="673"/>
      <c r="Z37" s="385"/>
      <c r="AA37" s="385"/>
      <c r="AB37" s="385"/>
      <c r="AC37" s="385"/>
    </row>
    <row r="38" spans="1:29" ht="1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363" t="str">
        <f>A38</f>
        <v>比较价值（元/平方米）</v>
      </c>
      <c r="Q38" s="3363"/>
      <c r="R38" s="3368" t="e">
        <f>IF(F1="售价",ROUND(PRODUCT(R37,AA7:AA36),0),ROUND(PRODUCT(R37,AA7:AA36),1))</f>
        <v>#DIV/0!</v>
      </c>
      <c r="S38" s="3368"/>
      <c r="T38" s="3368" t="e">
        <f>IF(F1="售价",ROUND(PRODUCT(T37,AB7:AB36),0),ROUND(PRODUCT(T37,AB7:AB36),1))</f>
        <v>#DIV/0!</v>
      </c>
      <c r="U38" s="3368"/>
      <c r="V38" s="3368" t="e">
        <f>IF(F1="售价",ROUND(PRODUCT(V37,AC7:AC36),0),ROUND(PRODUCT(V37,AC7:AC36),1))</f>
        <v>#DIV/0!</v>
      </c>
      <c r="W38" s="3368"/>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4"/>
      <c r="M39" s="2487"/>
      <c r="N39" s="2487"/>
      <c r="O39" s="2487"/>
      <c r="P39" s="3357" t="str">
        <f>A39</f>
        <v>估价对象XX用房的比较价值（楼面单价，元/平方米）</v>
      </c>
      <c r="Q39" s="3358"/>
      <c r="R39" s="3449" t="e">
        <f>IF(F1="售价",ROUND(IF(D38="简单平均",AVERAGE(R38:W38),R38*F38+T38*H38+V38*J38),0),ROUND(IF(D38="简单平均",AVERAGE(R38:V38),R38*F38+T38*H38+V38*J38),1))</f>
        <v>#DIV/0!</v>
      </c>
      <c r="S39" s="3449"/>
      <c r="T39" s="3449"/>
      <c r="U39" s="3449"/>
      <c r="V39" s="3449"/>
      <c r="W39" s="3449"/>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2.2"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4.4">
      <c r="A48" s="440" t="s">
        <v>1851</v>
      </c>
      <c r="B48" s="441"/>
      <c r="C48" s="1102" t="str">
        <f>YEAR(C7)&amp;"-"&amp;MONTH(C7)</f>
        <v>2024-8</v>
      </c>
      <c r="D48" s="1103">
        <f>EDATE(C48,-1)</f>
        <v>45474</v>
      </c>
      <c r="E48" s="1103">
        <f t="shared" ref="E48:O48" si="16">EDATE(D48,-1)</f>
        <v>45444</v>
      </c>
      <c r="F48" s="1103">
        <f t="shared" si="16"/>
        <v>45413</v>
      </c>
      <c r="G48" s="1103">
        <f t="shared" si="16"/>
        <v>45383</v>
      </c>
      <c r="H48" s="1103">
        <f t="shared" si="16"/>
        <v>45352</v>
      </c>
      <c r="I48" s="1103">
        <f t="shared" si="16"/>
        <v>45323</v>
      </c>
      <c r="J48" s="1103">
        <f t="shared" si="16"/>
        <v>45292</v>
      </c>
      <c r="K48" s="1103">
        <f t="shared" si="16"/>
        <v>45261</v>
      </c>
      <c r="L48" s="1103">
        <f t="shared" si="16"/>
        <v>45231</v>
      </c>
      <c r="M48" s="1103">
        <f t="shared" si="16"/>
        <v>45200</v>
      </c>
      <c r="N48" s="1103">
        <f t="shared" si="16"/>
        <v>45170</v>
      </c>
      <c r="O48" s="1103">
        <f t="shared" si="16"/>
        <v>45139</v>
      </c>
      <c r="P48" s="2527"/>
      <c r="Q48" s="2510"/>
      <c r="R48" s="2510"/>
      <c r="S48" s="2510"/>
      <c r="T48" s="2510"/>
      <c r="U48" s="2510"/>
      <c r="V48" s="2510"/>
      <c r="W48" s="2510"/>
      <c r="X48" s="2510"/>
      <c r="Y48" s="2510"/>
      <c r="Z48" s="2510"/>
      <c r="AA48" s="2510"/>
      <c r="AB48" s="2510"/>
      <c r="AC48" s="2510"/>
    </row>
    <row r="49" spans="1:29" s="102" customFormat="1">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4.4"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9.4"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4.4"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4.4"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4.4"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4.4"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4.4"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4.4"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4.4"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4.4"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4.4"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9.4"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4.4"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4.4"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4.4"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4.4"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4.4"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4.4"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4.4"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G15 E15 C15 I15" xr:uid="{00000000-0002-0000-2000-000002000000}">
      <formula1>交通便捷度</formula1>
    </dataValidation>
    <dataValidation type="list" allowBlank="1" showInputMessage="1" showErrorMessage="1" sqref="C8 E8 G8 I8" xr:uid="{00000000-0002-0000-2000-000003000000}">
      <formula1>车位交易情况</formula1>
    </dataValidation>
    <dataValidation type="list" allowBlank="1" showInputMessage="1" showErrorMessage="1" sqref="E9 G9 I9" xr:uid="{00000000-0002-0000-2000-000004000000}">
      <formula1>车位用途</formula1>
    </dataValidation>
    <dataValidation type="list" allowBlank="1" showInputMessage="1" showErrorMessage="1" sqref="C22 E22 G22 I22" xr:uid="{00000000-0002-0000-2000-000005000000}">
      <formula1>车位楼层</formula1>
    </dataValidation>
    <dataValidation type="list" allowBlank="1" showInputMessage="1" showErrorMessage="1" sqref="C30 E30 G30 I30" xr:uid="{00000000-0002-0000-2000-000006000000}">
      <formula1>车位物业等级</formula1>
    </dataValidation>
    <dataValidation type="list" allowBlank="1" showInputMessage="1" showErrorMessage="1" sqref="C32 E32 G32 I32" xr:uid="{00000000-0002-0000-2000-000007000000}">
      <formula1>车位类型</formula1>
    </dataValidation>
    <dataValidation type="list" allowBlank="1" showInputMessage="1" showErrorMessage="1" sqref="C33 E33 G33 I33" xr:uid="{00000000-0002-0000-2000-000008000000}">
      <formula1>是否直接入户</formula1>
    </dataValidation>
    <dataValidation type="list" allowBlank="1" showInputMessage="1" showErrorMessage="1" sqref="B1" xr:uid="{00000000-0002-0000-2000-000009000000}">
      <formula1>地类判定</formula1>
    </dataValidation>
    <dataValidation type="list" allowBlank="1" showInputMessage="1" showErrorMessage="1" sqref="I26 E26 G26" xr:uid="{00000000-0002-0000-2000-00000A000000}">
      <formula1>车位配套类型</formula1>
    </dataValidation>
    <dataValidation type="list" allowBlank="1" showInputMessage="1" showErrorMessage="1" sqref="C28 E28 G28 I28" xr:uid="{00000000-0002-0000-2000-00000B000000}">
      <formula1>车位公共部分装修</formula1>
    </dataValidation>
    <dataValidation type="list" allowBlank="1" showInputMessage="1" showErrorMessage="1" sqref="B37" xr:uid="{00000000-0002-0000-2000-00000C000000}">
      <formula1>"元/平方米,元/车位"</formula1>
    </dataValidation>
    <dataValidation type="list" allowBlank="1" showInputMessage="1" showErrorMessage="1" sqref="C21 E21 G21 I21" xr:uid="{00000000-0002-0000-2000-00000D000000}">
      <formula1>环境</formula1>
    </dataValidation>
    <dataValidation type="list" allowBlank="1" showInputMessage="1" showErrorMessage="1" sqref="C19 E19 G19 I19"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38"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3334</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60" t="s">
        <v>1770</v>
      </c>
      <c r="D4" s="3372"/>
      <c r="E4" s="3373" t="s">
        <v>1771</v>
      </c>
      <c r="F4" s="3374"/>
      <c r="G4" s="3360" t="s">
        <v>1772</v>
      </c>
      <c r="H4" s="3372"/>
      <c r="I4" s="3360" t="s">
        <v>1773</v>
      </c>
      <c r="J4" s="3372"/>
      <c r="K4" s="537" t="s">
        <v>1774</v>
      </c>
      <c r="L4" s="2486"/>
      <c r="M4" s="2487"/>
      <c r="N4" s="2487"/>
      <c r="O4" s="2487"/>
      <c r="P4" s="3375" t="s">
        <v>1775</v>
      </c>
      <c r="Q4" s="3376"/>
      <c r="R4" s="3381" t="s">
        <v>1771</v>
      </c>
      <c r="S4" s="3382"/>
      <c r="T4" s="3381" t="s">
        <v>1772</v>
      </c>
      <c r="U4" s="3382"/>
      <c r="V4" s="3368" t="s">
        <v>1773</v>
      </c>
      <c r="W4" s="3368"/>
      <c r="X4" s="1264"/>
      <c r="Y4" s="3381" t="s">
        <v>1775</v>
      </c>
      <c r="Z4" s="3382"/>
      <c r="AA4" s="3369" t="s">
        <v>1771</v>
      </c>
      <c r="AB4" s="3370" t="s">
        <v>1772</v>
      </c>
      <c r="AC4" s="3369" t="s">
        <v>1773</v>
      </c>
    </row>
    <row r="5" spans="1:29">
      <c r="A5" s="348"/>
      <c r="B5" s="349"/>
      <c r="C5" s="3389" t="s">
        <v>1673</v>
      </c>
      <c r="D5" s="3390"/>
      <c r="E5" s="3396" t="s">
        <v>1674</v>
      </c>
      <c r="F5" s="3397"/>
      <c r="G5" s="3389" t="s">
        <v>1675</v>
      </c>
      <c r="H5" s="3390"/>
      <c r="I5" s="3389" t="s">
        <v>1676</v>
      </c>
      <c r="J5" s="3390"/>
      <c r="K5" s="537"/>
      <c r="L5" s="2486"/>
      <c r="M5" s="2487"/>
      <c r="N5" s="2487"/>
      <c r="O5" s="2487"/>
      <c r="P5" s="3377"/>
      <c r="Q5" s="3378"/>
      <c r="R5" s="3383"/>
      <c r="S5" s="3384"/>
      <c r="T5" s="3383"/>
      <c r="U5" s="3384"/>
      <c r="V5" s="3368"/>
      <c r="W5" s="3368"/>
      <c r="X5" s="1264"/>
      <c r="Y5" s="3383"/>
      <c r="Z5" s="3384"/>
      <c r="AA5" s="3370"/>
      <c r="AB5" s="3370"/>
      <c r="AC5" s="3370"/>
    </row>
    <row r="6" spans="1:29" ht="15" thickBot="1">
      <c r="A6" s="350"/>
      <c r="B6" s="351"/>
      <c r="C6" s="3387" t="s">
        <v>1677</v>
      </c>
      <c r="D6" s="3388"/>
      <c r="E6" s="3394" t="s">
        <v>1677</v>
      </c>
      <c r="F6" s="3395"/>
      <c r="G6" s="3387" t="s">
        <v>1677</v>
      </c>
      <c r="H6" s="3388"/>
      <c r="I6" s="3387" t="s">
        <v>1677</v>
      </c>
      <c r="J6" s="3388"/>
      <c r="K6" s="537" t="s">
        <v>1678</v>
      </c>
      <c r="L6" s="2486"/>
      <c r="M6" s="2487"/>
      <c r="N6" s="2487"/>
      <c r="O6" s="2487"/>
      <c r="P6" s="3379"/>
      <c r="Q6" s="3380"/>
      <c r="R6" s="3383"/>
      <c r="S6" s="3384"/>
      <c r="T6" s="3385"/>
      <c r="U6" s="3386"/>
      <c r="V6" s="3368"/>
      <c r="W6" s="3368"/>
      <c r="X6" s="1264"/>
      <c r="Y6" s="3385"/>
      <c r="Z6" s="3386"/>
      <c r="AA6" s="3371"/>
      <c r="AB6" s="3371"/>
      <c r="AC6" s="3371"/>
    </row>
    <row r="7" spans="1:29" s="102" customFormat="1" ht="15" thickBot="1">
      <c r="A7" s="352" t="s">
        <v>1679</v>
      </c>
      <c r="B7" s="353"/>
      <c r="C7" s="354">
        <f>'数据-取费表'!B2</f>
        <v>45526</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91" t="s">
        <v>1680</v>
      </c>
      <c r="Q7" s="3393"/>
      <c r="R7" s="664" t="s">
        <v>14</v>
      </c>
      <c r="S7" s="665">
        <f t="shared" ref="S7:S14" si="0">F7</f>
        <v>0</v>
      </c>
      <c r="T7" s="664" t="s">
        <v>14</v>
      </c>
      <c r="U7" s="665">
        <f t="shared" ref="U7:U14" si="1">H7</f>
        <v>0</v>
      </c>
      <c r="V7" s="664" t="s">
        <v>14</v>
      </c>
      <c r="W7" s="665">
        <f t="shared" ref="W7:W14" si="2">J7</f>
        <v>0</v>
      </c>
      <c r="X7" s="666"/>
      <c r="Y7" s="3391" t="s">
        <v>1680</v>
      </c>
      <c r="Z7" s="3392"/>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91" t="s">
        <v>1683</v>
      </c>
      <c r="Q8" s="3392"/>
      <c r="R8" s="664" t="s">
        <v>14</v>
      </c>
      <c r="S8" s="665">
        <f t="shared" si="0"/>
        <v>100</v>
      </c>
      <c r="T8" s="664" t="s">
        <v>14</v>
      </c>
      <c r="U8" s="665">
        <f t="shared" si="1"/>
        <v>100</v>
      </c>
      <c r="V8" s="664" t="s">
        <v>14</v>
      </c>
      <c r="W8" s="665">
        <f t="shared" si="2"/>
        <v>100</v>
      </c>
      <c r="X8" s="666"/>
      <c r="Y8" s="3391" t="s">
        <v>1683</v>
      </c>
      <c r="Z8" s="3392"/>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63" t="s">
        <v>1686</v>
      </c>
      <c r="Q9" s="530" t="str">
        <f t="shared" ref="Q9:Q14" si="6">B9</f>
        <v>用途</v>
      </c>
      <c r="R9" s="664" t="s">
        <v>14</v>
      </c>
      <c r="S9" s="665">
        <f t="shared" si="0"/>
        <v>100</v>
      </c>
      <c r="T9" s="664" t="s">
        <v>14</v>
      </c>
      <c r="U9" s="665">
        <f t="shared" si="1"/>
        <v>100</v>
      </c>
      <c r="V9" s="664" t="s">
        <v>14</v>
      </c>
      <c r="W9" s="665">
        <f t="shared" si="2"/>
        <v>100</v>
      </c>
      <c r="X9" s="666"/>
      <c r="Y9" s="3263" t="s">
        <v>1687</v>
      </c>
      <c r="Z9" s="50" t="str">
        <f t="shared" ref="Z9:Z14" si="7">Q9</f>
        <v>用途</v>
      </c>
      <c r="AA9" s="50">
        <f t="shared" si="3"/>
        <v>1</v>
      </c>
      <c r="AB9" s="50">
        <f t="shared" si="4"/>
        <v>1</v>
      </c>
      <c r="AC9" s="50">
        <f t="shared" si="5"/>
        <v>1</v>
      </c>
    </row>
    <row r="10" spans="1:29" s="366" customFormat="1" ht="28.8">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63"/>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63"/>
      <c r="Q11" s="530">
        <f t="shared" si="6"/>
        <v>111</v>
      </c>
      <c r="R11" s="664" t="s">
        <v>14</v>
      </c>
      <c r="S11" s="665">
        <f t="shared" si="0"/>
        <v>100</v>
      </c>
      <c r="T11" s="664" t="s">
        <v>14</v>
      </c>
      <c r="U11" s="665">
        <f t="shared" si="1"/>
        <v>100</v>
      </c>
      <c r="V11" s="664" t="s">
        <v>14</v>
      </c>
      <c r="W11" s="665">
        <f t="shared" si="2"/>
        <v>100</v>
      </c>
      <c r="X11" s="666"/>
      <c r="Y11" s="326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63"/>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363"/>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96.6">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64" t="s">
        <v>1691</v>
      </c>
      <c r="Q14" s="1262" t="str">
        <f t="shared" si="6"/>
        <v>交通便捷度</v>
      </c>
      <c r="R14" s="667" t="s">
        <v>14</v>
      </c>
      <c r="S14" s="668">
        <f t="shared" si="0"/>
        <v>100</v>
      </c>
      <c r="T14" s="667" t="s">
        <v>14</v>
      </c>
      <c r="U14" s="668">
        <f t="shared" si="1"/>
        <v>100</v>
      </c>
      <c r="V14" s="667" t="s">
        <v>14</v>
      </c>
      <c r="W14" s="668">
        <f t="shared" si="2"/>
        <v>100</v>
      </c>
      <c r="X14" s="1264"/>
      <c r="Y14" s="3364"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2"/>
      <c r="M15" s="2487"/>
      <c r="N15" s="2487"/>
      <c r="O15" s="2542"/>
      <c r="P15" s="3365"/>
      <c r="Q15" s="1262"/>
      <c r="R15" s="667"/>
      <c r="S15" s="668"/>
      <c r="T15" s="667"/>
      <c r="U15" s="668"/>
      <c r="V15" s="667"/>
      <c r="W15" s="668"/>
      <c r="X15" s="1264"/>
      <c r="Y15" s="3365"/>
      <c r="Z15" s="1263"/>
      <c r="AA15" s="1263">
        <v>1</v>
      </c>
      <c r="AB15" s="1263">
        <v>1</v>
      </c>
      <c r="AC15" s="1263">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65"/>
      <c r="Q16" s="1262" t="str">
        <f>B16</f>
        <v>公共配套设施</v>
      </c>
      <c r="R16" s="667" t="s">
        <v>14</v>
      </c>
      <c r="S16" s="668">
        <f>F16</f>
        <v>100</v>
      </c>
      <c r="T16" s="667" t="s">
        <v>14</v>
      </c>
      <c r="U16" s="668">
        <f>H16</f>
        <v>100</v>
      </c>
      <c r="V16" s="667" t="s">
        <v>14</v>
      </c>
      <c r="W16" s="668">
        <f>J16</f>
        <v>100</v>
      </c>
      <c r="X16" s="1264"/>
      <c r="Y16" s="3365"/>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2"/>
      <c r="M17" s="2487"/>
      <c r="N17" s="2487"/>
      <c r="O17" s="2542"/>
      <c r="P17" s="3365"/>
      <c r="Q17" s="1262"/>
      <c r="R17" s="667"/>
      <c r="S17" s="668"/>
      <c r="T17" s="667"/>
      <c r="U17" s="668"/>
      <c r="V17" s="667"/>
      <c r="W17" s="668"/>
      <c r="X17" s="1264"/>
      <c r="Y17" s="3365"/>
      <c r="Z17" s="1263"/>
      <c r="AA17" s="1263">
        <v>1</v>
      </c>
      <c r="AB17" s="1263">
        <v>1</v>
      </c>
      <c r="AC17" s="1263">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65"/>
      <c r="Q18" s="1262" t="str">
        <f>B18</f>
        <v>基础设施水平</v>
      </c>
      <c r="R18" s="667" t="s">
        <v>14</v>
      </c>
      <c r="S18" s="668">
        <f>F18</f>
        <v>100</v>
      </c>
      <c r="T18" s="667" t="s">
        <v>14</v>
      </c>
      <c r="U18" s="668">
        <f>H18</f>
        <v>100</v>
      </c>
      <c r="V18" s="667" t="s">
        <v>14</v>
      </c>
      <c r="W18" s="668">
        <f>J18</f>
        <v>100</v>
      </c>
      <c r="X18" s="1264"/>
      <c r="Y18" s="3365"/>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2"/>
      <c r="M19" s="2487"/>
      <c r="N19" s="2487"/>
      <c r="O19" s="2542"/>
      <c r="P19" s="3365"/>
      <c r="Q19" s="1262"/>
      <c r="R19" s="667"/>
      <c r="S19" s="668"/>
      <c r="T19" s="667"/>
      <c r="U19" s="668"/>
      <c r="V19" s="667"/>
      <c r="W19" s="668"/>
      <c r="X19" s="1264"/>
      <c r="Y19" s="3365"/>
      <c r="Z19" s="1263"/>
      <c r="AA19" s="1263">
        <v>1</v>
      </c>
      <c r="AB19" s="1263">
        <v>1</v>
      </c>
      <c r="AC19" s="1263">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65"/>
      <c r="Q20" s="1262" t="str">
        <f>B20</f>
        <v>自然及人文环境</v>
      </c>
      <c r="R20" s="667" t="s">
        <v>14</v>
      </c>
      <c r="S20" s="668">
        <f>F20</f>
        <v>100</v>
      </c>
      <c r="T20" s="667" t="s">
        <v>14</v>
      </c>
      <c r="U20" s="668">
        <f>H20</f>
        <v>100</v>
      </c>
      <c r="V20" s="667" t="s">
        <v>14</v>
      </c>
      <c r="W20" s="668">
        <f>J20</f>
        <v>100</v>
      </c>
      <c r="X20" s="1264"/>
      <c r="Y20" s="3365"/>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2"/>
      <c r="M21" s="2487"/>
      <c r="N21" s="2487"/>
      <c r="O21" s="2542"/>
      <c r="P21" s="3365"/>
      <c r="Q21" s="1262"/>
      <c r="R21" s="667"/>
      <c r="S21" s="668"/>
      <c r="T21" s="667"/>
      <c r="U21" s="668"/>
      <c r="V21" s="667"/>
      <c r="W21" s="668"/>
      <c r="X21" s="1264"/>
      <c r="Y21" s="3365"/>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65"/>
      <c r="Q22" s="1262" t="str">
        <f>B22</f>
        <v>楼层</v>
      </c>
      <c r="R22" s="667" t="s">
        <v>14</v>
      </c>
      <c r="S22" s="668">
        <f>F22</f>
        <v>100</v>
      </c>
      <c r="T22" s="667" t="s">
        <v>14</v>
      </c>
      <c r="U22" s="668">
        <f>H22</f>
        <v>100</v>
      </c>
      <c r="V22" s="667" t="s">
        <v>14</v>
      </c>
      <c r="W22" s="668">
        <f>J22</f>
        <v>100</v>
      </c>
      <c r="X22" s="1264"/>
      <c r="Y22" s="3365"/>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65"/>
      <c r="Q23" s="1262">
        <f>B23</f>
        <v>111</v>
      </c>
      <c r="R23" s="667" t="s">
        <v>14</v>
      </c>
      <c r="S23" s="668">
        <f>F23</f>
        <v>100</v>
      </c>
      <c r="T23" s="667" t="s">
        <v>14</v>
      </c>
      <c r="U23" s="668">
        <f>H23</f>
        <v>100</v>
      </c>
      <c r="V23" s="667" t="s">
        <v>14</v>
      </c>
      <c r="W23" s="668">
        <f>J23</f>
        <v>100</v>
      </c>
      <c r="X23" s="1264"/>
      <c r="Y23" s="3365"/>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65"/>
      <c r="Q24" s="1262">
        <f t="shared" ref="Q24:Q34" si="11">B24</f>
        <v>111</v>
      </c>
      <c r="R24" s="667" t="s">
        <v>14</v>
      </c>
      <c r="S24" s="668">
        <f>F24</f>
        <v>100</v>
      </c>
      <c r="T24" s="667" t="s">
        <v>14</v>
      </c>
      <c r="U24" s="668">
        <f>H24</f>
        <v>100</v>
      </c>
      <c r="V24" s="667" t="s">
        <v>14</v>
      </c>
      <c r="W24" s="668">
        <f>J24</f>
        <v>100</v>
      </c>
      <c r="X24" s="1264"/>
      <c r="Y24" s="3365"/>
      <c r="Z24" s="1263">
        <f>Q24</f>
        <v>111</v>
      </c>
      <c r="AA24" s="1263">
        <f t="shared" si="3"/>
        <v>1</v>
      </c>
      <c r="AB24" s="1263">
        <f t="shared" si="4"/>
        <v>1</v>
      </c>
      <c r="AC24" s="1263">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365"/>
      <c r="Q25" s="530">
        <f t="shared" si="11"/>
        <v>111</v>
      </c>
      <c r="R25" s="664" t="s">
        <v>14</v>
      </c>
      <c r="S25" s="665">
        <f>F25</f>
        <v>100</v>
      </c>
      <c r="T25" s="664" t="s">
        <v>14</v>
      </c>
      <c r="U25" s="665">
        <f>H25</f>
        <v>100</v>
      </c>
      <c r="V25" s="664" t="s">
        <v>14</v>
      </c>
      <c r="W25" s="665">
        <f>J25</f>
        <v>100</v>
      </c>
      <c r="X25" s="666"/>
      <c r="Y25" s="3365"/>
      <c r="Z25" s="50">
        <f>Q25</f>
        <v>111</v>
      </c>
      <c r="AA25" s="1263">
        <f>D25/F25</f>
        <v>1</v>
      </c>
      <c r="AB25" s="1263">
        <f>D25/H25</f>
        <v>1</v>
      </c>
      <c r="AC25" s="1263">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366"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67"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67"/>
      <c r="Q27" s="531" t="str">
        <f t="shared" si="11"/>
        <v>成新率</v>
      </c>
      <c r="R27" s="669" t="s">
        <v>14</v>
      </c>
      <c r="S27" s="670" t="e">
        <f t="shared" si="12"/>
        <v>#N/A</v>
      </c>
      <c r="T27" s="669" t="s">
        <v>14</v>
      </c>
      <c r="U27" s="670" t="e">
        <f t="shared" si="13"/>
        <v>#N/A</v>
      </c>
      <c r="V27" s="669" t="s">
        <v>14</v>
      </c>
      <c r="W27" s="670" t="e">
        <f t="shared" si="14"/>
        <v>#N/A</v>
      </c>
      <c r="X27" s="671"/>
      <c r="Y27" s="3367"/>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67"/>
      <c r="Q28" s="1262" t="str">
        <f t="shared" si="11"/>
        <v>物业等级</v>
      </c>
      <c r="R28" s="667" t="s">
        <v>14</v>
      </c>
      <c r="S28" s="668">
        <f t="shared" si="12"/>
        <v>100</v>
      </c>
      <c r="T28" s="667" t="s">
        <v>14</v>
      </c>
      <c r="U28" s="668">
        <f t="shared" si="13"/>
        <v>100</v>
      </c>
      <c r="V28" s="667" t="s">
        <v>14</v>
      </c>
      <c r="W28" s="668">
        <f t="shared" si="14"/>
        <v>100</v>
      </c>
      <c r="X28" s="1264"/>
      <c r="Y28" s="3367"/>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67"/>
      <c r="Q29" s="1262" t="str">
        <f t="shared" si="11"/>
        <v>有无电梯</v>
      </c>
      <c r="R29" s="667" t="s">
        <v>14</v>
      </c>
      <c r="S29" s="668">
        <f t="shared" si="12"/>
        <v>100</v>
      </c>
      <c r="T29" s="667" t="s">
        <v>14</v>
      </c>
      <c r="U29" s="668">
        <f t="shared" si="13"/>
        <v>100</v>
      </c>
      <c r="V29" s="667" t="s">
        <v>14</v>
      </c>
      <c r="W29" s="668">
        <f t="shared" si="14"/>
        <v>100</v>
      </c>
      <c r="X29" s="1264"/>
      <c r="Y29" s="3367"/>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67"/>
      <c r="Q30" s="1262" t="str">
        <f t="shared" si="11"/>
        <v>建筑面积</v>
      </c>
      <c r="R30" s="667" t="s">
        <v>14</v>
      </c>
      <c r="S30" s="668" t="e">
        <f t="shared" si="12"/>
        <v>#N/A</v>
      </c>
      <c r="T30" s="667" t="s">
        <v>14</v>
      </c>
      <c r="U30" s="668" t="e">
        <f t="shared" si="13"/>
        <v>#N/A</v>
      </c>
      <c r="V30" s="667" t="s">
        <v>14</v>
      </c>
      <c r="W30" s="668" t="e">
        <f t="shared" si="14"/>
        <v>#N/A</v>
      </c>
      <c r="X30" s="1264"/>
      <c r="Y30" s="3367"/>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67"/>
      <c r="Q31" s="530" t="str">
        <f t="shared" si="11"/>
        <v>是否封闭</v>
      </c>
      <c r="R31" s="664" t="s">
        <v>14</v>
      </c>
      <c r="S31" s="665">
        <f t="shared" si="12"/>
        <v>100</v>
      </c>
      <c r="T31" s="664" t="s">
        <v>14</v>
      </c>
      <c r="U31" s="665">
        <f t="shared" si="13"/>
        <v>100</v>
      </c>
      <c r="V31" s="664" t="s">
        <v>14</v>
      </c>
      <c r="W31" s="665">
        <f t="shared" si="14"/>
        <v>100</v>
      </c>
      <c r="X31" s="666"/>
      <c r="Y31" s="336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67" t="s">
        <v>1696</v>
      </c>
      <c r="Q32" s="1262">
        <f t="shared" si="11"/>
        <v>111</v>
      </c>
      <c r="R32" s="667" t="s">
        <v>14</v>
      </c>
      <c r="S32" s="668">
        <f t="shared" si="12"/>
        <v>100</v>
      </c>
      <c r="T32" s="667" t="s">
        <v>14</v>
      </c>
      <c r="U32" s="668">
        <f t="shared" si="13"/>
        <v>100</v>
      </c>
      <c r="V32" s="667" t="s">
        <v>14</v>
      </c>
      <c r="W32" s="668">
        <f t="shared" si="14"/>
        <v>100</v>
      </c>
      <c r="X32" s="1264"/>
      <c r="Y32" s="3367"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67"/>
      <c r="Q33" s="1262">
        <f t="shared" si="11"/>
        <v>111</v>
      </c>
      <c r="R33" s="667" t="s">
        <v>14</v>
      </c>
      <c r="S33" s="668">
        <f t="shared" si="12"/>
        <v>100</v>
      </c>
      <c r="T33" s="667" t="s">
        <v>14</v>
      </c>
      <c r="U33" s="668">
        <f t="shared" si="13"/>
        <v>100</v>
      </c>
      <c r="V33" s="667" t="s">
        <v>14</v>
      </c>
      <c r="W33" s="668">
        <f t="shared" si="14"/>
        <v>100</v>
      </c>
      <c r="X33" s="1264"/>
      <c r="Y33" s="3367"/>
      <c r="Z33" s="1263">
        <f t="shared" si="15"/>
        <v>111</v>
      </c>
      <c r="AA33" s="1263">
        <f t="shared" si="3"/>
        <v>1</v>
      </c>
      <c r="AB33" s="1263">
        <f t="shared" si="4"/>
        <v>1</v>
      </c>
      <c r="AC33" s="1263">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367"/>
      <c r="Q34" s="1262">
        <f t="shared" si="11"/>
        <v>111</v>
      </c>
      <c r="R34" s="667" t="s">
        <v>14</v>
      </c>
      <c r="S34" s="668">
        <f t="shared" si="12"/>
        <v>100</v>
      </c>
      <c r="T34" s="667" t="s">
        <v>14</v>
      </c>
      <c r="U34" s="668">
        <f t="shared" si="13"/>
        <v>100</v>
      </c>
      <c r="V34" s="667" t="s">
        <v>14</v>
      </c>
      <c r="W34" s="668">
        <f t="shared" si="14"/>
        <v>100</v>
      </c>
      <c r="X34" s="1264"/>
      <c r="Y34" s="3367"/>
      <c r="Z34" s="1263">
        <f t="shared" si="15"/>
        <v>111</v>
      </c>
      <c r="AA34" s="1263">
        <f t="shared" si="3"/>
        <v>1</v>
      </c>
      <c r="AB34" s="1263">
        <f t="shared" si="4"/>
        <v>1</v>
      </c>
      <c r="AC34" s="1263">
        <f t="shared" si="5"/>
        <v>1</v>
      </c>
    </row>
    <row r="35" spans="1:30" ht="14.4">
      <c r="A35" s="416" t="s">
        <v>1708</v>
      </c>
      <c r="B35" s="417"/>
      <c r="C35" s="1081" t="s">
        <v>0</v>
      </c>
      <c r="D35" s="418"/>
      <c r="E35" s="419"/>
      <c r="F35" s="420"/>
      <c r="G35" s="421"/>
      <c r="H35" s="422"/>
      <c r="I35" s="419"/>
      <c r="J35" s="422"/>
      <c r="K35" s="674"/>
      <c r="L35" s="2494"/>
      <c r="M35" s="2487"/>
      <c r="N35" s="2487"/>
      <c r="O35" s="2487"/>
      <c r="P35" s="3363" t="str">
        <f>A35</f>
        <v>成交单价（元/平方米）</v>
      </c>
      <c r="Q35" s="3363"/>
      <c r="R35" s="3368">
        <f>E35</f>
        <v>0</v>
      </c>
      <c r="S35" s="3368"/>
      <c r="T35" s="3368">
        <f>G35</f>
        <v>0</v>
      </c>
      <c r="U35" s="3368"/>
      <c r="V35" s="3368">
        <f>I35</f>
        <v>0</v>
      </c>
      <c r="W35" s="3368"/>
      <c r="X35" s="385"/>
      <c r="Y35" s="673"/>
      <c r="Z35" s="385"/>
      <c r="AA35" s="385"/>
      <c r="AB35" s="385"/>
      <c r="AC35" s="385"/>
    </row>
    <row r="36" spans="1:30" ht="1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363" t="str">
        <f>A36</f>
        <v>比较价值（元/平方米）</v>
      </c>
      <c r="Q36" s="3363"/>
      <c r="R36" s="3368" t="e">
        <f>IF(F1="售价",ROUND(PRODUCT(R35,AA7:AA34),0),ROUND(PRODUCT(R35,AA7:AA34),1))</f>
        <v>#DIV/0!</v>
      </c>
      <c r="S36" s="3368"/>
      <c r="T36" s="3368" t="e">
        <f>IF(F1="售价",ROUND(PRODUCT(T35,AB7:AB34),0),ROUND(PRODUCT(T35,AB7:AB34),1))</f>
        <v>#DIV/0!</v>
      </c>
      <c r="U36" s="3368"/>
      <c r="V36" s="3368" t="e">
        <f>IF(F1="售价",ROUND(PRODUCT(V35,AC7:AC34),0),ROUND(PRODUCT(V35,AC7:AC34),1))</f>
        <v>#DIV/0!</v>
      </c>
      <c r="W36" s="3368"/>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4"/>
      <c r="M37" s="2487"/>
      <c r="N37" s="2487"/>
      <c r="O37" s="2487"/>
      <c r="P37" s="3357" t="str">
        <f>A37</f>
        <v>估价对象XX用房的比较价值（楼面单价，元/平方米）</v>
      </c>
      <c r="Q37" s="3358"/>
      <c r="R37" s="3449" t="e">
        <f>IF(F1="售价",ROUND(IF(D36="简单平均",AVERAGE(R36:W36),R36*F36+T36*H36+V36*J36),0),ROUND(IF(D36="简单平均",AVERAGE(R36:V36),R36*F36+T36*H36+V36*J36),1))</f>
        <v>#DIV/0!</v>
      </c>
      <c r="S37" s="3449"/>
      <c r="T37" s="3449"/>
      <c r="U37" s="3449"/>
      <c r="V37" s="3449"/>
      <c r="W37" s="3449"/>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2.2"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4.4">
      <c r="A46" s="440" t="s">
        <v>1679</v>
      </c>
      <c r="B46" s="441"/>
      <c r="C46" s="1102" t="str">
        <f>YEAR(C7)&amp;"-"&amp;MONTH(C7)</f>
        <v>2024-8</v>
      </c>
      <c r="D46" s="1103">
        <f>EDATE(C46,-1)</f>
        <v>45474</v>
      </c>
      <c r="E46" s="1103">
        <f t="shared" ref="E46:O46" si="16">EDATE(D46,-1)</f>
        <v>45444</v>
      </c>
      <c r="F46" s="1103">
        <f t="shared" si="16"/>
        <v>45413</v>
      </c>
      <c r="G46" s="1103">
        <f t="shared" si="16"/>
        <v>45383</v>
      </c>
      <c r="H46" s="1103">
        <f t="shared" si="16"/>
        <v>45352</v>
      </c>
      <c r="I46" s="1103">
        <f t="shared" si="16"/>
        <v>45323</v>
      </c>
      <c r="J46" s="1103">
        <f t="shared" si="16"/>
        <v>45292</v>
      </c>
      <c r="K46" s="1103">
        <f t="shared" si="16"/>
        <v>45261</v>
      </c>
      <c r="L46" s="1103">
        <f t="shared" si="16"/>
        <v>45231</v>
      </c>
      <c r="M46" s="1103">
        <f t="shared" si="16"/>
        <v>45200</v>
      </c>
      <c r="N46" s="1103">
        <f t="shared" si="16"/>
        <v>45170</v>
      </c>
      <c r="O46" s="1103">
        <f t="shared" si="16"/>
        <v>45139</v>
      </c>
      <c r="P46" s="2510"/>
      <c r="Q46" s="2510"/>
      <c r="R46" s="2510"/>
      <c r="S46" s="2510"/>
      <c r="T46" s="2510"/>
      <c r="U46" s="2510"/>
      <c r="V46" s="2510"/>
      <c r="W46" s="2510"/>
      <c r="X46" s="2510"/>
      <c r="Y46" s="2510"/>
      <c r="Z46" s="2510"/>
      <c r="AA46" s="2510"/>
      <c r="AB46" s="2510"/>
      <c r="AC46" s="2510"/>
      <c r="AD46" s="2510"/>
    </row>
    <row r="47" spans="1:30" s="102" customFormat="1">
      <c r="A47" s="443"/>
      <c r="B47" s="444"/>
      <c r="C47" s="1101">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4.4"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9.4"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4.4"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4.4"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4.4"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4.4"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4.4"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4.4"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4.4"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9.4"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4.4"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4.4"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4.4"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4.4"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4.4"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4.4"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4.4"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4.4"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4.4"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4.4"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4.4"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4.4"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8 E8 G8 I8" xr:uid="{00000000-0002-0000-2100-000003000000}">
      <formula1>仓储交易情况</formula1>
    </dataValidation>
    <dataValidation type="list" allowBlank="1" showInputMessage="1" showErrorMessage="1" sqref="E9 G9 I9" xr:uid="{00000000-0002-0000-2100-000004000000}">
      <formula1>仓储用途</formula1>
    </dataValidation>
    <dataValidation type="list" allowBlank="1" showInputMessage="1" showErrorMessage="1" sqref="C21 E21 G21 I21" xr:uid="{00000000-0002-0000-2100-000005000000}">
      <formula1>环境</formula1>
    </dataValidation>
    <dataValidation type="list" allowBlank="1" showInputMessage="1" showErrorMessage="1" sqref="C22 E22 G22 I22" xr:uid="{00000000-0002-0000-2100-000006000000}">
      <formula1>仓储楼层</formula1>
    </dataValidation>
    <dataValidation type="list" allowBlank="1" showInputMessage="1" showErrorMessage="1" sqref="C26 E26 G26 I26" xr:uid="{00000000-0002-0000-2100-000007000000}">
      <formula1>仓储公共部分装修</formula1>
    </dataValidation>
    <dataValidation type="list" allowBlank="1" showInputMessage="1" showErrorMessage="1" sqref="C29 E29 G29 I29" xr:uid="{00000000-0002-0000-2100-000008000000}">
      <formula1>有无电梯</formula1>
    </dataValidation>
    <dataValidation type="list" allowBlank="1" showInputMessage="1" showErrorMessage="1" sqref="C31 E31 G31 I31" xr:uid="{00000000-0002-0000-2100-000009000000}">
      <formula1>是否封闭</formula1>
    </dataValidation>
    <dataValidation type="list" allowBlank="1" showInputMessage="1" showErrorMessage="1" sqref="B1" xr:uid="{00000000-0002-0000-2100-00000A000000}">
      <formula1>地类判定</formula1>
    </dataValidation>
    <dataValidation type="list" allowBlank="1" showInputMessage="1" showErrorMessage="1" sqref="C28 E28 G28 I28" xr:uid="{00000000-0002-0000-2100-00000B000000}">
      <formula1>仓储物业等级</formula1>
    </dataValidation>
    <dataValidation type="list" allowBlank="1" showInputMessage="1" showErrorMessage="1" sqref="C19 E19 G19 I19" xr:uid="{00000000-0002-0000-2100-00000C000000}">
      <formula1>基础设施水平</formula1>
    </dataValidation>
    <dataValidation type="list" allowBlank="1" showInputMessage="1" showErrorMessage="1" sqref="F1" xr:uid="{00000000-0002-0000-2100-00000D000000}">
      <formula1>"售价,租金"</formula1>
    </dataValidation>
    <dataValidation type="list" allowBlank="1" showInputMessage="1" showErrorMessage="1" sqref="C2" xr:uid="{00000000-0002-0000-2100-00000E000000}">
      <formula1>"需扣减承租人权益,——"</formula1>
    </dataValidation>
    <dataValidation type="list" allowBlank="1" showInputMessage="1" showErrorMessage="1" sqref="F2" xr:uid="{00000000-0002-0000-2100-00000F000000}">
      <formula1>估价方法</formula1>
    </dataValidation>
    <dataValidation type="list" allowBlank="1" showInputMessage="1" showErrorMessage="1" sqref="D36" xr:uid="{00000000-0002-0000-2100-000010000000}">
      <formula1>"简单平均,加权平均"</formula1>
    </dataValidation>
    <dataValidation type="list" allowBlank="1" showInputMessage="1" showErrorMessage="1" sqref="E1" xr:uid="{00000000-0002-0000-21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60" t="s">
        <v>1770</v>
      </c>
      <c r="D4" s="3372"/>
      <c r="E4" s="3373" t="s">
        <v>1771</v>
      </c>
      <c r="F4" s="3374"/>
      <c r="G4" s="3360" t="s">
        <v>1772</v>
      </c>
      <c r="H4" s="3372"/>
      <c r="I4" s="3360" t="s">
        <v>1773</v>
      </c>
      <c r="J4" s="3372"/>
      <c r="K4" s="537" t="s">
        <v>1774</v>
      </c>
      <c r="L4" s="2486"/>
      <c r="M4" s="2487"/>
      <c r="N4" s="2487"/>
      <c r="O4" s="2487"/>
      <c r="P4" s="3375" t="s">
        <v>1775</v>
      </c>
      <c r="Q4" s="3376"/>
      <c r="R4" s="3381" t="s">
        <v>1771</v>
      </c>
      <c r="S4" s="3382"/>
      <c r="T4" s="3381" t="s">
        <v>1772</v>
      </c>
      <c r="U4" s="3382"/>
      <c r="V4" s="3368" t="s">
        <v>1773</v>
      </c>
      <c r="W4" s="3368"/>
      <c r="X4" s="1264"/>
      <c r="Y4" s="3381" t="s">
        <v>1775</v>
      </c>
      <c r="Z4" s="3382"/>
      <c r="AA4" s="3369" t="s">
        <v>1771</v>
      </c>
      <c r="AB4" s="3370" t="s">
        <v>1772</v>
      </c>
      <c r="AC4" s="3369" t="s">
        <v>1773</v>
      </c>
    </row>
    <row r="5" spans="1:29">
      <c r="A5" s="348"/>
      <c r="B5" s="349"/>
      <c r="C5" s="3389" t="s">
        <v>1673</v>
      </c>
      <c r="D5" s="3390"/>
      <c r="E5" s="3396" t="s">
        <v>1674</v>
      </c>
      <c r="F5" s="3397"/>
      <c r="G5" s="3389" t="s">
        <v>1675</v>
      </c>
      <c r="H5" s="3390"/>
      <c r="I5" s="3389" t="s">
        <v>1676</v>
      </c>
      <c r="J5" s="3390"/>
      <c r="K5" s="537"/>
      <c r="L5" s="2486"/>
      <c r="M5" s="2487"/>
      <c r="N5" s="2487"/>
      <c r="O5" s="2487"/>
      <c r="P5" s="3377"/>
      <c r="Q5" s="3378"/>
      <c r="R5" s="3383"/>
      <c r="S5" s="3384"/>
      <c r="T5" s="3383"/>
      <c r="U5" s="3384"/>
      <c r="V5" s="3368"/>
      <c r="W5" s="3368"/>
      <c r="X5" s="1264"/>
      <c r="Y5" s="3383"/>
      <c r="Z5" s="3384"/>
      <c r="AA5" s="3370"/>
      <c r="AB5" s="3370"/>
      <c r="AC5" s="3370"/>
    </row>
    <row r="6" spans="1:29" ht="15" thickBot="1">
      <c r="A6" s="350"/>
      <c r="B6" s="351"/>
      <c r="C6" s="3450" t="s">
        <v>1919</v>
      </c>
      <c r="D6" s="3451"/>
      <c r="E6" s="3452" t="s">
        <v>1919</v>
      </c>
      <c r="F6" s="3453"/>
      <c r="G6" s="3450" t="s">
        <v>1919</v>
      </c>
      <c r="H6" s="3451"/>
      <c r="I6" s="3450" t="s">
        <v>1919</v>
      </c>
      <c r="J6" s="3451"/>
      <c r="K6" s="537" t="s">
        <v>1678</v>
      </c>
      <c r="L6" s="2486"/>
      <c r="M6" s="2487"/>
      <c r="N6" s="2487"/>
      <c r="O6" s="2487"/>
      <c r="P6" s="3379"/>
      <c r="Q6" s="3380"/>
      <c r="R6" s="3383"/>
      <c r="S6" s="3384"/>
      <c r="T6" s="3385"/>
      <c r="U6" s="3386"/>
      <c r="V6" s="3368"/>
      <c r="W6" s="3368"/>
      <c r="X6" s="1264"/>
      <c r="Y6" s="3385"/>
      <c r="Z6" s="3386"/>
      <c r="AA6" s="3371"/>
      <c r="AB6" s="3371"/>
      <c r="AC6" s="3371"/>
    </row>
    <row r="7" spans="1:29" s="102" customFormat="1" ht="15" thickBot="1">
      <c r="A7" s="352" t="s">
        <v>1679</v>
      </c>
      <c r="B7" s="353"/>
      <c r="C7" s="354">
        <f>'数据-取费表'!B2</f>
        <v>45526</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91" t="s">
        <v>1680</v>
      </c>
      <c r="Q7" s="3393"/>
      <c r="R7" s="664" t="s">
        <v>14</v>
      </c>
      <c r="S7" s="665">
        <f t="shared" ref="S7:S15" si="0">F7</f>
        <v>0</v>
      </c>
      <c r="T7" s="664" t="s">
        <v>14</v>
      </c>
      <c r="U7" s="665">
        <f t="shared" ref="U7:U15" si="1">H7</f>
        <v>0</v>
      </c>
      <c r="V7" s="664" t="s">
        <v>14</v>
      </c>
      <c r="W7" s="665">
        <f t="shared" ref="W7:W15" si="2">J7</f>
        <v>0</v>
      </c>
      <c r="X7" s="666"/>
      <c r="Y7" s="3391" t="s">
        <v>1680</v>
      </c>
      <c r="Z7" s="3392"/>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91" t="s">
        <v>1683</v>
      </c>
      <c r="Q8" s="3392"/>
      <c r="R8" s="664" t="s">
        <v>14</v>
      </c>
      <c r="S8" s="665">
        <f t="shared" si="0"/>
        <v>0</v>
      </c>
      <c r="T8" s="664" t="s">
        <v>14</v>
      </c>
      <c r="U8" s="665">
        <f t="shared" si="1"/>
        <v>0</v>
      </c>
      <c r="V8" s="664" t="s">
        <v>14</v>
      </c>
      <c r="W8" s="665">
        <f t="shared" si="2"/>
        <v>0</v>
      </c>
      <c r="X8" s="666"/>
      <c r="Y8" s="3391" t="s">
        <v>1683</v>
      </c>
      <c r="Z8" s="3392"/>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363"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131</v>
      </c>
      <c r="G10" s="371"/>
      <c r="H10" s="119">
        <f>ROUND(100/'数据-取费表'!G16,0)</f>
        <v>131</v>
      </c>
      <c r="I10" s="371"/>
      <c r="J10" s="119">
        <f>ROUND(100/'数据-取费表'!G16,0)</f>
        <v>131</v>
      </c>
      <c r="K10" s="592"/>
      <c r="L10" s="2489"/>
      <c r="M10" s="2490"/>
      <c r="N10" s="2490"/>
      <c r="O10" s="2541"/>
      <c r="P10" s="3363"/>
      <c r="Q10" s="530" t="str">
        <f t="shared" si="6"/>
        <v>土地使用年限（年）</v>
      </c>
      <c r="R10" s="664" t="s">
        <v>14</v>
      </c>
      <c r="S10" s="665">
        <f t="shared" si="0"/>
        <v>131</v>
      </c>
      <c r="T10" s="664" t="s">
        <v>14</v>
      </c>
      <c r="U10" s="665">
        <f t="shared" si="1"/>
        <v>131</v>
      </c>
      <c r="V10" s="664" t="s">
        <v>14</v>
      </c>
      <c r="W10" s="665">
        <f t="shared" si="2"/>
        <v>131</v>
      </c>
      <c r="X10" s="666"/>
      <c r="Y10" s="3263"/>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63"/>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63"/>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63"/>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63"/>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64" t="s">
        <v>1691</v>
      </c>
      <c r="Q15" s="1262" t="str">
        <f t="shared" si="6"/>
        <v>产业集聚程度</v>
      </c>
      <c r="R15" s="667" t="s">
        <v>14</v>
      </c>
      <c r="S15" s="668">
        <f t="shared" si="0"/>
        <v>100</v>
      </c>
      <c r="T15" s="667" t="s">
        <v>14</v>
      </c>
      <c r="U15" s="668">
        <f t="shared" si="1"/>
        <v>100</v>
      </c>
      <c r="V15" s="667" t="s">
        <v>14</v>
      </c>
      <c r="W15" s="668">
        <f t="shared" si="2"/>
        <v>100</v>
      </c>
      <c r="X15" s="1264"/>
      <c r="Y15" s="3364"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2"/>
      <c r="M16" s="2487"/>
      <c r="N16" s="2487"/>
      <c r="O16" s="2542"/>
      <c r="P16" s="3365"/>
      <c r="Q16" s="1262"/>
      <c r="R16" s="667"/>
      <c r="S16" s="668"/>
      <c r="T16" s="667"/>
      <c r="U16" s="668"/>
      <c r="V16" s="667"/>
      <c r="W16" s="668"/>
      <c r="X16" s="1264"/>
      <c r="Y16" s="3365"/>
      <c r="Z16" s="1263"/>
      <c r="AA16" s="1263">
        <v>1</v>
      </c>
      <c r="AB16" s="1263">
        <v>1</v>
      </c>
      <c r="AC16" s="1263">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65"/>
      <c r="Q17" s="1262" t="str">
        <f>B17</f>
        <v>交通便捷度</v>
      </c>
      <c r="R17" s="667" t="s">
        <v>14</v>
      </c>
      <c r="S17" s="668">
        <f>F17</f>
        <v>100</v>
      </c>
      <c r="T17" s="667" t="s">
        <v>14</v>
      </c>
      <c r="U17" s="668">
        <f>H17</f>
        <v>100</v>
      </c>
      <c r="V17" s="667" t="s">
        <v>14</v>
      </c>
      <c r="W17" s="668">
        <f>J17</f>
        <v>100</v>
      </c>
      <c r="X17" s="1264"/>
      <c r="Y17" s="3365"/>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2"/>
      <c r="M18" s="2487"/>
      <c r="N18" s="2487"/>
      <c r="O18" s="2542"/>
      <c r="P18" s="3365"/>
      <c r="Q18" s="1262"/>
      <c r="R18" s="667"/>
      <c r="S18" s="668"/>
      <c r="T18" s="667"/>
      <c r="U18" s="668"/>
      <c r="V18" s="667"/>
      <c r="W18" s="668"/>
      <c r="X18" s="1264"/>
      <c r="Y18" s="3365"/>
      <c r="Z18" s="1263"/>
      <c r="AA18" s="1263">
        <v>1</v>
      </c>
      <c r="AB18" s="1263">
        <v>1</v>
      </c>
      <c r="AC18" s="1263">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65"/>
      <c r="Q19" s="1262" t="str">
        <f t="shared" ref="Q19:Q33" si="8">B19</f>
        <v>区域土地利用方向</v>
      </c>
      <c r="R19" s="667" t="s">
        <v>14</v>
      </c>
      <c r="S19" s="668">
        <f>F19</f>
        <v>100</v>
      </c>
      <c r="T19" s="667" t="s">
        <v>14</v>
      </c>
      <c r="U19" s="668">
        <f>H19</f>
        <v>100</v>
      </c>
      <c r="V19" s="667" t="s">
        <v>14</v>
      </c>
      <c r="W19" s="668">
        <f>J19</f>
        <v>100</v>
      </c>
      <c r="X19" s="1264"/>
      <c r="Y19" s="3365"/>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2"/>
      <c r="M20" s="2487"/>
      <c r="N20" s="2487"/>
      <c r="O20" s="2542"/>
      <c r="P20" s="3365"/>
      <c r="Q20" s="1262"/>
      <c r="R20" s="667"/>
      <c r="S20" s="668"/>
      <c r="T20" s="667"/>
      <c r="U20" s="668"/>
      <c r="V20" s="667"/>
      <c r="W20" s="668"/>
      <c r="X20" s="1264"/>
      <c r="Y20" s="3365"/>
      <c r="Z20" s="1263"/>
      <c r="AA20" s="1263"/>
      <c r="AB20" s="1263"/>
      <c r="AC20" s="1263"/>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65"/>
      <c r="Q21" s="1262" t="str">
        <f t="shared" si="8"/>
        <v>环境状况</v>
      </c>
      <c r="R21" s="667" t="s">
        <v>14</v>
      </c>
      <c r="S21" s="668">
        <f>F21</f>
        <v>100</v>
      </c>
      <c r="T21" s="667" t="s">
        <v>14</v>
      </c>
      <c r="U21" s="668">
        <f>H21</f>
        <v>100</v>
      </c>
      <c r="V21" s="667" t="s">
        <v>14</v>
      </c>
      <c r="W21" s="668">
        <f>J21</f>
        <v>100</v>
      </c>
      <c r="X21" s="1264"/>
      <c r="Y21" s="3365"/>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2"/>
      <c r="M22" s="2487"/>
      <c r="N22" s="2487"/>
      <c r="O22" s="2542"/>
      <c r="P22" s="3365"/>
      <c r="Q22" s="1262"/>
      <c r="R22" s="667"/>
      <c r="S22" s="668"/>
      <c r="T22" s="667"/>
      <c r="U22" s="668"/>
      <c r="V22" s="667"/>
      <c r="W22" s="668"/>
      <c r="X22" s="1264"/>
      <c r="Y22" s="3365"/>
      <c r="Z22" s="1263"/>
      <c r="AA22" s="1263">
        <v>1</v>
      </c>
      <c r="AB22" s="1263">
        <v>1</v>
      </c>
      <c r="AC22" s="1263">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65"/>
      <c r="Q23" s="530" t="str">
        <f t="shared" si="8"/>
        <v>公共配套设施</v>
      </c>
      <c r="R23" s="664" t="s">
        <v>14</v>
      </c>
      <c r="S23" s="665">
        <f>F23</f>
        <v>100</v>
      </c>
      <c r="T23" s="664" t="s">
        <v>14</v>
      </c>
      <c r="U23" s="665">
        <f>H23</f>
        <v>100</v>
      </c>
      <c r="V23" s="664" t="s">
        <v>14</v>
      </c>
      <c r="W23" s="665">
        <f>J23</f>
        <v>100</v>
      </c>
      <c r="X23" s="666"/>
      <c r="Y23" s="3365"/>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8"/>
      <c r="M24" s="2439"/>
      <c r="N24" s="2439"/>
      <c r="O24" s="2540"/>
      <c r="P24" s="3365"/>
      <c r="Q24" s="530"/>
      <c r="R24" s="664"/>
      <c r="S24" s="665"/>
      <c r="T24" s="664"/>
      <c r="U24" s="665"/>
      <c r="V24" s="664"/>
      <c r="W24" s="665"/>
      <c r="X24" s="666"/>
      <c r="Y24" s="3365"/>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65"/>
      <c r="Q25" s="530" t="str">
        <f t="shared" ref="Q25" si="9">B25</f>
        <v>基础设施水平</v>
      </c>
      <c r="R25" s="664" t="s">
        <v>14</v>
      </c>
      <c r="S25" s="665">
        <f>F25</f>
        <v>100</v>
      </c>
      <c r="T25" s="664" t="s">
        <v>14</v>
      </c>
      <c r="U25" s="665">
        <f>H25</f>
        <v>100</v>
      </c>
      <c r="V25" s="664" t="s">
        <v>14</v>
      </c>
      <c r="W25" s="665">
        <f>J25</f>
        <v>100</v>
      </c>
      <c r="X25" s="666"/>
      <c r="Y25" s="3365"/>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8"/>
      <c r="M26" s="2439"/>
      <c r="N26" s="2439"/>
      <c r="O26" s="2540"/>
      <c r="P26" s="3365"/>
      <c r="Q26" s="530"/>
      <c r="R26" s="664"/>
      <c r="S26" s="665"/>
      <c r="T26" s="664"/>
      <c r="U26" s="665"/>
      <c r="V26" s="664"/>
      <c r="W26" s="665"/>
      <c r="X26" s="666"/>
      <c r="Y26" s="336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65"/>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65"/>
      <c r="Z27" s="1263" t="str">
        <f t="shared" ref="Z27:Z40" si="13">Q27</f>
        <v>临街状况</v>
      </c>
      <c r="AA27" s="1263">
        <f t="shared" si="3"/>
        <v>1</v>
      </c>
      <c r="AB27" s="1263">
        <f t="shared" si="4"/>
        <v>1</v>
      </c>
      <c r="AC27" s="1263">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65"/>
      <c r="Q28" s="1262" t="str">
        <f t="shared" si="8"/>
        <v>毗邻道路的类型与等级</v>
      </c>
      <c r="R28" s="667" t="s">
        <v>14</v>
      </c>
      <c r="S28" s="668">
        <f t="shared" si="10"/>
        <v>100</v>
      </c>
      <c r="T28" s="667" t="s">
        <v>14</v>
      </c>
      <c r="U28" s="668">
        <f t="shared" si="11"/>
        <v>100</v>
      </c>
      <c r="V28" s="667" t="s">
        <v>14</v>
      </c>
      <c r="W28" s="668">
        <f t="shared" si="12"/>
        <v>100</v>
      </c>
      <c r="X28" s="1264"/>
      <c r="Y28" s="3365"/>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2"/>
      <c r="M29" s="2487"/>
      <c r="N29" s="2487"/>
      <c r="O29" s="2542"/>
      <c r="P29" s="3365"/>
      <c r="Q29" s="1262"/>
      <c r="R29" s="667"/>
      <c r="S29" s="668"/>
      <c r="T29" s="667"/>
      <c r="U29" s="668"/>
      <c r="V29" s="667"/>
      <c r="W29" s="668"/>
      <c r="X29" s="1264"/>
      <c r="Y29" s="3365"/>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65"/>
      <c r="Q30" s="1262" t="str">
        <f t="shared" si="8"/>
        <v>土地级别</v>
      </c>
      <c r="R30" s="667" t="s">
        <v>14</v>
      </c>
      <c r="S30" s="668">
        <f t="shared" si="10"/>
        <v>100</v>
      </c>
      <c r="T30" s="667" t="s">
        <v>14</v>
      </c>
      <c r="U30" s="668">
        <f t="shared" si="11"/>
        <v>100</v>
      </c>
      <c r="V30" s="667" t="s">
        <v>14</v>
      </c>
      <c r="W30" s="668">
        <f t="shared" si="12"/>
        <v>100</v>
      </c>
      <c r="X30" s="1264"/>
      <c r="Y30" s="3365"/>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65"/>
      <c r="Q31" s="1262">
        <f t="shared" si="8"/>
        <v>111</v>
      </c>
      <c r="R31" s="667" t="s">
        <v>14</v>
      </c>
      <c r="S31" s="668">
        <f t="shared" si="10"/>
        <v>100</v>
      </c>
      <c r="T31" s="667" t="s">
        <v>14</v>
      </c>
      <c r="U31" s="668">
        <f t="shared" si="11"/>
        <v>100</v>
      </c>
      <c r="V31" s="667" t="s">
        <v>14</v>
      </c>
      <c r="W31" s="668">
        <f t="shared" si="12"/>
        <v>100</v>
      </c>
      <c r="X31" s="1264"/>
      <c r="Y31" s="3365"/>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366" t="s">
        <v>1696</v>
      </c>
      <c r="Q32" s="1262">
        <f t="shared" si="8"/>
        <v>111</v>
      </c>
      <c r="R32" s="667" t="s">
        <v>14</v>
      </c>
      <c r="S32" s="668">
        <f t="shared" si="10"/>
        <v>100</v>
      </c>
      <c r="T32" s="667" t="s">
        <v>14</v>
      </c>
      <c r="U32" s="668">
        <f t="shared" si="11"/>
        <v>100</v>
      </c>
      <c r="V32" s="667" t="s">
        <v>14</v>
      </c>
      <c r="W32" s="668">
        <f t="shared" si="12"/>
        <v>100</v>
      </c>
      <c r="X32" s="1264"/>
      <c r="Y32" s="3367" t="s">
        <v>1696</v>
      </c>
      <c r="Z32" s="1263">
        <f t="shared" si="13"/>
        <v>111</v>
      </c>
      <c r="AA32" s="1263">
        <f t="shared" si="3"/>
        <v>1</v>
      </c>
      <c r="AB32" s="1263">
        <f t="shared" si="4"/>
        <v>1</v>
      </c>
      <c r="AC32" s="1263">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67"/>
      <c r="Q33" s="1262">
        <f t="shared" si="8"/>
        <v>111</v>
      </c>
      <c r="R33" s="669" t="s">
        <v>14</v>
      </c>
      <c r="S33" s="670">
        <f t="shared" si="10"/>
        <v>100</v>
      </c>
      <c r="T33" s="669" t="s">
        <v>14</v>
      </c>
      <c r="U33" s="670">
        <f t="shared" si="11"/>
        <v>100</v>
      </c>
      <c r="V33" s="669" t="s">
        <v>14</v>
      </c>
      <c r="W33" s="670">
        <f t="shared" si="12"/>
        <v>100</v>
      </c>
      <c r="X33" s="671"/>
      <c r="Y33" s="3367"/>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67"/>
      <c r="Q34" s="1262" t="str">
        <f>B34</f>
        <v>宗地面积</v>
      </c>
      <c r="R34" s="667" t="s">
        <v>14</v>
      </c>
      <c r="S34" s="668" t="e">
        <f t="shared" si="10"/>
        <v>#N/A</v>
      </c>
      <c r="T34" s="667" t="s">
        <v>14</v>
      </c>
      <c r="U34" s="668" t="e">
        <f t="shared" si="11"/>
        <v>#N/A</v>
      </c>
      <c r="V34" s="667" t="s">
        <v>14</v>
      </c>
      <c r="W34" s="668" t="e">
        <f t="shared" si="12"/>
        <v>#N/A</v>
      </c>
      <c r="X34" s="1264"/>
      <c r="Y34" s="3367"/>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367"/>
      <c r="Q35" s="1262" t="str">
        <f t="shared" ref="Q35:Q40" si="14">B35</f>
        <v>宗地形状</v>
      </c>
      <c r="R35" s="667" t="s">
        <v>14</v>
      </c>
      <c r="S35" s="668">
        <f t="shared" si="10"/>
        <v>100</v>
      </c>
      <c r="T35" s="667" t="s">
        <v>14</v>
      </c>
      <c r="U35" s="668">
        <f t="shared" si="11"/>
        <v>100</v>
      </c>
      <c r="V35" s="667" t="s">
        <v>14</v>
      </c>
      <c r="W35" s="668">
        <f t="shared" si="12"/>
        <v>100</v>
      </c>
      <c r="X35" s="1264"/>
      <c r="Y35" s="3367"/>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367"/>
      <c r="Q36" s="1262" t="str">
        <f t="shared" si="14"/>
        <v>宗地开发程度</v>
      </c>
      <c r="R36" s="664" t="s">
        <v>14</v>
      </c>
      <c r="S36" s="665">
        <f t="shared" si="10"/>
        <v>100</v>
      </c>
      <c r="T36" s="664" t="s">
        <v>14</v>
      </c>
      <c r="U36" s="665">
        <f t="shared" si="11"/>
        <v>100</v>
      </c>
      <c r="V36" s="664" t="s">
        <v>14</v>
      </c>
      <c r="W36" s="665">
        <f t="shared" si="12"/>
        <v>100</v>
      </c>
      <c r="X36" s="666"/>
      <c r="Y36" s="3367"/>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367" t="s">
        <v>1696</v>
      </c>
      <c r="Q37" s="1262" t="str">
        <f t="shared" si="14"/>
        <v>工程地质条件</v>
      </c>
      <c r="R37" s="667" t="s">
        <v>14</v>
      </c>
      <c r="S37" s="668">
        <f t="shared" si="10"/>
        <v>100</v>
      </c>
      <c r="T37" s="667" t="s">
        <v>14</v>
      </c>
      <c r="U37" s="668">
        <f t="shared" si="11"/>
        <v>100</v>
      </c>
      <c r="V37" s="667" t="s">
        <v>14</v>
      </c>
      <c r="W37" s="668">
        <f t="shared" si="12"/>
        <v>100</v>
      </c>
      <c r="X37" s="1264"/>
      <c r="Y37" s="3367"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67"/>
      <c r="Q38" s="1262">
        <f t="shared" si="14"/>
        <v>111</v>
      </c>
      <c r="R38" s="667" t="s">
        <v>14</v>
      </c>
      <c r="S38" s="668">
        <f t="shared" si="10"/>
        <v>100</v>
      </c>
      <c r="T38" s="667" t="s">
        <v>14</v>
      </c>
      <c r="U38" s="668">
        <f t="shared" si="11"/>
        <v>100</v>
      </c>
      <c r="V38" s="667" t="s">
        <v>14</v>
      </c>
      <c r="W38" s="668">
        <f t="shared" si="12"/>
        <v>100</v>
      </c>
      <c r="X38" s="1264"/>
      <c r="Y38" s="3367"/>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67"/>
      <c r="Q39" s="1262">
        <f t="shared" si="14"/>
        <v>111</v>
      </c>
      <c r="R39" s="667" t="s">
        <v>14</v>
      </c>
      <c r="S39" s="668">
        <f t="shared" si="10"/>
        <v>100</v>
      </c>
      <c r="T39" s="667" t="s">
        <v>14</v>
      </c>
      <c r="U39" s="668">
        <f t="shared" si="11"/>
        <v>100</v>
      </c>
      <c r="V39" s="667" t="s">
        <v>14</v>
      </c>
      <c r="W39" s="668">
        <f t="shared" si="12"/>
        <v>100</v>
      </c>
      <c r="X39" s="1264"/>
      <c r="Y39" s="3367"/>
      <c r="Z39" s="1263">
        <f t="shared" si="13"/>
        <v>111</v>
      </c>
      <c r="AA39" s="1263">
        <f t="shared" si="3"/>
        <v>1</v>
      </c>
      <c r="AB39" s="1263">
        <f t="shared" si="4"/>
        <v>1</v>
      </c>
      <c r="AC39" s="1263">
        <f t="shared" si="5"/>
        <v>1</v>
      </c>
    </row>
    <row r="40" spans="1:31" s="408" customFormat="1" ht="15.6"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67"/>
      <c r="Q40" s="1262">
        <f t="shared" si="14"/>
        <v>111</v>
      </c>
      <c r="R40" s="669" t="s">
        <v>14</v>
      </c>
      <c r="S40" s="670">
        <f t="shared" si="10"/>
        <v>100</v>
      </c>
      <c r="T40" s="669" t="s">
        <v>14</v>
      </c>
      <c r="U40" s="670">
        <f t="shared" si="11"/>
        <v>100</v>
      </c>
      <c r="V40" s="669" t="s">
        <v>14</v>
      </c>
      <c r="W40" s="670">
        <f t="shared" si="12"/>
        <v>100</v>
      </c>
      <c r="X40" s="671"/>
      <c r="Y40" s="3367"/>
      <c r="Z40" s="672">
        <f t="shared" si="13"/>
        <v>111</v>
      </c>
      <c r="AA40" s="1263">
        <f t="shared" si="3"/>
        <v>1</v>
      </c>
      <c r="AB40" s="1263">
        <f t="shared" si="4"/>
        <v>1</v>
      </c>
      <c r="AC40" s="1263">
        <f t="shared" si="5"/>
        <v>1</v>
      </c>
    </row>
    <row r="41" spans="1:31" ht="14.4">
      <c r="A41" s="416" t="s">
        <v>1844</v>
      </c>
      <c r="B41" s="1829" t="s">
        <v>1922</v>
      </c>
      <c r="C41" s="602" t="s">
        <v>0</v>
      </c>
      <c r="D41" s="418"/>
      <c r="E41" s="419"/>
      <c r="F41" s="420"/>
      <c r="G41" s="421"/>
      <c r="H41" s="422"/>
      <c r="I41" s="419"/>
      <c r="J41" s="422"/>
      <c r="K41" s="674"/>
      <c r="L41" s="2494"/>
      <c r="M41" s="2487"/>
      <c r="N41" s="2487"/>
      <c r="O41" s="2487"/>
      <c r="P41" s="3363" t="str">
        <f>A41</f>
        <v>成交单价</v>
      </c>
      <c r="Q41" s="3363"/>
      <c r="R41" s="3368">
        <f>E41</f>
        <v>0</v>
      </c>
      <c r="S41" s="3368"/>
      <c r="T41" s="3368">
        <f>G41</f>
        <v>0</v>
      </c>
      <c r="U41" s="3368"/>
      <c r="V41" s="3368">
        <f>I41</f>
        <v>0</v>
      </c>
      <c r="W41" s="3368"/>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363" t="str">
        <f>A42</f>
        <v>比较价值（元/平方米）</v>
      </c>
      <c r="Q42" s="3363"/>
      <c r="R42" s="3356" t="e">
        <f>ROUND(PRODUCT(R41,AA7:AA40),0)</f>
        <v>#DIV/0!</v>
      </c>
      <c r="S42" s="3356"/>
      <c r="T42" s="3356" t="e">
        <f>ROUND(PRODUCT(T41,AB7:AB40),0)</f>
        <v>#DIV/0!</v>
      </c>
      <c r="U42" s="3356"/>
      <c r="V42" s="3356" t="e">
        <f>ROUND(PRODUCT(V41,AC7:AC40),0)</f>
        <v>#DIV/0!</v>
      </c>
      <c r="W42" s="3356"/>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4"/>
      <c r="M43" s="2487"/>
      <c r="N43" s="2487"/>
      <c r="O43" s="2487"/>
      <c r="P43" s="3357" t="str">
        <f>A43</f>
        <v>估价对象XX用房的比较价值（楼面单价，元/平方米）</v>
      </c>
      <c r="Q43" s="3358"/>
      <c r="R43" s="3359" t="e">
        <f>ROUND(IF(D42="简单平均",AVERAGE(R42:W42),R42*F42+T42*H42+V42*J42),0)</f>
        <v>#DIV/0!</v>
      </c>
      <c r="S43" s="3359"/>
      <c r="T43" s="3359"/>
      <c r="U43" s="3359"/>
      <c r="V43" s="3359"/>
      <c r="W43" s="3359"/>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4.4"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8.8">
      <c r="A50" s="604" t="s">
        <v>1881</v>
      </c>
      <c r="B50" s="605" t="s">
        <v>1882</v>
      </c>
      <c r="C50" s="1830" t="s">
        <v>1883</v>
      </c>
      <c r="D50" s="1831" t="s">
        <v>1884</v>
      </c>
      <c r="E50" s="606" t="s">
        <v>1885</v>
      </c>
      <c r="F50" s="607" t="s">
        <v>1886</v>
      </c>
      <c r="G50" s="3360" t="s">
        <v>1887</v>
      </c>
      <c r="H50" s="3361"/>
      <c r="I50" s="1263" t="s">
        <v>1923</v>
      </c>
      <c r="J50" s="1263">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9577.27</v>
      </c>
      <c r="F51" s="611" t="e">
        <f t="shared" ref="F51:F60" si="15">ROUND(B51*E51/10000,0)</f>
        <v>#DIV/0!</v>
      </c>
      <c r="G51" s="3362"/>
      <c r="H51" s="3363"/>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0.6</v>
      </c>
      <c r="D52" s="891">
        <v>0.25</v>
      </c>
      <c r="E52" s="614"/>
      <c r="F52" s="611" t="e">
        <f t="shared" si="15"/>
        <v>#DIV/0!</v>
      </c>
      <c r="G52" s="2750" t="s">
        <v>1892</v>
      </c>
      <c r="H52" s="834" t="str">
        <f>项目基本情况!B37</f>
        <v>三级</v>
      </c>
      <c r="I52" s="727">
        <f>SUMIF(修正!A57:A68,H52,修正!B57:B68)</f>
        <v>0.6</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0.3</v>
      </c>
      <c r="D53" s="891">
        <v>0.25</v>
      </c>
      <c r="E53" s="614"/>
      <c r="F53" s="611" t="e">
        <f t="shared" si="15"/>
        <v>#DIV/0!</v>
      </c>
      <c r="G53" s="2751"/>
      <c r="H53" s="834" t="str">
        <f>项目基本情况!B37</f>
        <v>三级</v>
      </c>
      <c r="I53" s="727">
        <f>SUMIF(修正!A57:A68,H53,修正!C57:C68)</f>
        <v>0.3</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0.25</v>
      </c>
      <c r="D54" s="891">
        <v>0.25</v>
      </c>
      <c r="E54" s="614"/>
      <c r="F54" s="611" t="e">
        <f t="shared" si="15"/>
        <v>#DIV/0!</v>
      </c>
      <c r="G54" s="2751"/>
      <c r="H54" s="834" t="str">
        <f>项目基本情况!B37</f>
        <v>三级</v>
      </c>
      <c r="I54" s="727">
        <f>SUMIF(修正!A57:A68,H54,修正!D57:D68)</f>
        <v>0.25</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0.25</v>
      </c>
      <c r="D56" s="891">
        <v>0.25</v>
      </c>
      <c r="E56" s="209">
        <f>'数据-汇总表'!E11</f>
        <v>7880.05</v>
      </c>
      <c r="F56" s="611" t="e">
        <f t="shared" si="15"/>
        <v>#DIV/0!</v>
      </c>
      <c r="G56" s="1834" t="s">
        <v>1896</v>
      </c>
      <c r="H56" s="834" t="str">
        <f>项目基本情况!C37</f>
        <v>三级</v>
      </c>
      <c r="I56" s="727">
        <f>SUMIF(修正!A57:A68,H56,修正!E57:E68)</f>
        <v>0.25</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0.25</v>
      </c>
      <c r="D57" s="891">
        <v>0.25</v>
      </c>
      <c r="E57" s="209">
        <f>'数据-汇总表'!E12</f>
        <v>0</v>
      </c>
      <c r="F57" s="611" t="e">
        <f t="shared" si="15"/>
        <v>#DIV/0!</v>
      </c>
      <c r="G57" s="839" t="s">
        <v>1898</v>
      </c>
      <c r="H57" s="834" t="str">
        <f>IF(G57="商业",项目基本情况!B37,IF(G57="办公",项目基本情况!C37,IF(G57="住宅",项目基本情况!D37,项目基本情况!E37)))</f>
        <v>三级</v>
      </c>
      <c r="I57" s="727">
        <f>SUMIF(修正!A57:A68,H57,修正!F57:F68)</f>
        <v>0.25</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0.15</v>
      </c>
      <c r="D59" s="891">
        <v>0.25</v>
      </c>
      <c r="E59" s="209">
        <f>'数据-汇总表'!E14</f>
        <v>0</v>
      </c>
      <c r="F59" s="611" t="e">
        <f t="shared" si="15"/>
        <v>#DIV/0!</v>
      </c>
      <c r="G59" s="1834" t="s">
        <v>1892</v>
      </c>
      <c r="H59" s="834" t="str">
        <f>项目基本情况!B37</f>
        <v>三级</v>
      </c>
      <c r="I59" s="727">
        <f>SUMIF(修正!A57:A68,H59,修正!G57:G68)</f>
        <v>0.15</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4.4" thickBot="1">
      <c r="A60" s="613" t="s">
        <v>1902</v>
      </c>
      <c r="B60" s="210" t="e">
        <f t="shared" si="17"/>
        <v>#DIV/0!</v>
      </c>
      <c r="C60" s="163">
        <f t="shared" si="16"/>
        <v>0.15</v>
      </c>
      <c r="D60" s="891">
        <v>0.25</v>
      </c>
      <c r="E60" s="209">
        <f>'数据-汇总表'!E15</f>
        <v>0</v>
      </c>
      <c r="F60" s="611" t="e">
        <f t="shared" si="15"/>
        <v>#DIV/0!</v>
      </c>
      <c r="G60" s="1835" t="s">
        <v>1896</v>
      </c>
      <c r="H60" s="844" t="str">
        <f>项目基本情况!C37</f>
        <v>三级</v>
      </c>
      <c r="I60" s="727">
        <f>SUMIF(修正!A57:A68,H60,修正!G57:G68)</f>
        <v>0.15</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4.4" thickBot="1">
      <c r="A61" s="615" t="s">
        <v>1903</v>
      </c>
      <c r="B61" s="616" t="s">
        <v>22</v>
      </c>
      <c r="C61" s="616" t="s">
        <v>23</v>
      </c>
      <c r="D61" s="616" t="s">
        <v>392</v>
      </c>
      <c r="E61" s="616">
        <f>IF(B41="楼面地价",SUM(E51:E60),'数据-汇总表'!D3)</f>
        <v>3862.4</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2024-8-1</v>
      </c>
      <c r="D63" s="656">
        <f>EDATE(C63,-3)</f>
        <v>45413</v>
      </c>
      <c r="E63" s="656">
        <f>EDATE(D63,-3)</f>
        <v>45323</v>
      </c>
      <c r="F63" s="656">
        <f t="shared" ref="F63:O63" si="18">EDATE(E63,-3)</f>
        <v>45231</v>
      </c>
      <c r="G63" s="656">
        <f t="shared" si="18"/>
        <v>45139</v>
      </c>
      <c r="H63" s="656">
        <f t="shared" si="18"/>
        <v>45047</v>
      </c>
      <c r="I63" s="656">
        <f t="shared" si="18"/>
        <v>44958</v>
      </c>
      <c r="J63" s="656">
        <f t="shared" si="18"/>
        <v>44866</v>
      </c>
      <c r="K63" s="656">
        <f t="shared" si="18"/>
        <v>44774</v>
      </c>
      <c r="L63" s="656">
        <f t="shared" si="18"/>
        <v>44682</v>
      </c>
      <c r="M63" s="656">
        <f t="shared" si="18"/>
        <v>44593</v>
      </c>
      <c r="N63" s="656">
        <f t="shared" si="18"/>
        <v>44501</v>
      </c>
      <c r="O63" s="656">
        <f t="shared" si="18"/>
        <v>44409</v>
      </c>
      <c r="P63" s="2487"/>
      <c r="Q63" s="2487"/>
      <c r="R63" s="2487"/>
      <c r="S63" s="2487"/>
      <c r="T63" s="2487"/>
      <c r="U63" s="2487"/>
      <c r="V63" s="2487"/>
      <c r="W63" s="2487"/>
      <c r="X63" s="2487"/>
      <c r="Y63" s="2487"/>
      <c r="Z63" s="2487"/>
      <c r="AA63" s="2487"/>
      <c r="AB63" s="2487"/>
      <c r="AC63" s="2487"/>
      <c r="AD63" s="2487"/>
      <c r="AE63" s="2487"/>
    </row>
    <row r="64" spans="1:31" ht="22.2"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4.4">
      <c r="A65" s="1629" t="s">
        <v>1904</v>
      </c>
      <c r="B65" s="1046"/>
      <c r="C65" s="1100" t="str">
        <f>YEAR(C63)&amp;"-"&amp;ROUNDUP(MONTH(C63)/3,0)</f>
        <v>2024-3</v>
      </c>
      <c r="D65" s="1100" t="str">
        <f t="shared" ref="D65:O65" si="19">YEAR(D63)&amp;"-"&amp;ROUNDUP(MONTH(D63)/3,0)</f>
        <v>2024-2</v>
      </c>
      <c r="E65" s="1100" t="str">
        <f t="shared" si="19"/>
        <v>2024-1</v>
      </c>
      <c r="F65" s="1100" t="str">
        <f t="shared" si="19"/>
        <v>2023-4</v>
      </c>
      <c r="G65" s="1100" t="str">
        <f t="shared" si="19"/>
        <v>2023-3</v>
      </c>
      <c r="H65" s="1100" t="str">
        <f t="shared" si="19"/>
        <v>2023-2</v>
      </c>
      <c r="I65" s="1100" t="str">
        <f t="shared" si="19"/>
        <v>2023-1</v>
      </c>
      <c r="J65" s="1100" t="str">
        <f t="shared" si="19"/>
        <v>2022-4</v>
      </c>
      <c r="K65" s="1100" t="str">
        <f t="shared" si="19"/>
        <v>2022-3</v>
      </c>
      <c r="L65" s="1100" t="str">
        <f t="shared" si="19"/>
        <v>2022-2</v>
      </c>
      <c r="M65" s="1100" t="str">
        <f t="shared" si="19"/>
        <v>2022-1</v>
      </c>
      <c r="N65" s="1100" t="str">
        <f t="shared" si="19"/>
        <v>2021-4</v>
      </c>
      <c r="O65" s="1100" t="str">
        <f t="shared" si="19"/>
        <v>2021-3</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8"/>
      <c r="P66" s="2508"/>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4.4"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9.4"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4.4"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4.4"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4.4"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4.4"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4.4"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4.4"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4.4"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ht="14.4">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9.4"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4.4"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4.4"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4.4"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4.4"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4.4"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4.4"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4.4"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4.4"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4.4"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4.4"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4.4"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4.4"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4.4"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7" t="s">
        <v>2084</v>
      </c>
      <c r="D1" s="3458"/>
      <c r="E1" s="3458"/>
      <c r="F1" s="3458"/>
      <c r="G1" s="3458"/>
      <c r="H1" s="3458"/>
      <c r="I1" s="3458"/>
      <c r="J1" s="3458"/>
      <c r="K1" s="3458"/>
      <c r="L1" s="3458"/>
      <c r="M1" s="3458"/>
      <c r="N1" s="3458"/>
      <c r="O1" s="3458"/>
      <c r="P1" s="3458"/>
      <c r="Q1" s="3458"/>
      <c r="R1" s="3458"/>
      <c r="S1" s="345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2"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4" t="s">
        <v>27</v>
      </c>
      <c r="D22" s="3455"/>
      <c r="E22" s="3455"/>
      <c r="F22" s="3455"/>
      <c r="G22" s="3455"/>
      <c r="H22" s="3455"/>
      <c r="I22" s="3455"/>
      <c r="J22" s="3455"/>
      <c r="K22" s="3455"/>
      <c r="L22" s="3455"/>
      <c r="M22" s="3455"/>
      <c r="N22" s="3455"/>
      <c r="O22" s="3455"/>
      <c r="P22" s="3455"/>
      <c r="Q22" s="345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4" t="s">
        <v>2081</v>
      </c>
      <c r="B1" s="4"/>
      <c r="C1" s="4"/>
      <c r="D1" s="4"/>
      <c r="E1" s="4"/>
      <c r="F1" s="2544"/>
      <c r="G1" s="2544"/>
      <c r="H1" s="2544"/>
      <c r="I1" s="2544"/>
      <c r="J1" s="2544"/>
      <c r="K1" s="2544"/>
      <c r="L1" s="2544"/>
      <c r="M1" s="2544"/>
      <c r="N1" s="2544"/>
      <c r="O1" s="2544"/>
      <c r="P1" s="2544"/>
    </row>
    <row r="2" spans="1:16" ht="15.6">
      <c r="A2" s="1983" t="s">
        <v>2073</v>
      </c>
      <c r="B2" s="2387">
        <f ca="1">SUMIF(B6:B13,"&lt;&gt;#ref!",B6:B13)</f>
        <v>22982</v>
      </c>
      <c r="C2" s="1983" t="s">
        <v>2074</v>
      </c>
      <c r="D2" s="1983" t="s">
        <v>2075</v>
      </c>
      <c r="E2" s="2397">
        <f ca="1">SUMIF(E6:E13,"&lt;&gt;#ref!",E6:E13)</f>
        <v>17457.32</v>
      </c>
      <c r="F2" s="2544"/>
      <c r="G2" s="2544"/>
      <c r="H2" s="2544"/>
      <c r="I2" s="2544"/>
      <c r="J2" s="2544"/>
      <c r="K2" s="2544"/>
      <c r="L2" s="2544"/>
      <c r="M2" s="2544"/>
      <c r="N2" s="2544"/>
      <c r="O2" s="2544"/>
      <c r="P2" s="2544"/>
    </row>
    <row r="3" spans="1:16" ht="15.6">
      <c r="A3" s="1983" t="s">
        <v>2076</v>
      </c>
      <c r="B3" s="2387">
        <f ca="1">ROUND(B2*10000/E2,0)</f>
        <v>13165</v>
      </c>
      <c r="C3" s="1983" t="s">
        <v>2082</v>
      </c>
      <c r="D3" s="2544"/>
      <c r="E3" s="2544"/>
      <c r="F3" s="2544"/>
      <c r="G3" s="2544"/>
      <c r="H3" s="2544"/>
      <c r="I3" s="2544"/>
      <c r="J3" s="2544"/>
      <c r="K3" s="2544"/>
      <c r="L3" s="2544"/>
      <c r="M3" s="2544"/>
      <c r="N3" s="2544"/>
      <c r="O3" s="2544"/>
      <c r="P3" s="2544"/>
    </row>
    <row r="4" spans="1:16" ht="15.6">
      <c r="A4" s="2556"/>
      <c r="B4" s="2544"/>
      <c r="C4" s="2544"/>
      <c r="D4" s="2544"/>
      <c r="E4" s="2544"/>
      <c r="F4" s="2544"/>
      <c r="G4" s="2544"/>
      <c r="H4" s="2544"/>
      <c r="I4" s="2544"/>
      <c r="J4" s="2544"/>
      <c r="K4" s="2544"/>
      <c r="L4" s="2544"/>
      <c r="M4" s="2544"/>
      <c r="N4" s="2544"/>
      <c r="O4" s="2544"/>
      <c r="P4" s="2544"/>
    </row>
    <row r="5" spans="1:16" ht="31.2">
      <c r="A5" s="2393" t="s">
        <v>2077</v>
      </c>
      <c r="B5" s="2395" t="s">
        <v>2078</v>
      </c>
      <c r="C5" s="1984"/>
      <c r="D5" s="2544"/>
      <c r="E5" s="2396" t="s">
        <v>2079</v>
      </c>
      <c r="F5" s="2544"/>
      <c r="G5" s="2544"/>
      <c r="H5" s="2544"/>
      <c r="I5" s="2544"/>
      <c r="J5" s="2544"/>
      <c r="K5" s="2544"/>
      <c r="L5" s="2544"/>
      <c r="M5" s="2544"/>
      <c r="N5" s="2544"/>
      <c r="O5" s="2544"/>
      <c r="P5" s="2544"/>
    </row>
    <row r="6" spans="1:16" ht="15.6">
      <c r="A6" s="2394" t="s">
        <v>2080</v>
      </c>
      <c r="B6" s="2387">
        <f ca="1">SUMIF(INDIRECT("'"&amp;A6&amp;"'"&amp;"!A:A"),"总价",INDIRECT("'"&amp;A6&amp;"'"&amp;"!B:B"))</f>
        <v>22982</v>
      </c>
      <c r="C6" s="1983" t="s">
        <v>2074</v>
      </c>
      <c r="D6" s="2544"/>
      <c r="E6" s="2397">
        <f ca="1">SUMIF(INDIRECT("'"&amp;A6&amp;"'"&amp;"!C:C"),"建筑面积",INDIRECT("'"&amp;A6&amp;"'"&amp;"!D:D"))</f>
        <v>17457.32</v>
      </c>
      <c r="F6" s="2544"/>
      <c r="G6" s="2544"/>
      <c r="H6" s="2544"/>
      <c r="I6" s="2544"/>
      <c r="J6" s="2544"/>
      <c r="K6" s="2544"/>
      <c r="L6" s="2544"/>
      <c r="M6" s="2544"/>
      <c r="N6" s="2544"/>
      <c r="O6" s="2544"/>
      <c r="P6" s="2544"/>
    </row>
    <row r="7" spans="1:16" ht="15.6">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6">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6">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6">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6">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6">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6">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1875" defaultRowHeight="19.5" customHeight="1"/>
  <cols>
    <col min="1" max="13" width="15.21875" style="2813" customWidth="1"/>
    <col min="14" max="14" width="10" style="2813" customWidth="1"/>
    <col min="15" max="16" width="8.21875" style="2813"/>
    <col min="17" max="17" width="34.109375" style="2813" customWidth="1"/>
    <col min="18" max="18" width="8.21875" style="2813" customWidth="1"/>
    <col min="19" max="19" width="8.21875" style="2813"/>
    <col min="20" max="20" width="11.6640625" style="2813" customWidth="1"/>
    <col min="21" max="16384" width="8.21875" style="2813"/>
  </cols>
  <sheetData>
    <row r="1" spans="1:13" ht="19.5" customHeight="1" thickBot="1">
      <c r="A1" s="2810" t="s">
        <v>2594</v>
      </c>
      <c r="B1" s="2811" t="s">
        <v>2595</v>
      </c>
      <c r="C1" s="2811" t="s">
        <v>2596</v>
      </c>
      <c r="D1" s="2811" t="s">
        <v>2597</v>
      </c>
      <c r="E1" s="2811" t="s">
        <v>2598</v>
      </c>
      <c r="F1" s="2811" t="s">
        <v>2599</v>
      </c>
      <c r="G1" s="2811" t="s">
        <v>2600</v>
      </c>
      <c r="H1" s="2811" t="s">
        <v>2601</v>
      </c>
      <c r="I1" s="2811" t="s">
        <v>2602</v>
      </c>
      <c r="J1" s="2811" t="s">
        <v>2603</v>
      </c>
      <c r="K1" s="2811" t="s">
        <v>2604</v>
      </c>
      <c r="L1" s="2811" t="s">
        <v>2605</v>
      </c>
      <c r="M1" s="2812" t="s">
        <v>2606</v>
      </c>
    </row>
    <row r="2" spans="1:13" ht="19.5" customHeight="1">
      <c r="A2" s="2814" t="s">
        <v>2607</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2608</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2609</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2610</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2611</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2612</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2613</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2614</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2615</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2616</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2617</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2618</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2619</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2620</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2621</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2622</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2623</v>
      </c>
      <c r="B18" s="2836"/>
      <c r="C18" s="2837"/>
      <c r="D18" s="2837"/>
      <c r="E18" s="2836"/>
      <c r="F18" s="2837"/>
      <c r="G18" s="2837"/>
    </row>
    <row r="19" spans="1:13" ht="19.5" customHeight="1" thickBot="1">
      <c r="A19" s="2834" t="s">
        <v>2624</v>
      </c>
      <c r="B19" s="2839" t="s">
        <v>2625</v>
      </c>
      <c r="C19" s="2839" t="s">
        <v>2626</v>
      </c>
      <c r="D19" s="2840"/>
      <c r="E19" s="2834" t="s">
        <v>2627</v>
      </c>
      <c r="F19" s="2841"/>
      <c r="G19" s="2841"/>
    </row>
    <row r="20" spans="1:13" ht="19.5" customHeight="1">
      <c r="A20" s="3469" t="s">
        <v>2607</v>
      </c>
      <c r="B20" s="3464" t="s">
        <v>2628</v>
      </c>
      <c r="C20" s="2842" t="s">
        <v>2439</v>
      </c>
      <c r="D20" s="2843"/>
      <c r="E20" s="2844">
        <v>1</v>
      </c>
      <c r="F20" s="2845" t="s">
        <v>2440</v>
      </c>
      <c r="G20" s="2845"/>
    </row>
    <row r="21" spans="1:13" ht="19.5" customHeight="1">
      <c r="A21" s="3470"/>
      <c r="B21" s="3463"/>
      <c r="C21" s="2846" t="s">
        <v>2441</v>
      </c>
      <c r="D21" s="2847"/>
      <c r="E21" s="2848">
        <v>1</v>
      </c>
      <c r="F21" s="2845" t="s">
        <v>2442</v>
      </c>
      <c r="G21" s="2845"/>
    </row>
    <row r="22" spans="1:13" ht="19.5" customHeight="1">
      <c r="A22" s="3470"/>
      <c r="B22" s="3463"/>
      <c r="C22" s="2846" t="s">
        <v>2443</v>
      </c>
      <c r="D22" s="2847"/>
      <c r="E22" s="2848">
        <v>0.9</v>
      </c>
      <c r="F22" s="2845" t="s">
        <v>2444</v>
      </c>
      <c r="G22" s="2845"/>
    </row>
    <row r="23" spans="1:13" ht="19.5" customHeight="1">
      <c r="A23" s="3470"/>
      <c r="B23" s="3463"/>
      <c r="C23" s="2846" t="s">
        <v>2445</v>
      </c>
      <c r="D23" s="2847"/>
      <c r="E23" s="2848">
        <v>0.9</v>
      </c>
      <c r="F23" s="2845" t="s">
        <v>2446</v>
      </c>
      <c r="G23" s="2845"/>
    </row>
    <row r="24" spans="1:13" ht="19.5" customHeight="1">
      <c r="A24" s="3470"/>
      <c r="B24" s="3463"/>
      <c r="C24" s="2846" t="s">
        <v>2447</v>
      </c>
      <c r="D24" s="2847"/>
      <c r="E24" s="2848">
        <v>0.8</v>
      </c>
      <c r="F24" s="2845" t="s">
        <v>2448</v>
      </c>
      <c r="G24" s="2845"/>
    </row>
    <row r="25" spans="1:13" ht="19.5" customHeight="1" thickBot="1">
      <c r="A25" s="3471"/>
      <c r="B25" s="3465"/>
      <c r="C25" s="2849" t="s">
        <v>2449</v>
      </c>
      <c r="D25" s="2850"/>
      <c r="E25" s="2851">
        <v>0.8</v>
      </c>
      <c r="F25" s="2845" t="s">
        <v>2450</v>
      </c>
      <c r="G25" s="2845"/>
    </row>
    <row r="26" spans="1:13" ht="19.5" customHeight="1" thickBot="1">
      <c r="A26" s="2852" t="s">
        <v>2629</v>
      </c>
      <c r="B26" s="2853" t="s">
        <v>2628</v>
      </c>
      <c r="C26" s="2854" t="s">
        <v>2630</v>
      </c>
      <c r="D26" s="2855"/>
      <c r="E26" s="2856">
        <v>1</v>
      </c>
      <c r="F26" s="2845" t="s">
        <v>2451</v>
      </c>
      <c r="G26" s="2845"/>
    </row>
    <row r="27" spans="1:13" ht="19.5" customHeight="1">
      <c r="A27" s="3466" t="s">
        <v>2631</v>
      </c>
      <c r="B27" s="3464" t="s">
        <v>2612</v>
      </c>
      <c r="C27" s="2842" t="s">
        <v>2452</v>
      </c>
      <c r="D27" s="2843"/>
      <c r="E27" s="2844">
        <v>1</v>
      </c>
      <c r="F27" s="2845" t="s">
        <v>2453</v>
      </c>
      <c r="G27" s="2845"/>
    </row>
    <row r="28" spans="1:13" ht="19.5" customHeight="1">
      <c r="A28" s="3467"/>
      <c r="B28" s="3463"/>
      <c r="C28" s="2846" t="s">
        <v>2454</v>
      </c>
      <c r="D28" s="2847"/>
      <c r="E28" s="2848">
        <v>1</v>
      </c>
      <c r="F28" s="2845" t="s">
        <v>2455</v>
      </c>
      <c r="G28" s="2845"/>
    </row>
    <row r="29" spans="1:13" ht="19.5" customHeight="1">
      <c r="A29" s="3467"/>
      <c r="B29" s="3463"/>
      <c r="C29" s="2846" t="s">
        <v>2456</v>
      </c>
      <c r="D29" s="2847"/>
      <c r="E29" s="2848">
        <v>0.8</v>
      </c>
      <c r="F29" s="2845" t="s">
        <v>2457</v>
      </c>
      <c r="G29" s="2845"/>
    </row>
    <row r="30" spans="1:13" ht="19.5" customHeight="1">
      <c r="A30" s="3467"/>
      <c r="B30" s="3463"/>
      <c r="C30" s="2846" t="s">
        <v>2458</v>
      </c>
      <c r="D30" s="2847"/>
      <c r="E30" s="2848">
        <v>0.8</v>
      </c>
      <c r="F30" s="2845" t="s">
        <v>2459</v>
      </c>
      <c r="G30" s="2845"/>
    </row>
    <row r="31" spans="1:13" ht="19.5" customHeight="1">
      <c r="A31" s="3467"/>
      <c r="B31" s="3463"/>
      <c r="C31" s="2846" t="s">
        <v>2460</v>
      </c>
      <c r="D31" s="2847"/>
      <c r="E31" s="2848">
        <v>0.8</v>
      </c>
      <c r="F31" s="2845" t="s">
        <v>2461</v>
      </c>
      <c r="G31" s="2845"/>
    </row>
    <row r="32" spans="1:13" ht="19.5" customHeight="1">
      <c r="A32" s="3467"/>
      <c r="B32" s="3463"/>
      <c r="C32" s="2846" t="s">
        <v>2462</v>
      </c>
      <c r="D32" s="2847"/>
      <c r="E32" s="2848">
        <v>0.7</v>
      </c>
      <c r="F32" s="2845" t="s">
        <v>2463</v>
      </c>
      <c r="G32" s="2845"/>
    </row>
    <row r="33" spans="1:7" ht="19.5" customHeight="1">
      <c r="A33" s="3467"/>
      <c r="B33" s="3463"/>
      <c r="C33" s="2846" t="s">
        <v>2464</v>
      </c>
      <c r="D33" s="2847"/>
      <c r="E33" s="2848">
        <v>0.8</v>
      </c>
      <c r="F33" s="2845" t="s">
        <v>2465</v>
      </c>
      <c r="G33" s="2845"/>
    </row>
    <row r="34" spans="1:7" ht="19.5" customHeight="1">
      <c r="A34" s="3467"/>
      <c r="B34" s="3463"/>
      <c r="C34" s="2846" t="s">
        <v>2466</v>
      </c>
      <c r="D34" s="2847"/>
      <c r="E34" s="2848">
        <v>0.6</v>
      </c>
      <c r="F34" s="2845" t="s">
        <v>2467</v>
      </c>
      <c r="G34" s="2845"/>
    </row>
    <row r="35" spans="1:7" ht="19.5" customHeight="1">
      <c r="A35" s="3467"/>
      <c r="B35" s="3463"/>
      <c r="C35" s="2846" t="s">
        <v>2468</v>
      </c>
      <c r="D35" s="2847"/>
      <c r="E35" s="2848">
        <v>0.2</v>
      </c>
      <c r="F35" s="2845" t="s">
        <v>2469</v>
      </c>
      <c r="G35" s="2845"/>
    </row>
    <row r="36" spans="1:7" ht="19.5" customHeight="1">
      <c r="A36" s="3467"/>
      <c r="B36" s="3463"/>
      <c r="C36" s="2846" t="s">
        <v>2470</v>
      </c>
      <c r="D36" s="2847"/>
      <c r="E36" s="2848">
        <v>0.2</v>
      </c>
      <c r="F36" s="2845" t="s">
        <v>2471</v>
      </c>
      <c r="G36" s="2845"/>
    </row>
    <row r="37" spans="1:7" ht="19.5" customHeight="1">
      <c r="A37" s="3467"/>
      <c r="B37" s="3461" t="s">
        <v>2632</v>
      </c>
      <c r="C37" s="2846" t="s">
        <v>2472</v>
      </c>
      <c r="D37" s="2847"/>
      <c r="E37" s="2848">
        <v>0.6</v>
      </c>
      <c r="F37" s="2845" t="s">
        <v>2473</v>
      </c>
      <c r="G37" s="2845"/>
    </row>
    <row r="38" spans="1:7" ht="19.5" customHeight="1">
      <c r="A38" s="3467"/>
      <c r="B38" s="3463"/>
      <c r="C38" s="2846" t="s">
        <v>2474</v>
      </c>
      <c r="D38" s="2847"/>
      <c r="E38" s="2848">
        <v>0.6</v>
      </c>
      <c r="F38" s="2845" t="s">
        <v>2475</v>
      </c>
      <c r="G38" s="2845"/>
    </row>
    <row r="39" spans="1:7" ht="19.5" customHeight="1" thickBot="1">
      <c r="A39" s="3468"/>
      <c r="B39" s="3465"/>
      <c r="C39" s="2849" t="s">
        <v>2476</v>
      </c>
      <c r="D39" s="2850"/>
      <c r="E39" s="2851">
        <v>0.6</v>
      </c>
      <c r="F39" s="2845" t="s">
        <v>2477</v>
      </c>
      <c r="G39" s="2845"/>
    </row>
    <row r="40" spans="1:7" ht="19.5" customHeight="1" thickBot="1">
      <c r="A40" s="2852" t="s">
        <v>2609</v>
      </c>
      <c r="B40" s="2853" t="s">
        <v>2609</v>
      </c>
      <c r="C40" s="2854" t="s">
        <v>2633</v>
      </c>
      <c r="D40" s="2855"/>
      <c r="E40" s="2856">
        <v>1</v>
      </c>
      <c r="F40" s="2845" t="s">
        <v>2478</v>
      </c>
      <c r="G40" s="2845"/>
    </row>
    <row r="41" spans="1:7" ht="19.5" customHeight="1">
      <c r="A41" s="3469" t="s">
        <v>2610</v>
      </c>
      <c r="B41" s="3464" t="s">
        <v>2634</v>
      </c>
      <c r="C41" s="2842" t="s">
        <v>2479</v>
      </c>
      <c r="D41" s="2843"/>
      <c r="E41" s="2844">
        <v>1</v>
      </c>
      <c r="F41" s="2845" t="s">
        <v>2480</v>
      </c>
      <c r="G41" s="2845"/>
    </row>
    <row r="42" spans="1:7" ht="19.5" customHeight="1">
      <c r="A42" s="3470"/>
      <c r="B42" s="3463"/>
      <c r="C42" s="2846" t="s">
        <v>2481</v>
      </c>
      <c r="D42" s="2847"/>
      <c r="E42" s="2848">
        <v>1</v>
      </c>
      <c r="F42" s="2845" t="s">
        <v>2482</v>
      </c>
      <c r="G42" s="2845"/>
    </row>
    <row r="43" spans="1:7" ht="19.5" customHeight="1">
      <c r="A43" s="3470"/>
      <c r="B43" s="3462"/>
      <c r="C43" s="2846" t="s">
        <v>2483</v>
      </c>
      <c r="D43" s="2847"/>
      <c r="E43" s="2848">
        <v>1.5</v>
      </c>
      <c r="F43" s="2845" t="s">
        <v>2484</v>
      </c>
      <c r="G43" s="2845"/>
    </row>
    <row r="44" spans="1:7" ht="19.5" customHeight="1">
      <c r="A44" s="3470"/>
      <c r="B44" s="2857" t="s">
        <v>2635</v>
      </c>
      <c r="C44" s="2846" t="s">
        <v>2636</v>
      </c>
      <c r="D44" s="2847"/>
      <c r="E44" s="2848">
        <v>2</v>
      </c>
      <c r="F44" s="2845" t="s">
        <v>2485</v>
      </c>
      <c r="G44" s="2845"/>
    </row>
    <row r="45" spans="1:7" ht="19.5" customHeight="1">
      <c r="A45" s="3470"/>
      <c r="B45" s="3461" t="s">
        <v>2637</v>
      </c>
      <c r="C45" s="2846" t="s">
        <v>2486</v>
      </c>
      <c r="D45" s="2847"/>
      <c r="E45" s="2848">
        <v>1</v>
      </c>
      <c r="F45" s="2845" t="s">
        <v>2487</v>
      </c>
      <c r="G45" s="2845"/>
    </row>
    <row r="46" spans="1:7" ht="19.5" customHeight="1">
      <c r="A46" s="3470"/>
      <c r="B46" s="3463"/>
      <c r="C46" s="2846" t="s">
        <v>2488</v>
      </c>
      <c r="D46" s="2847"/>
      <c r="E46" s="2848">
        <v>1</v>
      </c>
      <c r="F46" s="2845" t="s">
        <v>2489</v>
      </c>
      <c r="G46" s="2845"/>
    </row>
    <row r="47" spans="1:7" ht="19.5" customHeight="1">
      <c r="A47" s="3470"/>
      <c r="B47" s="3463"/>
      <c r="C47" s="2846" t="s">
        <v>2490</v>
      </c>
      <c r="D47" s="2847"/>
      <c r="E47" s="2848">
        <v>1</v>
      </c>
      <c r="F47" s="2845" t="s">
        <v>2491</v>
      </c>
      <c r="G47" s="2845"/>
    </row>
    <row r="48" spans="1:7" ht="19.5" customHeight="1">
      <c r="A48" s="3470"/>
      <c r="B48" s="3463"/>
      <c r="C48" s="2846" t="s">
        <v>2492</v>
      </c>
      <c r="D48" s="2847"/>
      <c r="E48" s="2848">
        <v>1</v>
      </c>
      <c r="F48" s="2845" t="s">
        <v>2493</v>
      </c>
      <c r="G48" s="2845"/>
    </row>
    <row r="49" spans="1:7" ht="19.5" customHeight="1">
      <c r="A49" s="3470"/>
      <c r="B49" s="3463"/>
      <c r="C49" s="2846" t="s">
        <v>2494</v>
      </c>
      <c r="D49" s="2847"/>
      <c r="E49" s="2848">
        <v>1</v>
      </c>
      <c r="F49" s="2845" t="s">
        <v>2495</v>
      </c>
      <c r="G49" s="2845"/>
    </row>
    <row r="50" spans="1:7" ht="19.5" customHeight="1">
      <c r="A50" s="3470"/>
      <c r="B50" s="3463"/>
      <c r="C50" s="2846" t="s">
        <v>2496</v>
      </c>
      <c r="D50" s="2847"/>
      <c r="E50" s="2848">
        <v>1</v>
      </c>
      <c r="F50" s="2845" t="s">
        <v>2497</v>
      </c>
      <c r="G50" s="2845"/>
    </row>
    <row r="51" spans="1:7" ht="19.5" customHeight="1" thickBot="1">
      <c r="A51" s="3471"/>
      <c r="B51" s="3465"/>
      <c r="C51" s="2849" t="s">
        <v>2498</v>
      </c>
      <c r="D51" s="2850"/>
      <c r="E51" s="2851">
        <v>1</v>
      </c>
      <c r="F51" s="2845" t="s">
        <v>2499</v>
      </c>
      <c r="G51" s="2845"/>
    </row>
    <row r="52" spans="1:7" ht="19.5" customHeight="1">
      <c r="A52" s="2858"/>
      <c r="B52" s="2858"/>
      <c r="C52" s="2858"/>
      <c r="D52" s="2858"/>
      <c r="E52" s="2858"/>
      <c r="F52" s="2858"/>
      <c r="G52" s="2858"/>
    </row>
    <row r="54" spans="1:7" ht="19.5" customHeight="1">
      <c r="A54" s="2859"/>
      <c r="B54" s="2831" t="s">
        <v>2638</v>
      </c>
      <c r="C54" s="2831" t="s">
        <v>2638</v>
      </c>
      <c r="D54" s="2831" t="s">
        <v>2638</v>
      </c>
      <c r="E54" s="2834" t="s">
        <v>2638</v>
      </c>
      <c r="F54" s="2834" t="s">
        <v>2639</v>
      </c>
      <c r="G54" s="2834" t="s">
        <v>2640</v>
      </c>
    </row>
    <row r="55" spans="1:7" ht="19.5" customHeight="1">
      <c r="A55" s="2860"/>
      <c r="B55" s="2834" t="s">
        <v>2607</v>
      </c>
      <c r="C55" s="2834" t="s">
        <v>2607</v>
      </c>
      <c r="D55" s="2834" t="s">
        <v>2607</v>
      </c>
      <c r="E55" s="2831" t="s">
        <v>2608</v>
      </c>
      <c r="F55" s="2831" t="s">
        <v>2610</v>
      </c>
      <c r="G55" s="2831" t="s">
        <v>2641</v>
      </c>
    </row>
    <row r="56" spans="1:7" ht="19.5" customHeight="1">
      <c r="A56" s="2861"/>
      <c r="B56" s="2831">
        <v>1</v>
      </c>
      <c r="C56" s="2831">
        <v>2</v>
      </c>
      <c r="D56" s="2831">
        <v>3</v>
      </c>
      <c r="E56" s="2862" t="s">
        <v>2642</v>
      </c>
      <c r="F56" s="2862" t="s">
        <v>2642</v>
      </c>
      <c r="G56" s="2862" t="s">
        <v>2642</v>
      </c>
    </row>
    <row r="57" spans="1:7" ht="19.5" customHeight="1">
      <c r="A57" s="2863" t="s">
        <v>2595</v>
      </c>
      <c r="B57" s="2831">
        <v>0.7</v>
      </c>
      <c r="C57" s="2831">
        <v>0.4</v>
      </c>
      <c r="D57" s="2831">
        <v>0.3</v>
      </c>
      <c r="E57" s="2862">
        <v>0.3</v>
      </c>
      <c r="F57" s="2831">
        <v>0.3</v>
      </c>
      <c r="G57" s="2831">
        <v>0.2</v>
      </c>
    </row>
    <row r="58" spans="1:7" ht="19.5" customHeight="1">
      <c r="A58" s="2863" t="s">
        <v>2596</v>
      </c>
      <c r="B58" s="2831">
        <v>0.7</v>
      </c>
      <c r="C58" s="2831">
        <v>0.4</v>
      </c>
      <c r="D58" s="2831">
        <v>0.3</v>
      </c>
      <c r="E58" s="2831">
        <v>0.3</v>
      </c>
      <c r="F58" s="2831">
        <v>0.3</v>
      </c>
      <c r="G58" s="2831">
        <v>0.2</v>
      </c>
    </row>
    <row r="59" spans="1:7" ht="19.5" customHeight="1">
      <c r="A59" s="2863" t="s">
        <v>2597</v>
      </c>
      <c r="B59" s="2831">
        <v>0.6</v>
      </c>
      <c r="C59" s="2831">
        <v>0.3</v>
      </c>
      <c r="D59" s="2831">
        <v>0.25</v>
      </c>
      <c r="E59" s="2831">
        <v>0.25</v>
      </c>
      <c r="F59" s="2831">
        <v>0.25</v>
      </c>
      <c r="G59" s="2831">
        <v>0.15</v>
      </c>
    </row>
    <row r="60" spans="1:7" ht="19.5" customHeight="1">
      <c r="A60" s="2863" t="s">
        <v>2598</v>
      </c>
      <c r="B60" s="2831">
        <v>0.6</v>
      </c>
      <c r="C60" s="2831">
        <v>0.3</v>
      </c>
      <c r="D60" s="2831">
        <v>0.25</v>
      </c>
      <c r="E60" s="2831">
        <v>0.25</v>
      </c>
      <c r="F60" s="2831">
        <v>0.25</v>
      </c>
      <c r="G60" s="2831">
        <v>0.15</v>
      </c>
    </row>
    <row r="61" spans="1:7" ht="19.5" customHeight="1">
      <c r="A61" s="2863" t="s">
        <v>2599</v>
      </c>
      <c r="B61" s="2831">
        <v>0.6</v>
      </c>
      <c r="C61" s="2831">
        <v>0.3</v>
      </c>
      <c r="D61" s="2831">
        <v>0.25</v>
      </c>
      <c r="E61" s="2831">
        <v>0.25</v>
      </c>
      <c r="F61" s="2831">
        <v>0.25</v>
      </c>
      <c r="G61" s="2831">
        <v>0.15</v>
      </c>
    </row>
    <row r="62" spans="1:7" ht="19.5" customHeight="1">
      <c r="A62" s="2863" t="s">
        <v>2600</v>
      </c>
      <c r="B62" s="2831">
        <v>0.6</v>
      </c>
      <c r="C62" s="2831">
        <v>0.3</v>
      </c>
      <c r="D62" s="2831">
        <v>0.25</v>
      </c>
      <c r="E62" s="2831">
        <v>0.25</v>
      </c>
      <c r="F62" s="2831">
        <v>0.25</v>
      </c>
      <c r="G62" s="2831">
        <v>0.15</v>
      </c>
    </row>
    <row r="63" spans="1:7" ht="19.5" customHeight="1">
      <c r="A63" s="2863" t="s">
        <v>2601</v>
      </c>
      <c r="B63" s="2831">
        <v>0.6</v>
      </c>
      <c r="C63" s="2831">
        <v>0.3</v>
      </c>
      <c r="D63" s="2831">
        <v>0.25</v>
      </c>
      <c r="E63" s="2831">
        <v>0.25</v>
      </c>
      <c r="F63" s="2831">
        <v>0.25</v>
      </c>
      <c r="G63" s="2831">
        <v>0.15</v>
      </c>
    </row>
    <row r="64" spans="1:7" ht="19.5" customHeight="1">
      <c r="A64" s="2863" t="s">
        <v>2602</v>
      </c>
      <c r="B64" s="2831">
        <v>0.5</v>
      </c>
      <c r="C64" s="2831">
        <v>0.2</v>
      </c>
      <c r="D64" s="2831">
        <v>0.2</v>
      </c>
      <c r="E64" s="2831">
        <v>0.2</v>
      </c>
      <c r="F64" s="2831">
        <v>0.2</v>
      </c>
      <c r="G64" s="2831">
        <v>0.1</v>
      </c>
    </row>
    <row r="65" spans="1:7" ht="19.5" customHeight="1">
      <c r="A65" s="2863" t="s">
        <v>2603</v>
      </c>
      <c r="B65" s="2831">
        <v>0.5</v>
      </c>
      <c r="C65" s="2831">
        <v>0.2</v>
      </c>
      <c r="D65" s="2831">
        <v>0.2</v>
      </c>
      <c r="E65" s="2831">
        <v>0.2</v>
      </c>
      <c r="F65" s="2831">
        <v>0.2</v>
      </c>
      <c r="G65" s="2831">
        <v>0.1</v>
      </c>
    </row>
    <row r="66" spans="1:7" ht="19.5" customHeight="1">
      <c r="A66" s="2863" t="s">
        <v>2604</v>
      </c>
      <c r="B66" s="2831">
        <v>0.5</v>
      </c>
      <c r="C66" s="2831">
        <v>0.2</v>
      </c>
      <c r="D66" s="2831">
        <v>0.2</v>
      </c>
      <c r="E66" s="2831">
        <v>0.2</v>
      </c>
      <c r="F66" s="2831">
        <v>0.2</v>
      </c>
      <c r="G66" s="2831">
        <v>0.1</v>
      </c>
    </row>
    <row r="67" spans="1:7" ht="19.5" customHeight="1">
      <c r="A67" s="2863" t="s">
        <v>2605</v>
      </c>
      <c r="B67" s="2831">
        <v>0.5</v>
      </c>
      <c r="C67" s="2831">
        <v>0.2</v>
      </c>
      <c r="D67" s="2831">
        <v>0.2</v>
      </c>
      <c r="E67" s="2831">
        <v>0.2</v>
      </c>
      <c r="F67" s="2831">
        <v>0.2</v>
      </c>
      <c r="G67" s="2831">
        <v>0.1</v>
      </c>
    </row>
    <row r="68" spans="1:7" ht="19.5" customHeight="1">
      <c r="A68" s="2863" t="s">
        <v>2606</v>
      </c>
      <c r="B68" s="2831">
        <v>0.5</v>
      </c>
      <c r="C68" s="2831">
        <v>0.2</v>
      </c>
      <c r="D68" s="2831">
        <v>0.2</v>
      </c>
      <c r="E68" s="2831">
        <v>0.2</v>
      </c>
      <c r="F68" s="2831">
        <v>0.2</v>
      </c>
      <c r="G68" s="2831">
        <v>0.1</v>
      </c>
    </row>
    <row r="70" spans="1:7" ht="19.5" customHeight="1">
      <c r="A70" s="2845"/>
      <c r="B70" s="2864"/>
      <c r="C70" s="2864"/>
      <c r="D70" s="2864" t="s">
        <v>2643</v>
      </c>
      <c r="E70" s="2864"/>
      <c r="F70" s="2864"/>
    </row>
    <row r="71" spans="1:7" ht="19.5" customHeight="1">
      <c r="A71" s="2857" t="s">
        <v>2644</v>
      </c>
      <c r="B71" s="2857" t="s">
        <v>2645</v>
      </c>
      <c r="C71" s="2857" t="s">
        <v>2646</v>
      </c>
      <c r="D71" s="2857" t="s">
        <v>2647</v>
      </c>
      <c r="E71" s="2857" t="s">
        <v>2648</v>
      </c>
      <c r="F71" s="2857" t="s">
        <v>2649</v>
      </c>
    </row>
    <row r="72" spans="1:7" ht="14.4">
      <c r="A72" s="2857"/>
      <c r="B72" s="2857"/>
      <c r="C72" s="2857" t="s">
        <v>2650</v>
      </c>
      <c r="D72" s="2857"/>
      <c r="E72" s="2857" t="s">
        <v>2621</v>
      </c>
      <c r="F72" s="2857" t="s">
        <v>2621</v>
      </c>
    </row>
    <row r="73" spans="1:7" ht="14.4">
      <c r="A73" s="2857">
        <v>1</v>
      </c>
      <c r="B73" s="3461" t="s">
        <v>2651</v>
      </c>
      <c r="C73" s="2831" t="s">
        <v>2652</v>
      </c>
      <c r="D73" s="2831" t="s">
        <v>2653</v>
      </c>
      <c r="E73" s="2857">
        <v>0.2</v>
      </c>
      <c r="F73" s="2857">
        <v>25</v>
      </c>
    </row>
    <row r="74" spans="1:7" ht="24">
      <c r="A74" s="2857">
        <v>2</v>
      </c>
      <c r="B74" s="3463"/>
      <c r="C74" s="2831" t="s">
        <v>2654</v>
      </c>
      <c r="D74" s="2831" t="s">
        <v>2655</v>
      </c>
      <c r="E74" s="2857">
        <v>0.2</v>
      </c>
      <c r="F74" s="2857">
        <v>25</v>
      </c>
    </row>
    <row r="75" spans="1:7" ht="24">
      <c r="A75" s="2857">
        <v>3</v>
      </c>
      <c r="B75" s="3463"/>
      <c r="C75" s="2831" t="s">
        <v>2656</v>
      </c>
      <c r="D75" s="2831" t="s">
        <v>2657</v>
      </c>
      <c r="E75" s="2857">
        <v>0.2</v>
      </c>
      <c r="F75" s="2857">
        <v>25</v>
      </c>
    </row>
    <row r="76" spans="1:7" ht="14.4">
      <c r="A76" s="2857">
        <v>4</v>
      </c>
      <c r="B76" s="3463"/>
      <c r="C76" s="2831" t="s">
        <v>2658</v>
      </c>
      <c r="D76" s="2831" t="s">
        <v>2659</v>
      </c>
      <c r="E76" s="2857">
        <v>0.15</v>
      </c>
      <c r="F76" s="2857">
        <v>20</v>
      </c>
    </row>
    <row r="77" spans="1:7" ht="24">
      <c r="A77" s="2857">
        <v>5</v>
      </c>
      <c r="B77" s="3463"/>
      <c r="C77" s="2831" t="s">
        <v>2660</v>
      </c>
      <c r="D77" s="2831" t="s">
        <v>2661</v>
      </c>
      <c r="E77" s="2857">
        <v>0.15</v>
      </c>
      <c r="F77" s="2857">
        <v>20</v>
      </c>
    </row>
    <row r="78" spans="1:7" ht="24">
      <c r="A78" s="2857">
        <v>6</v>
      </c>
      <c r="B78" s="3463"/>
      <c r="C78" s="2831" t="s">
        <v>2662</v>
      </c>
      <c r="D78" s="2831" t="s">
        <v>2663</v>
      </c>
      <c r="E78" s="2857">
        <v>0.15</v>
      </c>
      <c r="F78" s="2857">
        <v>20</v>
      </c>
    </row>
    <row r="79" spans="1:7" ht="24">
      <c r="A79" s="2857">
        <v>7</v>
      </c>
      <c r="B79" s="3463"/>
      <c r="C79" s="2831" t="s">
        <v>2664</v>
      </c>
      <c r="D79" s="2831" t="s">
        <v>2665</v>
      </c>
      <c r="E79" s="2857">
        <v>0.15</v>
      </c>
      <c r="F79" s="2857">
        <v>20</v>
      </c>
    </row>
    <row r="80" spans="1:7" ht="24">
      <c r="A80" s="2857">
        <v>8</v>
      </c>
      <c r="B80" s="3463"/>
      <c r="C80" s="2831" t="s">
        <v>2666</v>
      </c>
      <c r="D80" s="2831" t="s">
        <v>2667</v>
      </c>
      <c r="E80" s="2857">
        <v>0.1</v>
      </c>
      <c r="F80" s="2857">
        <v>15</v>
      </c>
    </row>
    <row r="81" spans="1:6" ht="24">
      <c r="A81" s="2857">
        <v>9</v>
      </c>
      <c r="B81" s="3463"/>
      <c r="C81" s="2831" t="s">
        <v>2668</v>
      </c>
      <c r="D81" s="2831" t="s">
        <v>2669</v>
      </c>
      <c r="E81" s="2857">
        <v>0.1</v>
      </c>
      <c r="F81" s="2857">
        <v>15</v>
      </c>
    </row>
    <row r="82" spans="1:6" ht="24">
      <c r="A82" s="2857">
        <v>10</v>
      </c>
      <c r="B82" s="3463"/>
      <c r="C82" s="2831" t="s">
        <v>2670</v>
      </c>
      <c r="D82" s="2831" t="s">
        <v>2671</v>
      </c>
      <c r="E82" s="2857">
        <v>0.1</v>
      </c>
      <c r="F82" s="2857">
        <v>15</v>
      </c>
    </row>
    <row r="83" spans="1:6" ht="24">
      <c r="A83" s="2857">
        <v>11</v>
      </c>
      <c r="B83" s="3463"/>
      <c r="C83" s="2831" t="s">
        <v>2672</v>
      </c>
      <c r="D83" s="2831" t="s">
        <v>2673</v>
      </c>
      <c r="E83" s="2857">
        <v>0.1</v>
      </c>
      <c r="F83" s="2857">
        <v>15</v>
      </c>
    </row>
    <row r="84" spans="1:6" ht="24">
      <c r="A84" s="2857">
        <v>12</v>
      </c>
      <c r="B84" s="3463"/>
      <c r="C84" s="2831" t="s">
        <v>2674</v>
      </c>
      <c r="D84" s="2831" t="s">
        <v>2675</v>
      </c>
      <c r="E84" s="2857">
        <v>0.1</v>
      </c>
      <c r="F84" s="2857">
        <v>15</v>
      </c>
    </row>
    <row r="85" spans="1:6" ht="24">
      <c r="A85" s="2857">
        <v>13</v>
      </c>
      <c r="B85" s="3463"/>
      <c r="C85" s="2831" t="s">
        <v>2676</v>
      </c>
      <c r="D85" s="2831" t="s">
        <v>2677</v>
      </c>
      <c r="E85" s="2857">
        <v>0.1</v>
      </c>
      <c r="F85" s="2857">
        <v>15</v>
      </c>
    </row>
    <row r="86" spans="1:6" ht="24">
      <c r="A86" s="2857">
        <v>14</v>
      </c>
      <c r="B86" s="3463"/>
      <c r="C86" s="2831" t="s">
        <v>2678</v>
      </c>
      <c r="D86" s="2831" t="s">
        <v>2679</v>
      </c>
      <c r="E86" s="2857">
        <v>0.1</v>
      </c>
      <c r="F86" s="2857">
        <v>15</v>
      </c>
    </row>
    <row r="87" spans="1:6" ht="24">
      <c r="A87" s="2857">
        <v>15</v>
      </c>
      <c r="B87" s="3463"/>
      <c r="C87" s="2831" t="s">
        <v>2680</v>
      </c>
      <c r="D87" s="2831" t="s">
        <v>2681</v>
      </c>
      <c r="E87" s="2857">
        <v>0.1</v>
      </c>
      <c r="F87" s="2857">
        <v>15</v>
      </c>
    </row>
    <row r="88" spans="1:6" ht="24">
      <c r="A88" s="2857">
        <v>16</v>
      </c>
      <c r="B88" s="3463"/>
      <c r="C88" s="2831" t="s">
        <v>2682</v>
      </c>
      <c r="D88" s="2831" t="s">
        <v>2683</v>
      </c>
      <c r="E88" s="2857">
        <v>0.1</v>
      </c>
      <c r="F88" s="2857">
        <v>15</v>
      </c>
    </row>
    <row r="89" spans="1:6" ht="24">
      <c r="A89" s="2857">
        <v>17</v>
      </c>
      <c r="B89" s="3462"/>
      <c r="C89" s="2831" t="s">
        <v>2684</v>
      </c>
      <c r="D89" s="2831" t="s">
        <v>2685</v>
      </c>
      <c r="E89" s="2857">
        <v>0.1</v>
      </c>
      <c r="F89" s="2857">
        <v>15</v>
      </c>
    </row>
    <row r="90" spans="1:6" ht="14.4">
      <c r="A90" s="2857">
        <v>18</v>
      </c>
      <c r="B90" s="3461" t="s">
        <v>2686</v>
      </c>
      <c r="C90" s="2831" t="s">
        <v>2687</v>
      </c>
      <c r="D90" s="2831" t="s">
        <v>2688</v>
      </c>
      <c r="E90" s="2857">
        <v>0.2</v>
      </c>
      <c r="F90" s="2857">
        <v>25</v>
      </c>
    </row>
    <row r="91" spans="1:6" ht="24">
      <c r="A91" s="2857">
        <v>19</v>
      </c>
      <c r="B91" s="3463"/>
      <c r="C91" s="2831" t="s">
        <v>2689</v>
      </c>
      <c r="D91" s="2831" t="s">
        <v>2690</v>
      </c>
      <c r="E91" s="2857">
        <v>0.2</v>
      </c>
      <c r="F91" s="2857">
        <v>25</v>
      </c>
    </row>
    <row r="92" spans="1:6" ht="14.4">
      <c r="A92" s="2857">
        <v>20</v>
      </c>
      <c r="B92" s="3463"/>
      <c r="C92" s="2831" t="s">
        <v>2691</v>
      </c>
      <c r="D92" s="2831" t="s">
        <v>2692</v>
      </c>
      <c r="E92" s="2857">
        <v>0.15</v>
      </c>
      <c r="F92" s="2857">
        <v>20</v>
      </c>
    </row>
    <row r="93" spans="1:6" ht="24">
      <c r="A93" s="2857">
        <v>21</v>
      </c>
      <c r="B93" s="3463"/>
      <c r="C93" s="2831" t="s">
        <v>2693</v>
      </c>
      <c r="D93" s="2831" t="s">
        <v>2694</v>
      </c>
      <c r="E93" s="2857">
        <v>0.15</v>
      </c>
      <c r="F93" s="2857">
        <v>20</v>
      </c>
    </row>
    <row r="94" spans="1:6" ht="24">
      <c r="A94" s="2857">
        <v>22</v>
      </c>
      <c r="B94" s="3463"/>
      <c r="C94" s="2831" t="s">
        <v>2695</v>
      </c>
      <c r="D94" s="2831" t="s">
        <v>2696</v>
      </c>
      <c r="E94" s="2857">
        <v>0.15</v>
      </c>
      <c r="F94" s="2857">
        <v>20</v>
      </c>
    </row>
    <row r="95" spans="1:6" ht="36">
      <c r="A95" s="2857">
        <v>23</v>
      </c>
      <c r="B95" s="3463"/>
      <c r="C95" s="2831" t="s">
        <v>2697</v>
      </c>
      <c r="D95" s="2831" t="s">
        <v>2698</v>
      </c>
      <c r="E95" s="2857">
        <v>0.15</v>
      </c>
      <c r="F95" s="2857">
        <v>20</v>
      </c>
    </row>
    <row r="96" spans="1:6" ht="24">
      <c r="A96" s="2857">
        <v>24</v>
      </c>
      <c r="B96" s="3463"/>
      <c r="C96" s="2831" t="s">
        <v>2699</v>
      </c>
      <c r="D96" s="2831" t="s">
        <v>2700</v>
      </c>
      <c r="E96" s="2857">
        <v>0.1</v>
      </c>
      <c r="F96" s="2857">
        <v>15</v>
      </c>
    </row>
    <row r="97" spans="1:6" ht="24">
      <c r="A97" s="2857">
        <v>25</v>
      </c>
      <c r="B97" s="3463"/>
      <c r="C97" s="2831" t="s">
        <v>2701</v>
      </c>
      <c r="D97" s="2831" t="s">
        <v>2702</v>
      </c>
      <c r="E97" s="2857">
        <v>0.1</v>
      </c>
      <c r="F97" s="2857">
        <v>15</v>
      </c>
    </row>
    <row r="98" spans="1:6" ht="24">
      <c r="A98" s="2857">
        <v>26</v>
      </c>
      <c r="B98" s="3463"/>
      <c r="C98" s="2831" t="s">
        <v>2703</v>
      </c>
      <c r="D98" s="2831" t="s">
        <v>2704</v>
      </c>
      <c r="E98" s="2857">
        <v>0.1</v>
      </c>
      <c r="F98" s="2857">
        <v>15</v>
      </c>
    </row>
    <row r="99" spans="1:6" ht="24">
      <c r="A99" s="2857">
        <v>27</v>
      </c>
      <c r="B99" s="3463"/>
      <c r="C99" s="2831" t="s">
        <v>2705</v>
      </c>
      <c r="D99" s="2831" t="s">
        <v>2706</v>
      </c>
      <c r="E99" s="2857">
        <v>0.1</v>
      </c>
      <c r="F99" s="2857">
        <v>15</v>
      </c>
    </row>
    <row r="100" spans="1:6" ht="24">
      <c r="A100" s="2857">
        <v>28</v>
      </c>
      <c r="B100" s="3463"/>
      <c r="C100" s="2831" t="s">
        <v>2707</v>
      </c>
      <c r="D100" s="2831" t="s">
        <v>2708</v>
      </c>
      <c r="E100" s="2857">
        <v>0.1</v>
      </c>
      <c r="F100" s="2857">
        <v>15</v>
      </c>
    </row>
    <row r="101" spans="1:6" ht="24">
      <c r="A101" s="2857">
        <v>29</v>
      </c>
      <c r="B101" s="3463"/>
      <c r="C101" s="2831" t="s">
        <v>2709</v>
      </c>
      <c r="D101" s="2831" t="s">
        <v>2710</v>
      </c>
      <c r="E101" s="2857">
        <v>0.1</v>
      </c>
      <c r="F101" s="2857">
        <v>15</v>
      </c>
    </row>
    <row r="102" spans="1:6" ht="24">
      <c r="A102" s="2857">
        <v>30</v>
      </c>
      <c r="B102" s="3463"/>
      <c r="C102" s="2831" t="s">
        <v>2711</v>
      </c>
      <c r="D102" s="2831" t="s">
        <v>2712</v>
      </c>
      <c r="E102" s="2857">
        <v>0.1</v>
      </c>
      <c r="F102" s="2857">
        <v>15</v>
      </c>
    </row>
    <row r="103" spans="1:6" ht="24">
      <c r="A103" s="2857">
        <v>31</v>
      </c>
      <c r="B103" s="3463"/>
      <c r="C103" s="2831" t="s">
        <v>2713</v>
      </c>
      <c r="D103" s="2831" t="s">
        <v>2714</v>
      </c>
      <c r="E103" s="2857">
        <v>0.1</v>
      </c>
      <c r="F103" s="2857">
        <v>15</v>
      </c>
    </row>
    <row r="104" spans="1:6" ht="24">
      <c r="A104" s="2857">
        <v>32</v>
      </c>
      <c r="B104" s="3463"/>
      <c r="C104" s="2831" t="s">
        <v>2715</v>
      </c>
      <c r="D104" s="2831" t="s">
        <v>2716</v>
      </c>
      <c r="E104" s="2857">
        <v>0.1</v>
      </c>
      <c r="F104" s="2857">
        <v>15</v>
      </c>
    </row>
    <row r="105" spans="1:6" ht="24">
      <c r="A105" s="2857">
        <v>33</v>
      </c>
      <c r="B105" s="3463"/>
      <c r="C105" s="2831" t="s">
        <v>2717</v>
      </c>
      <c r="D105" s="2831" t="s">
        <v>2718</v>
      </c>
      <c r="E105" s="2857">
        <v>0.1</v>
      </c>
      <c r="F105" s="2857">
        <v>15</v>
      </c>
    </row>
    <row r="106" spans="1:6" ht="24">
      <c r="A106" s="2857">
        <v>34</v>
      </c>
      <c r="B106" s="3462"/>
      <c r="C106" s="2831" t="s">
        <v>2719</v>
      </c>
      <c r="D106" s="2831" t="s">
        <v>2720</v>
      </c>
      <c r="E106" s="2857">
        <v>0.1</v>
      </c>
      <c r="F106" s="2857">
        <v>15</v>
      </c>
    </row>
    <row r="107" spans="1:6" ht="36">
      <c r="A107" s="2857">
        <v>35</v>
      </c>
      <c r="B107" s="3461" t="s">
        <v>2721</v>
      </c>
      <c r="C107" s="2857" t="s">
        <v>2722</v>
      </c>
      <c r="D107" s="2831" t="s">
        <v>2723</v>
      </c>
      <c r="E107" s="2857">
        <v>0.15</v>
      </c>
      <c r="F107" s="2857">
        <v>20</v>
      </c>
    </row>
    <row r="108" spans="1:6" ht="24">
      <c r="A108" s="2857">
        <v>36</v>
      </c>
      <c r="B108" s="3463"/>
      <c r="C108" s="2857" t="s">
        <v>2724</v>
      </c>
      <c r="D108" s="2831" t="s">
        <v>2725</v>
      </c>
      <c r="E108" s="2857">
        <v>0.15</v>
      </c>
      <c r="F108" s="2857">
        <v>20</v>
      </c>
    </row>
    <row r="109" spans="1:6" ht="24">
      <c r="A109" s="2857">
        <v>37</v>
      </c>
      <c r="B109" s="3463"/>
      <c r="C109" s="2857" t="s">
        <v>2726</v>
      </c>
      <c r="D109" s="2831" t="s">
        <v>2727</v>
      </c>
      <c r="E109" s="2857">
        <v>0.15</v>
      </c>
      <c r="F109" s="2857">
        <v>20</v>
      </c>
    </row>
    <row r="110" spans="1:6" ht="24">
      <c r="A110" s="2857">
        <v>38</v>
      </c>
      <c r="B110" s="3463"/>
      <c r="C110" s="2857" t="s">
        <v>2728</v>
      </c>
      <c r="D110" s="2831" t="s">
        <v>2729</v>
      </c>
      <c r="E110" s="2857">
        <v>0.1</v>
      </c>
      <c r="F110" s="2857">
        <v>15</v>
      </c>
    </row>
    <row r="111" spans="1:6" ht="24">
      <c r="A111" s="2857">
        <v>39</v>
      </c>
      <c r="B111" s="3463"/>
      <c r="C111" s="2857" t="s">
        <v>2730</v>
      </c>
      <c r="D111" s="2831" t="s">
        <v>2731</v>
      </c>
      <c r="E111" s="2857">
        <v>0.1</v>
      </c>
      <c r="F111" s="2857">
        <v>15</v>
      </c>
    </row>
    <row r="112" spans="1:6" ht="24">
      <c r="A112" s="2857">
        <v>40</v>
      </c>
      <c r="B112" s="3462"/>
      <c r="C112" s="2857" t="s">
        <v>2732</v>
      </c>
      <c r="D112" s="2831" t="s">
        <v>2733</v>
      </c>
      <c r="E112" s="2857">
        <v>0.1</v>
      </c>
      <c r="F112" s="2857">
        <v>15</v>
      </c>
    </row>
    <row r="113" spans="1:6" ht="24">
      <c r="A113" s="2857">
        <v>41</v>
      </c>
      <c r="B113" s="3460" t="s">
        <v>2734</v>
      </c>
      <c r="C113" s="2857" t="s">
        <v>2735</v>
      </c>
      <c r="D113" s="2831" t="s">
        <v>2736</v>
      </c>
      <c r="E113" s="2857">
        <v>0.1</v>
      </c>
      <c r="F113" s="2857">
        <v>15</v>
      </c>
    </row>
    <row r="114" spans="1:6" ht="24">
      <c r="A114" s="2857">
        <v>42</v>
      </c>
      <c r="B114" s="3460"/>
      <c r="C114" s="2857" t="s">
        <v>2737</v>
      </c>
      <c r="D114" s="2831" t="s">
        <v>2738</v>
      </c>
      <c r="E114" s="2857">
        <v>0.1</v>
      </c>
      <c r="F114" s="2857">
        <v>15</v>
      </c>
    </row>
    <row r="115" spans="1:6" ht="24">
      <c r="A115" s="2857">
        <v>43</v>
      </c>
      <c r="B115" s="3460"/>
      <c r="C115" s="2857" t="s">
        <v>2739</v>
      </c>
      <c r="D115" s="2831" t="s">
        <v>2740</v>
      </c>
      <c r="E115" s="2857">
        <v>0.1</v>
      </c>
      <c r="F115" s="2857">
        <v>15</v>
      </c>
    </row>
    <row r="116" spans="1:6" ht="24">
      <c r="A116" s="2857">
        <v>44</v>
      </c>
      <c r="B116" s="3461" t="s">
        <v>2741</v>
      </c>
      <c r="C116" s="2857" t="s">
        <v>2742</v>
      </c>
      <c r="D116" s="2831" t="s">
        <v>2743</v>
      </c>
      <c r="E116" s="2857">
        <v>0.1</v>
      </c>
      <c r="F116" s="2857">
        <v>15</v>
      </c>
    </row>
    <row r="117" spans="1:6" ht="24">
      <c r="A117" s="2857">
        <v>45</v>
      </c>
      <c r="B117" s="3462"/>
      <c r="C117" s="2831" t="s">
        <v>2744</v>
      </c>
      <c r="D117" s="2831" t="s">
        <v>2745</v>
      </c>
      <c r="E117" s="2857">
        <v>0.1</v>
      </c>
      <c r="F117" s="2857">
        <v>15</v>
      </c>
    </row>
    <row r="118" spans="1:6" ht="24">
      <c r="A118" s="2857">
        <v>46</v>
      </c>
      <c r="B118" s="3461" t="s">
        <v>2746</v>
      </c>
      <c r="C118" s="2857" t="s">
        <v>2747</v>
      </c>
      <c r="D118" s="2831" t="s">
        <v>2748</v>
      </c>
      <c r="E118" s="2857">
        <v>0.1</v>
      </c>
      <c r="F118" s="2857">
        <v>15</v>
      </c>
    </row>
    <row r="119" spans="1:6" ht="24">
      <c r="A119" s="2857">
        <v>47</v>
      </c>
      <c r="B119" s="3462"/>
      <c r="C119" s="2857" t="s">
        <v>2749</v>
      </c>
      <c r="D119" s="2831" t="s">
        <v>2750</v>
      </c>
      <c r="E119" s="2857">
        <v>0.1</v>
      </c>
      <c r="F119" s="2857">
        <v>15</v>
      </c>
    </row>
    <row r="120" spans="1:6" ht="24">
      <c r="A120" s="2857">
        <v>48</v>
      </c>
      <c r="B120" s="3461" t="s">
        <v>2751</v>
      </c>
      <c r="C120" s="2857" t="s">
        <v>2752</v>
      </c>
      <c r="D120" s="2831" t="s">
        <v>2753</v>
      </c>
      <c r="E120" s="2857">
        <v>0.1</v>
      </c>
      <c r="F120" s="2857">
        <v>15</v>
      </c>
    </row>
    <row r="121" spans="1:6" ht="24">
      <c r="A121" s="2857">
        <v>49</v>
      </c>
      <c r="B121" s="3462"/>
      <c r="C121" s="2857" t="s">
        <v>2754</v>
      </c>
      <c r="D121" s="2831" t="s">
        <v>2755</v>
      </c>
      <c r="E121" s="2857">
        <v>0.1</v>
      </c>
      <c r="F121" s="2857">
        <v>15</v>
      </c>
    </row>
    <row r="122" spans="1:6" ht="24">
      <c r="A122" s="2857">
        <v>50</v>
      </c>
      <c r="B122" s="3460" t="s">
        <v>2756</v>
      </c>
      <c r="C122" s="2857" t="s">
        <v>2757</v>
      </c>
      <c r="D122" s="2831" t="s">
        <v>2758</v>
      </c>
      <c r="E122" s="2857">
        <v>0.1</v>
      </c>
      <c r="F122" s="2857">
        <v>15</v>
      </c>
    </row>
    <row r="123" spans="1:6" ht="24">
      <c r="A123" s="2857">
        <v>51</v>
      </c>
      <c r="B123" s="3460"/>
      <c r="C123" s="2857" t="s">
        <v>2759</v>
      </c>
      <c r="D123" s="2831" t="s">
        <v>2760</v>
      </c>
      <c r="E123" s="2857">
        <v>0.1</v>
      </c>
      <c r="F123" s="2857">
        <v>15</v>
      </c>
    </row>
    <row r="124" spans="1:6" ht="24">
      <c r="A124" s="2857">
        <v>52</v>
      </c>
      <c r="B124" s="3460" t="s">
        <v>2761</v>
      </c>
      <c r="C124" s="2857" t="s">
        <v>2762</v>
      </c>
      <c r="D124" s="2831" t="s">
        <v>2763</v>
      </c>
      <c r="E124" s="2857">
        <v>0.1</v>
      </c>
      <c r="F124" s="2857">
        <v>15</v>
      </c>
    </row>
    <row r="125" spans="1:6" ht="24">
      <c r="A125" s="2857">
        <v>53</v>
      </c>
      <c r="B125" s="3460"/>
      <c r="C125" s="2857" t="s">
        <v>2764</v>
      </c>
      <c r="D125" s="2831" t="s">
        <v>2765</v>
      </c>
      <c r="E125" s="2857">
        <v>0.1</v>
      </c>
      <c r="F125" s="2857">
        <v>15</v>
      </c>
    </row>
    <row r="126" spans="1:6" ht="24">
      <c r="A126" s="2857">
        <v>54</v>
      </c>
      <c r="B126" s="2857" t="s">
        <v>2766</v>
      </c>
      <c r="C126" s="2857" t="s">
        <v>2767</v>
      </c>
      <c r="D126" s="2831" t="s">
        <v>2768</v>
      </c>
      <c r="E126" s="2857">
        <v>0.1</v>
      </c>
      <c r="F126" s="2857">
        <v>15</v>
      </c>
    </row>
    <row r="127" spans="1:6" ht="24">
      <c r="A127" s="2857">
        <v>55</v>
      </c>
      <c r="B127" s="3460" t="s">
        <v>2769</v>
      </c>
      <c r="C127" s="2857" t="s">
        <v>2770</v>
      </c>
      <c r="D127" s="2831" t="s">
        <v>2771</v>
      </c>
      <c r="E127" s="2857">
        <v>0.1</v>
      </c>
      <c r="F127" s="2857">
        <v>15</v>
      </c>
    </row>
    <row r="128" spans="1:6" ht="24">
      <c r="A128" s="2857">
        <v>56</v>
      </c>
      <c r="B128" s="3460"/>
      <c r="C128" s="2857" t="s">
        <v>2772</v>
      </c>
      <c r="D128" s="2831" t="s">
        <v>2773</v>
      </c>
      <c r="E128" s="2857">
        <v>0.1</v>
      </c>
      <c r="F128" s="2857">
        <v>15</v>
      </c>
    </row>
    <row r="129" spans="1:6" ht="24">
      <c r="A129" s="2857">
        <v>57</v>
      </c>
      <c r="B129" s="3460"/>
      <c r="C129" s="2857" t="s">
        <v>2774</v>
      </c>
      <c r="D129" s="2831" t="s">
        <v>2775</v>
      </c>
      <c r="E129" s="2857">
        <v>0.1</v>
      </c>
      <c r="F129" s="2857">
        <v>15</v>
      </c>
    </row>
    <row r="130" spans="1:6" ht="24">
      <c r="A130" s="2857">
        <v>58</v>
      </c>
      <c r="B130" s="3460" t="s">
        <v>2776</v>
      </c>
      <c r="C130" s="2857" t="s">
        <v>2777</v>
      </c>
      <c r="D130" s="2831" t="s">
        <v>2778</v>
      </c>
      <c r="E130" s="2857">
        <v>0.1</v>
      </c>
      <c r="F130" s="2857">
        <v>15</v>
      </c>
    </row>
    <row r="131" spans="1:6" ht="24">
      <c r="A131" s="2857">
        <v>59</v>
      </c>
      <c r="B131" s="3460"/>
      <c r="C131" s="2857" t="s">
        <v>2779</v>
      </c>
      <c r="D131" s="2831" t="s">
        <v>2780</v>
      </c>
      <c r="E131" s="2857">
        <v>0.1</v>
      </c>
      <c r="F131" s="2857">
        <v>15</v>
      </c>
    </row>
    <row r="132" spans="1:6" ht="24">
      <c r="A132" s="2857">
        <v>60</v>
      </c>
      <c r="B132" s="3461" t="s">
        <v>2781</v>
      </c>
      <c r="C132" s="2857" t="s">
        <v>2782</v>
      </c>
      <c r="D132" s="2831" t="s">
        <v>2783</v>
      </c>
      <c r="E132" s="2857">
        <v>0.1</v>
      </c>
      <c r="F132" s="2857">
        <v>15</v>
      </c>
    </row>
    <row r="133" spans="1:6" ht="24">
      <c r="A133" s="2857">
        <v>61</v>
      </c>
      <c r="B133" s="3462"/>
      <c r="C133" s="2857" t="s">
        <v>2784</v>
      </c>
      <c r="D133" s="2831" t="s">
        <v>2785</v>
      </c>
      <c r="E133" s="2857">
        <v>0.1</v>
      </c>
      <c r="F133" s="2857">
        <v>15</v>
      </c>
    </row>
    <row r="134" spans="1:6" ht="24">
      <c r="A134" s="2857">
        <v>62</v>
      </c>
      <c r="B134" s="2857" t="s">
        <v>2786</v>
      </c>
      <c r="C134" s="2857" t="s">
        <v>2787</v>
      </c>
      <c r="D134" s="2831" t="s">
        <v>2788</v>
      </c>
      <c r="E134" s="2857">
        <v>0.1</v>
      </c>
      <c r="F134" s="2857">
        <v>15</v>
      </c>
    </row>
    <row r="135" spans="1:6" ht="24">
      <c r="A135" s="2857">
        <v>63</v>
      </c>
      <c r="B135" s="3460" t="s">
        <v>2789</v>
      </c>
      <c r="C135" s="2857" t="s">
        <v>2790</v>
      </c>
      <c r="D135" s="2831" t="s">
        <v>2791</v>
      </c>
      <c r="E135" s="2857">
        <v>0.1</v>
      </c>
      <c r="F135" s="2857">
        <v>15</v>
      </c>
    </row>
    <row r="136" spans="1:6" ht="24">
      <c r="A136" s="2857">
        <v>64</v>
      </c>
      <c r="B136" s="3460"/>
      <c r="C136" s="2857" t="s">
        <v>2792</v>
      </c>
      <c r="D136" s="2831" t="s">
        <v>2793</v>
      </c>
      <c r="E136" s="2857">
        <v>0.1</v>
      </c>
      <c r="F136" s="2857">
        <v>15</v>
      </c>
    </row>
    <row r="137" spans="1:6" ht="24">
      <c r="A137" s="2857">
        <v>65</v>
      </c>
      <c r="B137" s="2857" t="s">
        <v>2794</v>
      </c>
      <c r="C137" s="2857" t="s">
        <v>2795</v>
      </c>
      <c r="D137" s="2831" t="s">
        <v>2796</v>
      </c>
      <c r="E137" s="2857">
        <v>0.1</v>
      </c>
      <c r="F137" s="2857">
        <v>15</v>
      </c>
    </row>
    <row r="138" spans="1:6" ht="14.4">
      <c r="A138" s="2857"/>
      <c r="B138" s="2857"/>
      <c r="C138" s="2857"/>
      <c r="D138" s="2857"/>
      <c r="E138" s="2857" t="s">
        <v>2797</v>
      </c>
      <c r="F138" s="2857"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4.4"/>
  <cols>
    <col min="1" max="13" width="9" style="2879"/>
  </cols>
  <sheetData>
    <row r="1" spans="1:20" ht="16.2" thickBot="1">
      <c r="A1" s="2865" t="s">
        <v>2798</v>
      </c>
      <c r="B1" s="2865"/>
      <c r="C1" s="2865"/>
      <c r="D1" s="2865"/>
      <c r="E1" s="2865"/>
      <c r="F1" s="2865"/>
      <c r="G1" s="2865"/>
      <c r="H1" s="2865"/>
      <c r="I1" s="2865"/>
      <c r="J1" s="2865"/>
      <c r="K1" s="2865"/>
      <c r="L1" s="2865"/>
      <c r="M1" s="2865"/>
      <c r="N1" s="707"/>
    </row>
    <row r="2" spans="1:20">
      <c r="A2" s="2866" t="s">
        <v>2799</v>
      </c>
      <c r="B2" s="2867" t="s">
        <v>2595</v>
      </c>
      <c r="C2" s="2867" t="s">
        <v>2596</v>
      </c>
      <c r="D2" s="2867" t="s">
        <v>2597</v>
      </c>
      <c r="E2" s="2867" t="s">
        <v>2598</v>
      </c>
      <c r="F2" s="2867" t="s">
        <v>2599</v>
      </c>
      <c r="G2" s="2867" t="s">
        <v>2600</v>
      </c>
      <c r="H2" s="2868" t="s">
        <v>2601</v>
      </c>
      <c r="I2" s="2868" t="s">
        <v>2602</v>
      </c>
      <c r="J2" s="2869" t="s">
        <v>2603</v>
      </c>
      <c r="K2" s="2869" t="s">
        <v>2604</v>
      </c>
      <c r="L2" s="2869" t="s">
        <v>2605</v>
      </c>
      <c r="M2" s="2870" t="s">
        <v>2606</v>
      </c>
      <c r="Q2" s="2880" t="s">
        <v>2804</v>
      </c>
      <c r="R2" s="2880" t="s">
        <v>2805</v>
      </c>
      <c r="S2" s="2880" t="s">
        <v>2806</v>
      </c>
      <c r="T2" s="2880" t="s">
        <v>2807</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6.2" thickBot="1">
      <c r="A93" s="2865" t="s">
        <v>2800</v>
      </c>
      <c r="B93" s="2865"/>
      <c r="C93" s="2865"/>
      <c r="D93" s="2865"/>
      <c r="E93" s="2865"/>
      <c r="F93" s="2865"/>
      <c r="G93" s="2865"/>
      <c r="H93" s="2865"/>
      <c r="I93" s="2865"/>
      <c r="J93" s="2865"/>
      <c r="K93" s="2865"/>
      <c r="L93" s="2865"/>
      <c r="M93" s="2865"/>
    </row>
    <row r="94" spans="1:20">
      <c r="A94" s="2866" t="s">
        <v>2799</v>
      </c>
      <c r="B94" s="2867" t="s">
        <v>2595</v>
      </c>
      <c r="C94" s="2867" t="s">
        <v>2596</v>
      </c>
      <c r="D94" s="2867" t="s">
        <v>2597</v>
      </c>
      <c r="E94" s="2867" t="s">
        <v>2598</v>
      </c>
      <c r="F94" s="2867" t="s">
        <v>2599</v>
      </c>
      <c r="G94" s="2867" t="s">
        <v>2600</v>
      </c>
      <c r="H94" s="2868" t="s">
        <v>2601</v>
      </c>
      <c r="I94" s="2868" t="s">
        <v>2602</v>
      </c>
      <c r="J94" s="2869" t="s">
        <v>2603</v>
      </c>
      <c r="K94" s="2869" t="s">
        <v>2604</v>
      </c>
      <c r="L94" s="2869" t="s">
        <v>2605</v>
      </c>
      <c r="M94" s="2870" t="s">
        <v>2606</v>
      </c>
      <c r="N94">
        <f>SUMPRODUCT((A95:A184=ROUNDDOWN(基准地价修正!G3,1))*(B94:M94=基准地价修正!G2)*(B95:M184))</f>
        <v>1.0089999999999999</v>
      </c>
      <c r="Q94" s="2880" t="s">
        <v>2804</v>
      </c>
      <c r="R94" s="2880" t="s">
        <v>2805</v>
      </c>
      <c r="S94" s="2880" t="s">
        <v>2806</v>
      </c>
      <c r="T94" s="2880" t="s">
        <v>2807</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5.6">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5.6">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6.2" thickBot="1">
      <c r="A185" s="2865" t="s">
        <v>2801</v>
      </c>
      <c r="B185" s="2865"/>
      <c r="C185" s="2865"/>
      <c r="D185" s="2865"/>
      <c r="E185" s="2865"/>
      <c r="F185" s="2865"/>
      <c r="G185" s="2865"/>
      <c r="H185" s="2865"/>
      <c r="I185" s="2865"/>
      <c r="J185" s="2865"/>
      <c r="K185" s="2865"/>
      <c r="L185" s="2865"/>
      <c r="M185" s="2865"/>
    </row>
    <row r="186" spans="1:20">
      <c r="A186" s="2866" t="s">
        <v>2799</v>
      </c>
      <c r="B186" s="2867" t="s">
        <v>2595</v>
      </c>
      <c r="C186" s="2867" t="s">
        <v>2596</v>
      </c>
      <c r="D186" s="2867" t="s">
        <v>2597</v>
      </c>
      <c r="E186" s="2867" t="s">
        <v>2598</v>
      </c>
      <c r="F186" s="2867" t="s">
        <v>2599</v>
      </c>
      <c r="G186" s="2867" t="s">
        <v>2600</v>
      </c>
      <c r="H186" s="2868" t="s">
        <v>2601</v>
      </c>
      <c r="I186" s="2868" t="s">
        <v>2602</v>
      </c>
      <c r="J186" s="2869" t="s">
        <v>2603</v>
      </c>
      <c r="K186" s="2869" t="s">
        <v>2604</v>
      </c>
      <c r="L186" s="2869" t="s">
        <v>2605</v>
      </c>
      <c r="M186" s="2870" t="s">
        <v>2606</v>
      </c>
      <c r="Q186" s="2880" t="s">
        <v>2804</v>
      </c>
      <c r="R186" s="2880" t="s">
        <v>2805</v>
      </c>
      <c r="S186" s="2880" t="s">
        <v>2806</v>
      </c>
      <c r="T186" s="2880" t="s">
        <v>2807</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6.2" thickBot="1">
      <c r="A277" s="2865" t="s">
        <v>2802</v>
      </c>
      <c r="B277" s="2865"/>
      <c r="C277" s="2865"/>
      <c r="D277" s="2865"/>
      <c r="E277" s="2865"/>
      <c r="F277" s="2865"/>
      <c r="G277" s="2865"/>
      <c r="H277" s="2865"/>
      <c r="I277" s="2865"/>
      <c r="J277" s="2865"/>
      <c r="K277" s="2865"/>
      <c r="L277" s="2865"/>
      <c r="M277" s="2865"/>
    </row>
    <row r="278" spans="1:21">
      <c r="A278" s="2866" t="s">
        <v>2799</v>
      </c>
      <c r="B278" s="2867" t="s">
        <v>2595</v>
      </c>
      <c r="C278" s="2867" t="s">
        <v>2596</v>
      </c>
      <c r="D278" s="2867" t="s">
        <v>2597</v>
      </c>
      <c r="E278" s="2867" t="s">
        <v>2598</v>
      </c>
      <c r="F278" s="2867" t="s">
        <v>2599</v>
      </c>
      <c r="G278" s="2867" t="s">
        <v>2600</v>
      </c>
      <c r="H278" s="2868" t="s">
        <v>2601</v>
      </c>
      <c r="I278" s="2868" t="s">
        <v>2602</v>
      </c>
      <c r="J278" s="2869" t="s">
        <v>2603</v>
      </c>
      <c r="K278" s="2869" t="s">
        <v>2604</v>
      </c>
      <c r="L278" s="2869" t="s">
        <v>2605</v>
      </c>
      <c r="M278" s="2870" t="s">
        <v>2606</v>
      </c>
      <c r="Q278" s="2880" t="s">
        <v>2804</v>
      </c>
      <c r="R278" s="2880" t="s">
        <v>2805</v>
      </c>
      <c r="S278" s="2880" t="s">
        <v>2808</v>
      </c>
      <c r="T278" s="2880" t="s">
        <v>2809</v>
      </c>
      <c r="U278" s="2880" t="s">
        <v>2807</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6.2" thickBot="1">
      <c r="A369" s="2865" t="s">
        <v>2803</v>
      </c>
      <c r="B369" s="2878"/>
      <c r="C369" s="2878"/>
      <c r="D369" s="2878"/>
      <c r="E369" s="2878"/>
      <c r="F369" s="2878"/>
      <c r="G369" s="2878"/>
      <c r="H369" s="2878"/>
      <c r="I369" s="2878"/>
      <c r="J369" s="2878"/>
      <c r="K369" s="2878"/>
      <c r="L369" s="2878"/>
      <c r="M369" s="2878"/>
    </row>
    <row r="370" spans="1:20">
      <c r="A370" s="2866" t="s">
        <v>2799</v>
      </c>
      <c r="B370" s="2867" t="s">
        <v>2595</v>
      </c>
      <c r="C370" s="2867" t="s">
        <v>2596</v>
      </c>
      <c r="D370" s="2867" t="s">
        <v>2597</v>
      </c>
      <c r="E370" s="2867" t="s">
        <v>2598</v>
      </c>
      <c r="F370" s="2867" t="s">
        <v>2599</v>
      </c>
      <c r="G370" s="2867" t="s">
        <v>2600</v>
      </c>
      <c r="H370" s="2868" t="s">
        <v>2601</v>
      </c>
      <c r="I370" s="2868" t="s">
        <v>2602</v>
      </c>
      <c r="J370" s="2869" t="s">
        <v>2603</v>
      </c>
      <c r="K370" s="2869" t="s">
        <v>2604</v>
      </c>
      <c r="L370" s="2869" t="s">
        <v>2605</v>
      </c>
      <c r="M370" s="2870" t="s">
        <v>2606</v>
      </c>
      <c r="N370">
        <f>SUMPRODUCT((A371:A460=ROUNDDOWN(基准地价修正!G3,1))*(B370:M370=基准地价修正!G2)*(B371:M460))</f>
        <v>0.95979999999999999</v>
      </c>
      <c r="Q370" s="2880" t="s">
        <v>2804</v>
      </c>
      <c r="R370" s="2880" t="s">
        <v>2805</v>
      </c>
      <c r="S370" s="2880" t="s">
        <v>2806</v>
      </c>
      <c r="T370" s="2880" t="s">
        <v>2807</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44040</v>
      </c>
      <c r="C2" s="2" t="s">
        <v>106</v>
      </c>
      <c r="D2" s="191"/>
      <c r="E2" s="191"/>
      <c r="F2" s="191"/>
      <c r="G2" s="191"/>
    </row>
    <row r="3" spans="1:7" s="192" customFormat="1" ht="18" customHeight="1" thickBot="1">
      <c r="A3" s="195" t="s">
        <v>58</v>
      </c>
      <c r="B3" s="196">
        <f ca="1">ROUND(B2*10000/'数据-汇总表'!E3,0)</f>
        <v>25227</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349</v>
      </c>
      <c r="D10" s="795">
        <f>'数据-汇总表'!E6</f>
        <v>17457.32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349</v>
      </c>
      <c r="D19" s="204">
        <f>'数据-汇总表'!E3</f>
        <v>17457.32</v>
      </c>
      <c r="E19" s="203">
        <f>'数据-取费表'!B31</f>
        <v>200</v>
      </c>
      <c r="F19" s="223"/>
      <c r="G19" s="1" t="s">
        <v>436</v>
      </c>
    </row>
    <row r="20" spans="1:7" s="206" customFormat="1" ht="13.5" customHeight="1">
      <c r="A20" s="731" t="s">
        <v>419</v>
      </c>
      <c r="B20" s="202" t="s">
        <v>77</v>
      </c>
      <c r="C20" s="224">
        <f>ROUND((C5+C19)*F20,0)</f>
        <v>524</v>
      </c>
      <c r="D20" s="224"/>
      <c r="E20" s="224"/>
      <c r="F20" s="225">
        <f>'数据-取费表'!B37</f>
        <v>2.5000000000000001E-2</v>
      </c>
      <c r="G20" s="1004" t="s">
        <v>430</v>
      </c>
    </row>
    <row r="21" spans="1:7" s="206" customFormat="1" ht="13.5" customHeight="1">
      <c r="A21" s="731" t="s">
        <v>421</v>
      </c>
      <c r="B21" s="202" t="s">
        <v>78</v>
      </c>
      <c r="C21" s="227">
        <f>F21</f>
        <v>2.5000000000000001E-2</v>
      </c>
      <c r="D21" s="228" t="s">
        <v>99</v>
      </c>
      <c r="E21" s="224"/>
      <c r="F21" s="225">
        <f>'数据-取费表'!B38</f>
        <v>2.5000000000000001E-2</v>
      </c>
      <c r="G21" s="226" t="s">
        <v>79</v>
      </c>
    </row>
    <row r="22" spans="1:7" s="206" customFormat="1" ht="13.5" customHeight="1">
      <c r="A22" s="731" t="s">
        <v>341</v>
      </c>
      <c r="B22" s="202" t="s">
        <v>80</v>
      </c>
      <c r="C22" s="1041">
        <f ca="1">ROUND(SUM(C23:C25),0)</f>
        <v>1822</v>
      </c>
      <c r="D22" s="227">
        <f ca="1">C26</f>
        <v>1.1000000000000001E-3</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1770</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30</v>
      </c>
      <c r="D24" s="230"/>
      <c r="E24" s="230"/>
      <c r="F24" s="231"/>
      <c r="G24" s="232" t="s">
        <v>82</v>
      </c>
    </row>
    <row r="25" spans="1:7" s="206" customFormat="1" ht="24">
      <c r="A25" s="734" t="s">
        <v>348</v>
      </c>
      <c r="B25" s="207" t="s">
        <v>420</v>
      </c>
      <c r="C25" s="1042">
        <f ca="1">ROUND(IF('数据-取费表'!B22&lt;=1,C20*F22*'数据-取费表'!B23/2,C20*(POWER((1+F22),'数据-取费表'!B23/2)-1)),0)</f>
        <v>22</v>
      </c>
      <c r="D25" s="230"/>
      <c r="E25" s="233"/>
      <c r="F25" s="231"/>
      <c r="G25" s="234" t="s">
        <v>83</v>
      </c>
    </row>
    <row r="26" spans="1:7" s="206" customFormat="1">
      <c r="A26" s="734" t="s">
        <v>350</v>
      </c>
      <c r="B26" s="207" t="s">
        <v>422</v>
      </c>
      <c r="C26" s="230">
        <f ca="1">ROUND(IF('数据-取费表'!B22&lt;=1,F21*F22*'数据-取费表'!B23/2,F21*(POWER((1+F22),'数据-取费表'!B23/2)-1)),4)</f>
        <v>1.1000000000000001E-3</v>
      </c>
      <c r="D26" s="230"/>
      <c r="E26" s="233"/>
      <c r="F26" s="231"/>
      <c r="G26" s="235"/>
    </row>
    <row r="27" spans="1:7" s="206" customFormat="1" ht="26.4">
      <c r="A27" s="731" t="s">
        <v>342</v>
      </c>
      <c r="B27" s="236" t="s">
        <v>85</v>
      </c>
      <c r="C27" s="237">
        <f>C28</f>
        <v>4297</v>
      </c>
      <c r="D27" s="227">
        <f>C29</f>
        <v>5.0000000000000001E-3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4297</v>
      </c>
      <c r="D28" s="227"/>
      <c r="E28" s="228"/>
      <c r="F28" s="238"/>
      <c r="G28" s="239"/>
    </row>
    <row r="29" spans="1:7" s="206" customFormat="1" ht="13.5" customHeight="1">
      <c r="A29" s="734" t="s">
        <v>347</v>
      </c>
      <c r="B29" s="240" t="s">
        <v>425</v>
      </c>
      <c r="C29" s="230">
        <f>ROUND(C21*F27*'数据-取费表'!B21/'数据-取费表'!B20,4)</f>
        <v>5.0000000000000001E-3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30147</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12490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11347</v>
      </c>
      <c r="D34" s="209"/>
      <c r="E34" s="212"/>
      <c r="F34" s="249">
        <f>IF('数据-取费表'!B24=0,1,'数据-取费表'!N16)</f>
        <v>1</v>
      </c>
      <c r="G34" s="211" t="s">
        <v>89</v>
      </c>
    </row>
    <row r="35" spans="1:7" ht="13.5" customHeight="1">
      <c r="A35" s="734" t="s">
        <v>351</v>
      </c>
      <c r="B35" s="207" t="s">
        <v>33</v>
      </c>
      <c r="C35" s="212">
        <f>ROUND(C34*F35,0)</f>
        <v>567</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349</v>
      </c>
      <c r="D37" s="209">
        <f>'数据-汇总表'!E3</f>
        <v>17457.32</v>
      </c>
      <c r="E37" s="241">
        <f>'数据-取费表'!B35</f>
        <v>200</v>
      </c>
      <c r="F37" s="251"/>
      <c r="G37" s="253" t="s">
        <v>92</v>
      </c>
    </row>
    <row r="38" spans="1:7" ht="13.5" customHeight="1">
      <c r="A38" s="734" t="s">
        <v>354</v>
      </c>
      <c r="B38" s="207" t="s">
        <v>36</v>
      </c>
      <c r="C38" s="212">
        <f>ROUND(C34*F38,0)</f>
        <v>227</v>
      </c>
      <c r="D38" s="212"/>
      <c r="E38" s="212"/>
      <c r="F38" s="251">
        <f>'数据-取费表'!B36</f>
        <v>0.02</v>
      </c>
      <c r="G38" s="211" t="s">
        <v>90</v>
      </c>
    </row>
    <row r="39" spans="1:7" s="206" customFormat="1" ht="13.5" customHeight="1">
      <c r="A39" s="731" t="s">
        <v>338</v>
      </c>
      <c r="B39" s="202" t="s">
        <v>77</v>
      </c>
      <c r="C39" s="224">
        <f>ROUND(C33*F20,0)</f>
        <v>312</v>
      </c>
      <c r="D39" s="224"/>
      <c r="E39" s="224"/>
      <c r="F39" s="225"/>
      <c r="G39" s="1004" t="s">
        <v>433</v>
      </c>
    </row>
    <row r="40" spans="1:7" s="206" customFormat="1" ht="13.5" customHeight="1">
      <c r="A40" s="731" t="s">
        <v>339</v>
      </c>
      <c r="B40" s="202" t="s">
        <v>78</v>
      </c>
      <c r="C40" s="254">
        <f>F21</f>
        <v>2.5000000000000001E-2</v>
      </c>
      <c r="D40" s="228" t="s">
        <v>102</v>
      </c>
      <c r="E40" s="224"/>
      <c r="F40" s="225"/>
      <c r="G40" s="226" t="s">
        <v>93</v>
      </c>
    </row>
    <row r="41" spans="1:7" s="206" customFormat="1" ht="13.5" customHeight="1">
      <c r="A41" s="731" t="s">
        <v>340</v>
      </c>
      <c r="B41" s="202" t="s">
        <v>80</v>
      </c>
      <c r="C41" s="224">
        <f ca="1">ROUND(SUM(C42:C43),0)</f>
        <v>538</v>
      </c>
      <c r="D41" s="227">
        <f ca="1">C44</f>
        <v>1.1000000000000001E-3</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525</v>
      </c>
      <c r="D42" s="230"/>
      <c r="E42" s="230"/>
      <c r="F42" s="231"/>
      <c r="G42" s="3398" t="s">
        <v>94</v>
      </c>
    </row>
    <row r="43" spans="1:7" ht="13.5" customHeight="1">
      <c r="A43" s="734" t="s">
        <v>347</v>
      </c>
      <c r="B43" s="207" t="s">
        <v>426</v>
      </c>
      <c r="C43" s="230">
        <f ca="1">ROUND(IF('数据-取费表'!B22&lt;=1,C39*F22*'数据-取费表'!B21/2,C39*(POWER((1+F22),'数据-取费表'!B21/2)-1)),0)</f>
        <v>13</v>
      </c>
      <c r="D43" s="230"/>
      <c r="E43" s="230"/>
      <c r="F43" s="231"/>
      <c r="G43" s="3399"/>
    </row>
    <row r="44" spans="1:7" ht="13.5" customHeight="1">
      <c r="A44" s="734" t="s">
        <v>348</v>
      </c>
      <c r="B44" s="207" t="s">
        <v>428</v>
      </c>
      <c r="C44" s="230">
        <f ca="1">ROUND(IF('数据-取费表'!B22&lt;=1,C40*F22*'数据-取费表'!B21/2,C40*(POWER((1+F22),'数据-取费表'!B21/2)-1)),4)</f>
        <v>1.1000000000000001E-3</v>
      </c>
      <c r="D44" s="230"/>
      <c r="E44" s="230"/>
      <c r="F44" s="231"/>
      <c r="G44" s="3400"/>
    </row>
    <row r="45" spans="1:7" s="206" customFormat="1" ht="13.5" customHeight="1">
      <c r="A45" s="731" t="s">
        <v>341</v>
      </c>
      <c r="B45" s="236" t="s">
        <v>85</v>
      </c>
      <c r="C45" s="237">
        <f>C46</f>
        <v>2560</v>
      </c>
      <c r="D45" s="227">
        <f>C47</f>
        <v>5.0000000000000001E-3</v>
      </c>
      <c r="E45" s="228" t="s">
        <v>102</v>
      </c>
      <c r="F45" s="238"/>
      <c r="G45" s="239" t="s">
        <v>434</v>
      </c>
    </row>
    <row r="46" spans="1:7" s="206" customFormat="1" ht="13.5" customHeight="1">
      <c r="A46" s="734" t="s">
        <v>349</v>
      </c>
      <c r="B46" s="240" t="s">
        <v>427</v>
      </c>
      <c r="C46" s="241">
        <f>ROUND((C33+C39)*F27,0)</f>
        <v>2560</v>
      </c>
      <c r="D46" s="255"/>
      <c r="E46" s="228"/>
      <c r="F46" s="238"/>
      <c r="G46" s="239"/>
    </row>
    <row r="47" spans="1:7" s="206" customFormat="1" ht="13.5" customHeight="1">
      <c r="A47" s="734" t="s">
        <v>347</v>
      </c>
      <c r="B47" s="240" t="s">
        <v>429</v>
      </c>
      <c r="C47" s="230">
        <f>ROUND(C40*F27,4)</f>
        <v>5.0000000000000001E-3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17366</v>
      </c>
      <c r="D49" s="224"/>
      <c r="E49" s="224"/>
      <c r="F49" s="256"/>
      <c r="G49" s="226" t="s">
        <v>435</v>
      </c>
    </row>
    <row r="50" spans="1:7" s="250" customFormat="1" ht="24">
      <c r="A50" s="731" t="s">
        <v>344</v>
      </c>
      <c r="B50" s="202" t="s">
        <v>97</v>
      </c>
      <c r="C50" s="224"/>
      <c r="D50" s="224"/>
      <c r="E50" s="224"/>
      <c r="F50" s="256">
        <f>IF('数据-取费表'!B24=0,'数据-取费表'!N16,1)</f>
        <v>0.8</v>
      </c>
      <c r="G50" s="239" t="s">
        <v>98</v>
      </c>
    </row>
    <row r="51" spans="1:7" ht="16.5" customHeight="1">
      <c r="A51" s="731" t="s">
        <v>345</v>
      </c>
      <c r="B51" s="202" t="s">
        <v>105</v>
      </c>
      <c r="C51" s="224">
        <f ca="1">ROUND(C49*F50,0)</f>
        <v>13893</v>
      </c>
      <c r="D51" s="224"/>
      <c r="E51" s="224"/>
      <c r="F51" s="256"/>
      <c r="G51" s="226" t="s">
        <v>37</v>
      </c>
    </row>
    <row r="52" spans="1:7" s="200" customFormat="1" ht="16.8" thickBot="1">
      <c r="A52" s="257" t="s">
        <v>38</v>
      </c>
      <c r="B52" s="258"/>
      <c r="C52" s="259">
        <f ca="1">C31+C51</f>
        <v>44040</v>
      </c>
      <c r="D52" s="258"/>
      <c r="E52" s="258"/>
      <c r="F52" s="258"/>
      <c r="G52" s="260"/>
    </row>
    <row r="55" spans="1:7" ht="15">
      <c r="B55" s="262" t="s">
        <v>39</v>
      </c>
      <c r="C55" s="263"/>
    </row>
    <row r="56" spans="1:7">
      <c r="B56" s="265" t="s">
        <v>40</v>
      </c>
      <c r="C56" s="266">
        <f ca="1">ROUND(C51/C52,3)</f>
        <v>0.315</v>
      </c>
    </row>
    <row r="57" spans="1:7">
      <c r="B57" s="265" t="s">
        <v>41</v>
      </c>
      <c r="C57" s="267">
        <f ca="1">1-C56</f>
        <v>0.68500000000000005</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8671875" defaultRowHeight="10.8"/>
  <cols>
    <col min="1" max="1" width="9.6640625" style="2782" customWidth="1"/>
    <col min="2" max="2" width="18.6640625" style="2782" customWidth="1"/>
    <col min="3" max="6" width="10.21875" style="2782" customWidth="1"/>
    <col min="7" max="7" width="10.44140625" style="2782" bestFit="1" customWidth="1"/>
    <col min="8" max="8" width="8.88671875" style="2781"/>
    <col min="9" max="9" width="13.33203125" style="2781" customWidth="1"/>
    <col min="10" max="13" width="13.33203125" style="2782" customWidth="1"/>
    <col min="14" max="14" width="18.21875" style="2782" customWidth="1"/>
    <col min="15" max="17" width="15.109375" style="2782" customWidth="1"/>
    <col min="18" max="20" width="11.44140625" style="2782" customWidth="1"/>
    <col min="21" max="16384" width="8.88671875" style="2782"/>
  </cols>
  <sheetData>
    <row r="1" spans="1:20" ht="11.4" thickBot="1">
      <c r="A1" s="3474" t="s">
        <v>2839</v>
      </c>
      <c r="B1" s="3474"/>
      <c r="C1" s="3474"/>
      <c r="D1" s="3474"/>
      <c r="E1" s="3474"/>
      <c r="F1" s="3474"/>
      <c r="G1" s="3475"/>
      <c r="I1" s="2938" t="s">
        <v>2840</v>
      </c>
      <c r="J1" s="2939" t="s">
        <v>2841</v>
      </c>
      <c r="K1" s="2939" t="s">
        <v>2842</v>
      </c>
      <c r="L1" s="2939" t="s">
        <v>2843</v>
      </c>
      <c r="M1" s="2939" t="s">
        <v>2844</v>
      </c>
      <c r="N1" s="2939" t="s">
        <v>2845</v>
      </c>
      <c r="O1" s="2939" t="s">
        <v>2846</v>
      </c>
      <c r="P1" s="2939" t="s">
        <v>2847</v>
      </c>
      <c r="Q1" s="2939" t="s">
        <v>2848</v>
      </c>
      <c r="R1" s="2939" t="s">
        <v>2849</v>
      </c>
      <c r="S1" s="2939" t="s">
        <v>2850</v>
      </c>
      <c r="T1" s="2940" t="s">
        <v>2851</v>
      </c>
    </row>
    <row r="2" spans="1:20" ht="11.4" thickBot="1">
      <c r="A2" s="2941" t="s">
        <v>2852</v>
      </c>
      <c r="B2" s="2941"/>
      <c r="C2" s="2941"/>
      <c r="D2" s="2941"/>
      <c r="E2" s="2941"/>
      <c r="F2" s="2941"/>
      <c r="G2" s="2942" t="s">
        <v>2853</v>
      </c>
      <c r="I2" s="2943" t="s">
        <v>2854</v>
      </c>
      <c r="J2" s="2943" t="s">
        <v>2855</v>
      </c>
      <c r="K2" s="2943" t="s">
        <v>2856</v>
      </c>
      <c r="L2" s="2943" t="s">
        <v>2857</v>
      </c>
      <c r="M2" s="2943" t="s">
        <v>2858</v>
      </c>
      <c r="N2" s="2943" t="s">
        <v>2859</v>
      </c>
      <c r="O2" s="2943" t="s">
        <v>2860</v>
      </c>
      <c r="P2" s="2943" t="s">
        <v>2861</v>
      </c>
      <c r="Q2" s="2943" t="s">
        <v>2862</v>
      </c>
      <c r="R2" s="2943" t="s">
        <v>2863</v>
      </c>
      <c r="S2" s="2943" t="s">
        <v>2864</v>
      </c>
      <c r="T2" s="2943" t="s">
        <v>2865</v>
      </c>
    </row>
    <row r="3" spans="1:20" s="2949" customFormat="1">
      <c r="A3" s="3472" t="s">
        <v>2866</v>
      </c>
      <c r="B3" s="2944"/>
      <c r="C3" s="2945" t="s">
        <v>2811</v>
      </c>
      <c r="D3" s="2945" t="s">
        <v>2867</v>
      </c>
      <c r="E3" s="2945" t="s">
        <v>2813</v>
      </c>
      <c r="F3" s="2945" t="s">
        <v>2868</v>
      </c>
      <c r="G3" s="2945" t="s">
        <v>2631</v>
      </c>
      <c r="H3" s="2946"/>
      <c r="I3" s="2947" t="s">
        <v>2869</v>
      </c>
      <c r="J3" s="2948" t="s">
        <v>128</v>
      </c>
      <c r="K3" s="2948" t="s">
        <v>129</v>
      </c>
      <c r="L3" s="2947" t="s">
        <v>130</v>
      </c>
      <c r="M3" s="2947" t="s">
        <v>131</v>
      </c>
      <c r="N3" s="2947" t="s">
        <v>132</v>
      </c>
      <c r="O3" s="2947" t="s">
        <v>133</v>
      </c>
      <c r="P3" s="2947" t="s">
        <v>134</v>
      </c>
      <c r="Q3" s="2947" t="s">
        <v>135</v>
      </c>
      <c r="R3" s="2947" t="s">
        <v>136</v>
      </c>
      <c r="S3" s="2947" t="s">
        <v>2870</v>
      </c>
      <c r="T3" s="2947" t="s">
        <v>2871</v>
      </c>
    </row>
    <row r="4" spans="1:20" s="2949" customFormat="1" ht="11.4" thickBot="1">
      <c r="A4" s="3473"/>
      <c r="B4" s="2950" t="s">
        <v>2872</v>
      </c>
      <c r="C4" s="2950" t="s">
        <v>2873</v>
      </c>
      <c r="D4" s="2950" t="s">
        <v>2873</v>
      </c>
      <c r="E4" s="2950" t="s">
        <v>2873</v>
      </c>
      <c r="F4" s="2951" t="s">
        <v>2873</v>
      </c>
      <c r="G4" s="2951" t="s">
        <v>2873</v>
      </c>
      <c r="H4" s="2946"/>
      <c r="I4" s="2948" t="s">
        <v>137</v>
      </c>
      <c r="J4" s="2948" t="s">
        <v>111</v>
      </c>
      <c r="K4" s="2948" t="s">
        <v>138</v>
      </c>
      <c r="L4" s="2947" t="s">
        <v>139</v>
      </c>
      <c r="M4" s="2947" t="s">
        <v>140</v>
      </c>
      <c r="N4" s="2947" t="s">
        <v>141</v>
      </c>
      <c r="O4" s="2947" t="s">
        <v>142</v>
      </c>
      <c r="P4" s="2947" t="s">
        <v>143</v>
      </c>
      <c r="Q4" s="2947" t="s">
        <v>2874</v>
      </c>
      <c r="R4" s="2947" t="s">
        <v>2875</v>
      </c>
      <c r="S4" s="2947" t="s">
        <v>2876</v>
      </c>
      <c r="T4" s="2947" t="s">
        <v>2877</v>
      </c>
    </row>
    <row r="5" spans="1:20">
      <c r="A5" s="2952" t="s">
        <v>2840</v>
      </c>
      <c r="B5" s="2943" t="s">
        <v>2854</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2878</v>
      </c>
      <c r="R5" s="2947" t="s">
        <v>2879</v>
      </c>
      <c r="S5" s="2947" t="s">
        <v>153</v>
      </c>
      <c r="T5" s="2947" t="s">
        <v>2880</v>
      </c>
    </row>
    <row r="6" spans="1:20" ht="11.4" thickBot="1">
      <c r="A6" s="2947" t="s">
        <v>144</v>
      </c>
      <c r="B6" s="2947" t="s">
        <v>2869</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2881</v>
      </c>
      <c r="Q6" s="2947" t="s">
        <v>2882</v>
      </c>
      <c r="R6" s="2947" t="s">
        <v>161</v>
      </c>
      <c r="S6" s="2947" t="s">
        <v>2883</v>
      </c>
      <c r="T6" s="2947" t="s">
        <v>2884</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2885</v>
      </c>
      <c r="Q7" s="2947" t="s">
        <v>2886</v>
      </c>
      <c r="R7" s="2947" t="s">
        <v>2887</v>
      </c>
      <c r="S7" s="2947" t="s">
        <v>2888</v>
      </c>
      <c r="T7" s="2947" t="s">
        <v>2889</v>
      </c>
    </row>
    <row r="8" spans="1:20" ht="11.4"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2890</v>
      </c>
      <c r="Q8" s="2947" t="s">
        <v>174</v>
      </c>
      <c r="R8" s="2947" t="s">
        <v>2891</v>
      </c>
      <c r="S8" s="2947" t="s">
        <v>2892</v>
      </c>
      <c r="T8" s="2954" t="s">
        <v>2893</v>
      </c>
    </row>
    <row r="9" spans="1:20" ht="11.4"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2894</v>
      </c>
      <c r="Q9" s="2947" t="s">
        <v>182</v>
      </c>
      <c r="R9" s="2947" t="s">
        <v>183</v>
      </c>
      <c r="S9" s="2947" t="s">
        <v>200</v>
      </c>
    </row>
    <row r="10" spans="1:20">
      <c r="A10" s="2952" t="s">
        <v>184</v>
      </c>
      <c r="B10" s="2943" t="s">
        <v>2855</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2895</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2896</v>
      </c>
      <c r="P11" s="2947" t="s">
        <v>191</v>
      </c>
      <c r="Q11" s="2947" t="s">
        <v>199</v>
      </c>
      <c r="R11" s="2947" t="s">
        <v>2897</v>
      </c>
      <c r="S11" s="2947" t="s">
        <v>2898</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2899</v>
      </c>
      <c r="P12" s="2947" t="s">
        <v>2900</v>
      </c>
      <c r="Q12" s="2947" t="s">
        <v>2901</v>
      </c>
      <c r="R12" s="2947" t="s">
        <v>2902</v>
      </c>
      <c r="S12" s="2947" t="s">
        <v>2903</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2904</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2905</v>
      </c>
      <c r="K14" s="2948" t="s">
        <v>215</v>
      </c>
      <c r="L14" s="2947" t="s">
        <v>216</v>
      </c>
      <c r="M14" s="2947" t="s">
        <v>217</v>
      </c>
      <c r="N14" s="2947" t="s">
        <v>218</v>
      </c>
      <c r="O14" s="2947" t="s">
        <v>240</v>
      </c>
      <c r="P14" s="2947" t="s">
        <v>213</v>
      </c>
      <c r="Q14" s="2947" t="s">
        <v>2906</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2907</v>
      </c>
      <c r="P15" s="2947" t="s">
        <v>2908</v>
      </c>
      <c r="Q15" s="2947" t="s">
        <v>242</v>
      </c>
      <c r="R15" s="2947" t="s">
        <v>2909</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2910</v>
      </c>
      <c r="P16" s="2947" t="s">
        <v>227</v>
      </c>
      <c r="Q16" s="2947" t="s">
        <v>250</v>
      </c>
      <c r="R16" s="2947" t="s">
        <v>207</v>
      </c>
      <c r="S16" s="2947" t="s">
        <v>2911</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2912</v>
      </c>
      <c r="P17" s="2947" t="s">
        <v>2913</v>
      </c>
      <c r="Q17" s="2947" t="s">
        <v>256</v>
      </c>
      <c r="R17" s="2947" t="s">
        <v>2914</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2915</v>
      </c>
      <c r="P18" s="2947" t="s">
        <v>241</v>
      </c>
      <c r="Q18" s="2947" t="s">
        <v>2916</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2917</v>
      </c>
      <c r="P19" s="2947" t="s">
        <v>249</v>
      </c>
      <c r="Q19" s="2947" t="s">
        <v>2918</v>
      </c>
      <c r="R19" s="2947" t="s">
        <v>265</v>
      </c>
      <c r="S19" s="2947" t="s">
        <v>2919</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2920</v>
      </c>
      <c r="P20" s="2947" t="s">
        <v>2921</v>
      </c>
      <c r="Q20" s="2947" t="s">
        <v>290</v>
      </c>
      <c r="R20" s="2947" t="s">
        <v>2922</v>
      </c>
      <c r="S20" s="2947" t="s">
        <v>277</v>
      </c>
    </row>
    <row r="21" spans="1:19" ht="14.25" customHeight="1" thickBot="1">
      <c r="A21" s="2947" t="s">
        <v>184</v>
      </c>
      <c r="B21" s="2948" t="s">
        <v>208</v>
      </c>
      <c r="C21" s="2947">
        <v>32370</v>
      </c>
      <c r="D21" s="2947">
        <v>26730</v>
      </c>
      <c r="E21" s="2947">
        <v>26640</v>
      </c>
      <c r="F21" s="2947"/>
      <c r="G21" s="2947">
        <v>19440</v>
      </c>
      <c r="J21" s="2954" t="s">
        <v>2923</v>
      </c>
      <c r="K21" s="2948" t="s">
        <v>267</v>
      </c>
      <c r="L21" s="2947" t="s">
        <v>268</v>
      </c>
      <c r="M21" s="2947" t="s">
        <v>269</v>
      </c>
      <c r="N21" s="2947" t="s">
        <v>270</v>
      </c>
      <c r="O21" s="2947" t="s">
        <v>264</v>
      </c>
      <c r="P21" s="2947" t="s">
        <v>283</v>
      </c>
      <c r="Q21" s="2947" t="s">
        <v>293</v>
      </c>
      <c r="R21" s="2947" t="s">
        <v>2924</v>
      </c>
      <c r="S21" s="2954" t="s">
        <v>2925</v>
      </c>
    </row>
    <row r="22" spans="1:19" ht="14.25" customHeight="1">
      <c r="A22" s="2947" t="s">
        <v>184</v>
      </c>
      <c r="B22" s="2948" t="s">
        <v>2905</v>
      </c>
      <c r="C22" s="2947">
        <v>29830</v>
      </c>
      <c r="D22" s="2947">
        <v>27600</v>
      </c>
      <c r="E22" s="2947">
        <v>28150</v>
      </c>
      <c r="F22" s="2947"/>
      <c r="G22" s="2947">
        <v>20080</v>
      </c>
      <c r="K22" s="2948" t="s">
        <v>2926</v>
      </c>
      <c r="L22" s="2947" t="s">
        <v>272</v>
      </c>
      <c r="M22" s="2947" t="s">
        <v>273</v>
      </c>
      <c r="N22" s="2947" t="s">
        <v>274</v>
      </c>
      <c r="O22" s="2947" t="s">
        <v>2927</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2928</v>
      </c>
      <c r="L23" s="2947" t="s">
        <v>278</v>
      </c>
      <c r="M23" s="2947" t="s">
        <v>279</v>
      </c>
      <c r="N23" s="2947" t="s">
        <v>2929</v>
      </c>
      <c r="O23" s="2947" t="s">
        <v>2930</v>
      </c>
      <c r="P23" s="2947" t="s">
        <v>289</v>
      </c>
      <c r="Q23" s="2947" t="s">
        <v>298</v>
      </c>
      <c r="R23" s="2947" t="s">
        <v>2931</v>
      </c>
    </row>
    <row r="24" spans="1:19" ht="14.25" customHeight="1">
      <c r="A24" s="2947" t="s">
        <v>184</v>
      </c>
      <c r="B24" s="2948" t="s">
        <v>230</v>
      </c>
      <c r="C24" s="2947">
        <v>27930</v>
      </c>
      <c r="D24" s="2947">
        <v>32260</v>
      </c>
      <c r="E24" s="2947">
        <v>32120</v>
      </c>
      <c r="F24" s="2947"/>
      <c r="G24" s="2947">
        <v>23470</v>
      </c>
      <c r="K24" s="2948" t="s">
        <v>2932</v>
      </c>
      <c r="L24" s="2947" t="s">
        <v>281</v>
      </c>
      <c r="M24" s="2947" t="s">
        <v>282</v>
      </c>
      <c r="N24" s="2947" t="s">
        <v>2933</v>
      </c>
      <c r="O24" s="2947" t="s">
        <v>285</v>
      </c>
      <c r="P24" s="2947" t="s">
        <v>2934</v>
      </c>
      <c r="Q24" s="2956" t="s">
        <v>2935</v>
      </c>
      <c r="R24" s="2947" t="s">
        <v>2936</v>
      </c>
    </row>
    <row r="25" spans="1:19" ht="14.25" customHeight="1">
      <c r="A25" s="2947" t="s">
        <v>184</v>
      </c>
      <c r="B25" s="2948" t="s">
        <v>235</v>
      </c>
      <c r="C25" s="2947">
        <v>32230</v>
      </c>
      <c r="D25" s="2947">
        <v>29640</v>
      </c>
      <c r="E25" s="2947">
        <v>29510</v>
      </c>
      <c r="F25" s="2947"/>
      <c r="G25" s="2947">
        <v>21560</v>
      </c>
      <c r="K25" s="2948" t="s">
        <v>2937</v>
      </c>
      <c r="L25" s="2947" t="s">
        <v>2938</v>
      </c>
      <c r="M25" s="2947" t="s">
        <v>284</v>
      </c>
      <c r="N25" s="2947" t="s">
        <v>292</v>
      </c>
      <c r="O25" s="2947" t="s">
        <v>288</v>
      </c>
      <c r="P25" s="2947" t="s">
        <v>275</v>
      </c>
      <c r="Q25" s="2956" t="s">
        <v>271</v>
      </c>
      <c r="R25" s="2947" t="s">
        <v>2939</v>
      </c>
    </row>
    <row r="26" spans="1:19" ht="14.25" customHeight="1" thickBot="1">
      <c r="A26" s="2947" t="s">
        <v>184</v>
      </c>
      <c r="B26" s="2948" t="s">
        <v>244</v>
      </c>
      <c r="C26" s="2947">
        <v>31690</v>
      </c>
      <c r="D26" s="2947">
        <v>27650</v>
      </c>
      <c r="E26" s="2947">
        <v>28200</v>
      </c>
      <c r="F26" s="2947"/>
      <c r="G26" s="2947">
        <v>20110</v>
      </c>
      <c r="K26" s="2953" t="s">
        <v>2940</v>
      </c>
      <c r="L26" s="2947" t="s">
        <v>2941</v>
      </c>
      <c r="M26" s="2947" t="s">
        <v>287</v>
      </c>
      <c r="N26" s="2947" t="s">
        <v>294</v>
      </c>
      <c r="O26" s="2947" t="s">
        <v>2942</v>
      </c>
      <c r="P26" s="2947" t="s">
        <v>2943</v>
      </c>
      <c r="Q26" s="2956" t="s">
        <v>276</v>
      </c>
      <c r="R26" s="2947" t="s">
        <v>2944</v>
      </c>
    </row>
    <row r="27" spans="1:19" ht="14.25" customHeight="1">
      <c r="A27" s="2947" t="s">
        <v>184</v>
      </c>
      <c r="B27" s="2948" t="s">
        <v>251</v>
      </c>
      <c r="C27" s="2947">
        <v>29610</v>
      </c>
      <c r="D27" s="2947">
        <v>27770</v>
      </c>
      <c r="E27" s="2947">
        <v>28300</v>
      </c>
      <c r="F27" s="2947"/>
      <c r="G27" s="2947">
        <v>20210</v>
      </c>
      <c r="L27" s="2947" t="s">
        <v>2945</v>
      </c>
      <c r="M27" s="2947" t="s">
        <v>291</v>
      </c>
      <c r="N27" s="2947" t="s">
        <v>297</v>
      </c>
      <c r="O27" s="2947" t="s">
        <v>2946</v>
      </c>
      <c r="P27" s="2947" t="s">
        <v>2947</v>
      </c>
      <c r="Q27" s="2947" t="s">
        <v>2948</v>
      </c>
      <c r="R27" s="2947" t="s">
        <v>2949</v>
      </c>
    </row>
    <row r="28" spans="1:19" ht="14.25" customHeight="1">
      <c r="A28" s="2947" t="s">
        <v>184</v>
      </c>
      <c r="B28" s="2948" t="s">
        <v>259</v>
      </c>
      <c r="C28" s="2947"/>
      <c r="D28" s="2947">
        <v>31520</v>
      </c>
      <c r="E28" s="2947">
        <v>31410</v>
      </c>
      <c r="F28" s="2947"/>
      <c r="G28" s="2947">
        <v>22940</v>
      </c>
      <c r="L28" s="2947" t="s">
        <v>2950</v>
      </c>
      <c r="M28" s="2947" t="s">
        <v>2951</v>
      </c>
      <c r="N28" s="2947" t="s">
        <v>2952</v>
      </c>
      <c r="O28" s="2947" t="s">
        <v>2953</v>
      </c>
      <c r="P28" s="2947" t="s">
        <v>2954</v>
      </c>
      <c r="Q28" s="2947" t="s">
        <v>2955</v>
      </c>
      <c r="R28" s="2947" t="s">
        <v>2956</v>
      </c>
    </row>
    <row r="29" spans="1:19" ht="14.25" customHeight="1" thickBot="1">
      <c r="A29" s="2955" t="s">
        <v>184</v>
      </c>
      <c r="B29" s="2957" t="s">
        <v>2923</v>
      </c>
      <c r="C29" s="2958"/>
      <c r="D29" s="2958">
        <v>29460</v>
      </c>
      <c r="E29" s="2958">
        <v>28640</v>
      </c>
      <c r="F29" s="2958"/>
      <c r="G29" s="2958">
        <v>21430</v>
      </c>
      <c r="L29" s="2947" t="s">
        <v>2957</v>
      </c>
      <c r="M29" s="2947" t="s">
        <v>2958</v>
      </c>
      <c r="N29" s="2947" t="s">
        <v>2959</v>
      </c>
      <c r="O29" s="2947" t="s">
        <v>2960</v>
      </c>
      <c r="P29" s="2947" t="s">
        <v>2961</v>
      </c>
      <c r="Q29" s="2947" t="s">
        <v>2962</v>
      </c>
      <c r="R29" s="2947" t="s">
        <v>280</v>
      </c>
    </row>
    <row r="30" spans="1:19" ht="14.25" customHeight="1">
      <c r="A30" s="2952" t="s">
        <v>296</v>
      </c>
      <c r="B30" s="2943" t="s">
        <v>2856</v>
      </c>
      <c r="C30" s="2943">
        <v>26890</v>
      </c>
      <c r="D30" s="2943">
        <v>26770</v>
      </c>
      <c r="E30" s="2943">
        <v>25700</v>
      </c>
      <c r="F30" s="2943">
        <v>8180</v>
      </c>
      <c r="G30" s="2959">
        <v>18740</v>
      </c>
      <c r="L30" s="2947" t="s">
        <v>2963</v>
      </c>
      <c r="M30" s="2947" t="s">
        <v>2964</v>
      </c>
      <c r="N30" s="2947" t="s">
        <v>2965</v>
      </c>
      <c r="O30" s="2947" t="s">
        <v>2966</v>
      </c>
      <c r="P30" s="2947" t="s">
        <v>2967</v>
      </c>
      <c r="Q30" s="2947" t="s">
        <v>2968</v>
      </c>
      <c r="R30" s="2947" t="s">
        <v>2969</v>
      </c>
    </row>
    <row r="31" spans="1:19" ht="14.25" customHeight="1">
      <c r="A31" s="2947" t="s">
        <v>296</v>
      </c>
      <c r="B31" s="2948" t="s">
        <v>129</v>
      </c>
      <c r="C31" s="2947">
        <v>24550</v>
      </c>
      <c r="D31" s="2947">
        <v>23990</v>
      </c>
      <c r="E31" s="2947">
        <v>22930</v>
      </c>
      <c r="F31" s="2947">
        <v>7470</v>
      </c>
      <c r="G31" s="2960">
        <v>16790</v>
      </c>
      <c r="L31" s="2947" t="s">
        <v>2970</v>
      </c>
      <c r="M31" s="2947" t="s">
        <v>2971</v>
      </c>
      <c r="N31" s="2947" t="s">
        <v>2972</v>
      </c>
      <c r="O31" s="2947" t="s">
        <v>2973</v>
      </c>
      <c r="P31" s="2947" t="s">
        <v>2974</v>
      </c>
      <c r="Q31" s="2947" t="s">
        <v>2975</v>
      </c>
      <c r="R31" s="2947" t="s">
        <v>2976</v>
      </c>
    </row>
    <row r="32" spans="1:19" ht="14.25" customHeight="1" thickBot="1">
      <c r="A32" s="2947" t="s">
        <v>296</v>
      </c>
      <c r="B32" s="2948" t="s">
        <v>138</v>
      </c>
      <c r="C32" s="2947">
        <v>27210</v>
      </c>
      <c r="D32" s="2947">
        <v>23240</v>
      </c>
      <c r="E32" s="2947">
        <v>23260</v>
      </c>
      <c r="F32" s="2947">
        <v>7130</v>
      </c>
      <c r="G32" s="2960">
        <v>16270</v>
      </c>
      <c r="L32" s="2947" t="s">
        <v>2977</v>
      </c>
      <c r="M32" s="2947" t="s">
        <v>2978</v>
      </c>
      <c r="N32" s="2947" t="s">
        <v>300</v>
      </c>
      <c r="O32" s="2947" t="s">
        <v>2979</v>
      </c>
      <c r="P32" s="2947" t="s">
        <v>299</v>
      </c>
      <c r="Q32" s="2947" t="s">
        <v>2980</v>
      </c>
      <c r="R32" s="2954" t="s">
        <v>2981</v>
      </c>
    </row>
    <row r="33" spans="1:17" ht="14.25" customHeight="1" thickBot="1">
      <c r="A33" s="2947" t="s">
        <v>296</v>
      </c>
      <c r="B33" s="2948" t="s">
        <v>147</v>
      </c>
      <c r="C33" s="2947">
        <v>27300</v>
      </c>
      <c r="D33" s="2947">
        <v>22980</v>
      </c>
      <c r="E33" s="2947">
        <v>24260</v>
      </c>
      <c r="F33" s="2947">
        <v>5860</v>
      </c>
      <c r="G33" s="2960">
        <v>16090</v>
      </c>
      <c r="L33" s="2954" t="s">
        <v>2982</v>
      </c>
      <c r="M33" s="2947" t="s">
        <v>2983</v>
      </c>
      <c r="N33" s="2947" t="s">
        <v>301</v>
      </c>
      <c r="O33" s="2947" t="s">
        <v>2984</v>
      </c>
      <c r="P33" s="2947" t="s">
        <v>2985</v>
      </c>
      <c r="Q33" s="2947" t="s">
        <v>2986</v>
      </c>
    </row>
    <row r="34" spans="1:17" ht="14.25" customHeight="1">
      <c r="A34" s="2947" t="s">
        <v>296</v>
      </c>
      <c r="B34" s="2948" t="s">
        <v>156</v>
      </c>
      <c r="C34" s="2947">
        <v>23090</v>
      </c>
      <c r="D34" s="2947">
        <v>23390</v>
      </c>
      <c r="E34" s="2947">
        <v>23510</v>
      </c>
      <c r="F34" s="2947">
        <v>6700</v>
      </c>
      <c r="G34" s="2960">
        <v>16370</v>
      </c>
      <c r="M34" s="2947" t="s">
        <v>2987</v>
      </c>
      <c r="N34" s="2947" t="s">
        <v>302</v>
      </c>
      <c r="O34" s="2947" t="s">
        <v>2988</v>
      </c>
      <c r="P34" s="2947" t="s">
        <v>2989</v>
      </c>
      <c r="Q34" s="2947" t="s">
        <v>2990</v>
      </c>
    </row>
    <row r="35" spans="1:17" ht="14.25" customHeight="1">
      <c r="A35" s="2947" t="s">
        <v>296</v>
      </c>
      <c r="B35" s="2948" t="s">
        <v>163</v>
      </c>
      <c r="C35" s="2947">
        <v>27270</v>
      </c>
      <c r="D35" s="2947">
        <v>24270</v>
      </c>
      <c r="E35" s="2947">
        <v>24950</v>
      </c>
      <c r="F35" s="2947">
        <v>6600</v>
      </c>
      <c r="G35" s="2960">
        <v>16990</v>
      </c>
      <c r="M35" s="2947" t="s">
        <v>2991</v>
      </c>
      <c r="N35" s="2947" t="s">
        <v>2992</v>
      </c>
      <c r="O35" s="2947" t="s">
        <v>2993</v>
      </c>
      <c r="P35" s="2947" t="s">
        <v>2994</v>
      </c>
      <c r="Q35" s="2947" t="s">
        <v>2995</v>
      </c>
    </row>
    <row r="36" spans="1:17" ht="14.25" customHeight="1">
      <c r="A36" s="2947" t="s">
        <v>296</v>
      </c>
      <c r="B36" s="2948" t="s">
        <v>169</v>
      </c>
      <c r="C36" s="2947">
        <v>23490</v>
      </c>
      <c r="D36" s="2947">
        <v>23020</v>
      </c>
      <c r="E36" s="2947">
        <v>25230</v>
      </c>
      <c r="F36" s="2947">
        <v>6780</v>
      </c>
      <c r="G36" s="2960">
        <v>16120</v>
      </c>
      <c r="M36" s="2947" t="s">
        <v>2996</v>
      </c>
      <c r="N36" s="2947" t="s">
        <v>2997</v>
      </c>
      <c r="O36" s="2947" t="s">
        <v>2998</v>
      </c>
      <c r="P36" s="2947" t="s">
        <v>2999</v>
      </c>
      <c r="Q36" s="2947" t="s">
        <v>3000</v>
      </c>
    </row>
    <row r="37" spans="1:17" ht="14.25" customHeight="1">
      <c r="A37" s="2947" t="s">
        <v>296</v>
      </c>
      <c r="B37" s="2948" t="s">
        <v>176</v>
      </c>
      <c r="C37" s="2947">
        <v>24380</v>
      </c>
      <c r="D37" s="2947">
        <v>22240</v>
      </c>
      <c r="E37" s="2947">
        <v>25980</v>
      </c>
      <c r="F37" s="2947">
        <v>8160</v>
      </c>
      <c r="G37" s="2960">
        <v>15570</v>
      </c>
      <c r="M37" s="2947" t="s">
        <v>3001</v>
      </c>
      <c r="N37" s="2947" t="s">
        <v>3002</v>
      </c>
      <c r="O37" s="2947" t="s">
        <v>3003</v>
      </c>
      <c r="P37" s="2947" t="s">
        <v>3004</v>
      </c>
      <c r="Q37" s="2947" t="s">
        <v>3005</v>
      </c>
    </row>
    <row r="38" spans="1:17" ht="14.25" customHeight="1">
      <c r="A38" s="2947" t="s">
        <v>296</v>
      </c>
      <c r="B38" s="2948" t="s">
        <v>186</v>
      </c>
      <c r="C38" s="2947">
        <v>23120</v>
      </c>
      <c r="D38" s="2947">
        <v>24630</v>
      </c>
      <c r="E38" s="2947">
        <v>25030</v>
      </c>
      <c r="F38" s="2947">
        <v>7710</v>
      </c>
      <c r="G38" s="2960">
        <v>17240</v>
      </c>
      <c r="M38" s="2947" t="s">
        <v>3006</v>
      </c>
      <c r="N38" s="2947" t="s">
        <v>3007</v>
      </c>
      <c r="O38" s="2947" t="s">
        <v>3008</v>
      </c>
      <c r="P38" s="2947" t="s">
        <v>3009</v>
      </c>
      <c r="Q38" s="2947" t="s">
        <v>3010</v>
      </c>
    </row>
    <row r="39" spans="1:17" ht="14.25" customHeight="1">
      <c r="A39" s="2947" t="s">
        <v>296</v>
      </c>
      <c r="B39" s="2948" t="s">
        <v>195</v>
      </c>
      <c r="C39" s="2947">
        <v>22330</v>
      </c>
      <c r="D39" s="2947">
        <v>21140</v>
      </c>
      <c r="E39" s="2947">
        <v>23970</v>
      </c>
      <c r="F39" s="2947">
        <v>7940</v>
      </c>
      <c r="G39" s="2960">
        <v>14790</v>
      </c>
      <c r="M39" s="2947" t="s">
        <v>3011</v>
      </c>
      <c r="N39" s="2947" t="s">
        <v>3012</v>
      </c>
      <c r="O39" s="2947" t="s">
        <v>3013</v>
      </c>
      <c r="P39" s="2947" t="s">
        <v>3014</v>
      </c>
      <c r="Q39" s="2947" t="s">
        <v>3015</v>
      </c>
    </row>
    <row r="40" spans="1:17" ht="14.25" customHeight="1">
      <c r="A40" s="2947" t="s">
        <v>296</v>
      </c>
      <c r="B40" s="2948" t="s">
        <v>202</v>
      </c>
      <c r="C40" s="2947">
        <v>24740</v>
      </c>
      <c r="D40" s="2947">
        <v>24690</v>
      </c>
      <c r="E40" s="2947">
        <v>22610</v>
      </c>
      <c r="F40" s="2947"/>
      <c r="G40" s="2960">
        <v>17280</v>
      </c>
      <c r="M40" s="2947" t="s">
        <v>3016</v>
      </c>
      <c r="N40" s="2947" t="s">
        <v>3017</v>
      </c>
      <c r="O40" s="2947" t="s">
        <v>3018</v>
      </c>
      <c r="P40" s="2947" t="s">
        <v>3019</v>
      </c>
      <c r="Q40" s="2947" t="s">
        <v>3020</v>
      </c>
    </row>
    <row r="41" spans="1:17" ht="14.25" customHeight="1" thickBot="1">
      <c r="A41" s="2947" t="s">
        <v>296</v>
      </c>
      <c r="B41" s="2948" t="s">
        <v>209</v>
      </c>
      <c r="C41" s="2947">
        <v>21220</v>
      </c>
      <c r="D41" s="2947">
        <v>21120</v>
      </c>
      <c r="E41" s="2947">
        <v>22590</v>
      </c>
      <c r="F41" s="2947"/>
      <c r="G41" s="2960">
        <v>14780</v>
      </c>
      <c r="M41" s="2954" t="s">
        <v>3021</v>
      </c>
      <c r="N41" s="2947" t="s">
        <v>3022</v>
      </c>
      <c r="O41" s="2947" t="s">
        <v>3023</v>
      </c>
      <c r="P41" s="2947" t="s">
        <v>3024</v>
      </c>
      <c r="Q41" s="2947" t="s">
        <v>3025</v>
      </c>
    </row>
    <row r="42" spans="1:17" ht="14.25" customHeight="1">
      <c r="A42" s="2947" t="s">
        <v>296</v>
      </c>
      <c r="B42" s="2948" t="s">
        <v>215</v>
      </c>
      <c r="C42" s="2947">
        <v>24800</v>
      </c>
      <c r="D42" s="2947">
        <v>22280</v>
      </c>
      <c r="E42" s="2947">
        <v>24350</v>
      </c>
      <c r="F42" s="2947"/>
      <c r="G42" s="2960">
        <v>15590</v>
      </c>
      <c r="N42" s="2947" t="s">
        <v>3026</v>
      </c>
      <c r="O42" s="2947" t="s">
        <v>3027</v>
      </c>
      <c r="P42" s="2947" t="s">
        <v>3028</v>
      </c>
      <c r="Q42" s="2947" t="s">
        <v>3029</v>
      </c>
    </row>
    <row r="43" spans="1:17" ht="14.25" customHeight="1">
      <c r="A43" s="2947" t="s">
        <v>3030</v>
      </c>
      <c r="B43" s="2948" t="s">
        <v>223</v>
      </c>
      <c r="C43" s="2947">
        <v>21210</v>
      </c>
      <c r="D43" s="2947">
        <v>21160</v>
      </c>
      <c r="E43" s="2947">
        <v>22650</v>
      </c>
      <c r="F43" s="2947"/>
      <c r="G43" s="2960">
        <v>14800</v>
      </c>
      <c r="N43" s="2947" t="s">
        <v>3031</v>
      </c>
      <c r="O43" s="2947" t="s">
        <v>3032</v>
      </c>
      <c r="P43" s="2947" t="s">
        <v>3033</v>
      </c>
      <c r="Q43" s="2947" t="s">
        <v>3034</v>
      </c>
    </row>
    <row r="44" spans="1:17" ht="14.25" customHeight="1" thickBot="1">
      <c r="A44" s="2947" t="s">
        <v>296</v>
      </c>
      <c r="B44" s="2948" t="s">
        <v>231</v>
      </c>
      <c r="C44" s="2947">
        <v>22370</v>
      </c>
      <c r="D44" s="2947">
        <v>23140</v>
      </c>
      <c r="E44" s="2947">
        <v>25090</v>
      </c>
      <c r="F44" s="2947"/>
      <c r="G44" s="2960">
        <v>16190</v>
      </c>
      <c r="N44" s="2947" t="s">
        <v>3035</v>
      </c>
      <c r="O44" s="2947" t="s">
        <v>3036</v>
      </c>
      <c r="P44" s="2954" t="s">
        <v>3037</v>
      </c>
      <c r="Q44" s="2947" t="s">
        <v>3038</v>
      </c>
    </row>
    <row r="45" spans="1:17" ht="14.25" customHeight="1" thickBot="1">
      <c r="A45" s="2947" t="s">
        <v>296</v>
      </c>
      <c r="B45" s="2948" t="s">
        <v>236</v>
      </c>
      <c r="C45" s="2947">
        <v>21240</v>
      </c>
      <c r="D45" s="2947">
        <v>27050</v>
      </c>
      <c r="E45" s="2947">
        <v>28000</v>
      </c>
      <c r="F45" s="2947"/>
      <c r="G45" s="2960">
        <v>18940</v>
      </c>
      <c r="N45" s="2947" t="s">
        <v>3039</v>
      </c>
      <c r="O45" s="2954" t="s">
        <v>3040</v>
      </c>
      <c r="Q45" s="2947" t="s">
        <v>3041</v>
      </c>
    </row>
    <row r="46" spans="1:17" ht="14.25" customHeight="1">
      <c r="A46" s="2947" t="s">
        <v>296</v>
      </c>
      <c r="B46" s="2948" t="s">
        <v>245</v>
      </c>
      <c r="C46" s="2947">
        <v>23240</v>
      </c>
      <c r="D46" s="2947">
        <v>23000</v>
      </c>
      <c r="E46" s="2947">
        <v>24980</v>
      </c>
      <c r="F46" s="2947"/>
      <c r="G46" s="2960">
        <v>16100</v>
      </c>
      <c r="N46" s="2947" t="s">
        <v>3042</v>
      </c>
      <c r="Q46" s="2947" t="s">
        <v>3043</v>
      </c>
    </row>
    <row r="47" spans="1:17" ht="14.25" customHeight="1">
      <c r="A47" s="2947" t="s">
        <v>296</v>
      </c>
      <c r="B47" s="2948" t="s">
        <v>252</v>
      </c>
      <c r="C47" s="2947">
        <v>27150</v>
      </c>
      <c r="D47" s="2947">
        <v>23310</v>
      </c>
      <c r="E47" s="2947">
        <v>25150</v>
      </c>
      <c r="F47" s="2947"/>
      <c r="G47" s="2960">
        <v>16310</v>
      </c>
      <c r="N47" s="2947" t="s">
        <v>3044</v>
      </c>
      <c r="Q47" s="2947" t="s">
        <v>3045</v>
      </c>
    </row>
    <row r="48" spans="1:17" ht="14.25" customHeight="1">
      <c r="A48" s="2947" t="s">
        <v>296</v>
      </c>
      <c r="B48" s="2948" t="s">
        <v>260</v>
      </c>
      <c r="C48" s="2947">
        <v>23100</v>
      </c>
      <c r="D48" s="2947">
        <v>21110</v>
      </c>
      <c r="E48" s="2947">
        <v>23080</v>
      </c>
      <c r="F48" s="2947"/>
      <c r="G48" s="2960">
        <v>14780</v>
      </c>
      <c r="N48" s="2947" t="s">
        <v>3046</v>
      </c>
      <c r="Q48" s="2947" t="s">
        <v>3047</v>
      </c>
    </row>
    <row r="49" spans="1:17" ht="14.25" customHeight="1">
      <c r="A49" s="2947" t="s">
        <v>296</v>
      </c>
      <c r="B49" s="2948" t="s">
        <v>267</v>
      </c>
      <c r="C49" s="2947">
        <v>23400</v>
      </c>
      <c r="D49" s="2947">
        <v>22920</v>
      </c>
      <c r="E49" s="2947">
        <v>24900</v>
      </c>
      <c r="F49" s="2947"/>
      <c r="G49" s="2960">
        <v>16040</v>
      </c>
      <c r="N49" s="2947" t="s">
        <v>3048</v>
      </c>
      <c r="Q49" s="2947" t="s">
        <v>3049</v>
      </c>
    </row>
    <row r="50" spans="1:17" ht="14.25" customHeight="1">
      <c r="A50" s="2947" t="s">
        <v>296</v>
      </c>
      <c r="B50" s="2948" t="s">
        <v>2926</v>
      </c>
      <c r="C50" s="2947">
        <v>21200</v>
      </c>
      <c r="D50" s="2947">
        <v>26540</v>
      </c>
      <c r="E50" s="2947">
        <v>23200</v>
      </c>
      <c r="F50" s="2947"/>
      <c r="G50" s="2960">
        <v>18580</v>
      </c>
      <c r="N50" s="2947" t="s">
        <v>3050</v>
      </c>
      <c r="Q50" s="2948" t="s">
        <v>3051</v>
      </c>
    </row>
    <row r="51" spans="1:17" ht="14.25" customHeight="1" thickBot="1">
      <c r="A51" s="2947" t="s">
        <v>296</v>
      </c>
      <c r="B51" s="2948" t="s">
        <v>2928</v>
      </c>
      <c r="C51" s="2947">
        <v>23000</v>
      </c>
      <c r="D51" s="2947">
        <v>23460</v>
      </c>
      <c r="E51" s="2947">
        <v>25290</v>
      </c>
      <c r="F51" s="2947"/>
      <c r="G51" s="2960">
        <v>16420</v>
      </c>
      <c r="N51" s="2947" t="s">
        <v>3052</v>
      </c>
      <c r="Q51" s="2954" t="s">
        <v>3053</v>
      </c>
    </row>
    <row r="52" spans="1:17" ht="14.25" customHeight="1">
      <c r="A52" s="2947" t="s">
        <v>296</v>
      </c>
      <c r="B52" s="2948" t="s">
        <v>2932</v>
      </c>
      <c r="C52" s="2947">
        <v>26660</v>
      </c>
      <c r="D52" s="2947">
        <v>22350</v>
      </c>
      <c r="E52" s="2947">
        <v>22920</v>
      </c>
      <c r="F52" s="2947"/>
      <c r="G52" s="2960">
        <v>15640</v>
      </c>
      <c r="N52" s="2947" t="s">
        <v>3054</v>
      </c>
    </row>
    <row r="53" spans="1:17" ht="14.25" customHeight="1">
      <c r="A53" s="2947" t="s">
        <v>296</v>
      </c>
      <c r="B53" s="2948" t="s">
        <v>2937</v>
      </c>
      <c r="C53" s="2947">
        <v>23580</v>
      </c>
      <c r="D53" s="2947"/>
      <c r="E53" s="2947">
        <v>24280</v>
      </c>
      <c r="F53" s="2947"/>
      <c r="G53" s="2960"/>
      <c r="N53" s="2947" t="s">
        <v>3055</v>
      </c>
    </row>
    <row r="54" spans="1:17" ht="14.25" customHeight="1" thickBot="1">
      <c r="A54" s="2961" t="s">
        <v>296</v>
      </c>
      <c r="B54" s="2953" t="s">
        <v>2940</v>
      </c>
      <c r="C54" s="2954">
        <v>22460</v>
      </c>
      <c r="D54" s="2954"/>
      <c r="E54" s="2954"/>
      <c r="F54" s="2954"/>
      <c r="G54" s="2962"/>
      <c r="N54" s="2947" t="s">
        <v>3056</v>
      </c>
    </row>
    <row r="55" spans="1:17" ht="14.25" customHeight="1">
      <c r="A55" s="2952" t="s">
        <v>110</v>
      </c>
      <c r="B55" s="2943" t="s">
        <v>3057</v>
      </c>
      <c r="C55" s="2947">
        <v>21970</v>
      </c>
      <c r="D55" s="2947">
        <v>20370</v>
      </c>
      <c r="E55" s="2947">
        <v>20180</v>
      </c>
      <c r="F55" s="2947">
        <v>5730</v>
      </c>
      <c r="G55" s="2947">
        <v>13820</v>
      </c>
      <c r="N55" s="2947" t="s">
        <v>3058</v>
      </c>
    </row>
    <row r="56" spans="1:17" ht="14.25" customHeight="1">
      <c r="A56" s="2947" t="s">
        <v>110</v>
      </c>
      <c r="B56" s="2947" t="s">
        <v>130</v>
      </c>
      <c r="C56" s="2947">
        <v>20470</v>
      </c>
      <c r="D56" s="2947">
        <v>20700</v>
      </c>
      <c r="E56" s="2947">
        <v>20380</v>
      </c>
      <c r="F56" s="2947">
        <v>4760</v>
      </c>
      <c r="G56" s="2947">
        <v>14050</v>
      </c>
      <c r="N56" s="2947" t="s">
        <v>3059</v>
      </c>
    </row>
    <row r="57" spans="1:17" ht="14.25" customHeight="1">
      <c r="A57" s="2947" t="s">
        <v>110</v>
      </c>
      <c r="B57" s="2947" t="s">
        <v>139</v>
      </c>
      <c r="C57" s="2947">
        <v>20790</v>
      </c>
      <c r="D57" s="2947">
        <v>21370</v>
      </c>
      <c r="E57" s="2947">
        <v>20890</v>
      </c>
      <c r="F57" s="2947">
        <v>4910</v>
      </c>
      <c r="G57" s="2947">
        <v>14510</v>
      </c>
      <c r="N57" s="2947" t="s">
        <v>3060</v>
      </c>
    </row>
    <row r="58" spans="1:17" ht="14.25" customHeight="1">
      <c r="A58" s="2947" t="s">
        <v>110</v>
      </c>
      <c r="B58" s="2947" t="s">
        <v>148</v>
      </c>
      <c r="C58" s="2947">
        <v>21460</v>
      </c>
      <c r="D58" s="2947">
        <v>20920</v>
      </c>
      <c r="E58" s="2947">
        <v>23410</v>
      </c>
      <c r="F58" s="2947">
        <v>5100</v>
      </c>
      <c r="G58" s="2947">
        <v>14200</v>
      </c>
      <c r="N58" s="2947" t="s">
        <v>3061</v>
      </c>
    </row>
    <row r="59" spans="1:17" ht="14.25" customHeight="1">
      <c r="A59" s="2947" t="s">
        <v>110</v>
      </c>
      <c r="B59" s="2947" t="s">
        <v>157</v>
      </c>
      <c r="C59" s="2947">
        <v>21000</v>
      </c>
      <c r="D59" s="2947">
        <v>21550</v>
      </c>
      <c r="E59" s="2947">
        <v>21150</v>
      </c>
      <c r="F59" s="2947">
        <v>5250</v>
      </c>
      <c r="G59" s="2947">
        <v>14630</v>
      </c>
      <c r="N59" s="2947" t="s">
        <v>3062</v>
      </c>
    </row>
    <row r="60" spans="1:17" ht="14.25" customHeight="1">
      <c r="A60" s="2947" t="s">
        <v>110</v>
      </c>
      <c r="B60" s="2947" t="s">
        <v>164</v>
      </c>
      <c r="C60" s="2947">
        <v>21640</v>
      </c>
      <c r="D60" s="2947">
        <v>21260</v>
      </c>
      <c r="E60" s="2947">
        <v>24040</v>
      </c>
      <c r="F60" s="2947">
        <v>4470</v>
      </c>
      <c r="G60" s="2947">
        <v>14430</v>
      </c>
      <c r="N60" s="2947" t="s">
        <v>3063</v>
      </c>
    </row>
    <row r="61" spans="1:17" ht="14.25" customHeight="1">
      <c r="A61" s="2947" t="s">
        <v>110</v>
      </c>
      <c r="B61" s="2947" t="s">
        <v>170</v>
      </c>
      <c r="C61" s="2947">
        <v>21330</v>
      </c>
      <c r="D61" s="2947">
        <v>18640</v>
      </c>
      <c r="E61" s="2947">
        <v>21190</v>
      </c>
      <c r="F61" s="2947">
        <v>4180</v>
      </c>
      <c r="G61" s="2947">
        <v>12650</v>
      </c>
      <c r="N61" s="2947" t="s">
        <v>3064</v>
      </c>
    </row>
    <row r="62" spans="1:17" ht="14.25" customHeight="1">
      <c r="A62" s="2947" t="s">
        <v>110</v>
      </c>
      <c r="B62" s="2947" t="s">
        <v>177</v>
      </c>
      <c r="C62" s="2947">
        <v>18710</v>
      </c>
      <c r="D62" s="2947">
        <v>19400</v>
      </c>
      <c r="E62" s="2947">
        <v>23750</v>
      </c>
      <c r="F62" s="2947">
        <v>4860</v>
      </c>
      <c r="G62" s="2947">
        <v>13170</v>
      </c>
      <c r="N62" s="2947" t="s">
        <v>3065</v>
      </c>
    </row>
    <row r="63" spans="1:17" ht="14.25" customHeight="1">
      <c r="A63" s="2947" t="s">
        <v>110</v>
      </c>
      <c r="B63" s="2947" t="s">
        <v>187</v>
      </c>
      <c r="C63" s="2947">
        <v>19480</v>
      </c>
      <c r="D63" s="2947">
        <v>16830</v>
      </c>
      <c r="E63" s="2947">
        <v>21590</v>
      </c>
      <c r="F63" s="2947">
        <v>4560</v>
      </c>
      <c r="G63" s="2947">
        <v>11420</v>
      </c>
      <c r="N63" s="2947" t="s">
        <v>3066</v>
      </c>
    </row>
    <row r="64" spans="1:17" ht="14.25" customHeight="1" thickBot="1">
      <c r="A64" s="2947" t="s">
        <v>110</v>
      </c>
      <c r="B64" s="2947" t="s">
        <v>196</v>
      </c>
      <c r="C64" s="2947">
        <v>16920</v>
      </c>
      <c r="D64" s="2947">
        <v>19190</v>
      </c>
      <c r="E64" s="2947">
        <v>22200</v>
      </c>
      <c r="F64" s="2947">
        <v>4390</v>
      </c>
      <c r="G64" s="2947">
        <v>13030</v>
      </c>
      <c r="N64" s="2954" t="s">
        <v>3067</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2938</v>
      </c>
      <c r="C78" s="2947">
        <v>19820</v>
      </c>
      <c r="D78" s="2947">
        <v>19780</v>
      </c>
      <c r="E78" s="2947">
        <v>18560</v>
      </c>
      <c r="F78" s="2947"/>
      <c r="G78" s="2947">
        <v>13430</v>
      </c>
    </row>
    <row r="79" spans="1:7" s="2781" customFormat="1" ht="14.25" customHeight="1">
      <c r="A79" s="2947" t="s">
        <v>110</v>
      </c>
      <c r="B79" s="2947" t="s">
        <v>2941</v>
      </c>
      <c r="C79" s="2947">
        <v>21660</v>
      </c>
      <c r="D79" s="2947">
        <v>18000</v>
      </c>
      <c r="E79" s="2947">
        <v>22570</v>
      </c>
      <c r="F79" s="2947"/>
      <c r="G79" s="2947">
        <v>12220</v>
      </c>
    </row>
    <row r="80" spans="1:7" s="2781" customFormat="1" ht="14.25" customHeight="1">
      <c r="A80" s="2947" t="s">
        <v>110</v>
      </c>
      <c r="B80" s="2947" t="s">
        <v>2945</v>
      </c>
      <c r="C80" s="2947">
        <v>19850</v>
      </c>
      <c r="D80" s="2947"/>
      <c r="E80" s="2947">
        <v>21700</v>
      </c>
      <c r="F80" s="2947"/>
      <c r="G80" s="2947"/>
    </row>
    <row r="81" spans="1:7" s="2781" customFormat="1" ht="14.25" customHeight="1">
      <c r="A81" s="2947" t="s">
        <v>110</v>
      </c>
      <c r="B81" s="2947" t="s">
        <v>2950</v>
      </c>
      <c r="C81" s="2947">
        <v>18080</v>
      </c>
      <c r="D81" s="2947"/>
      <c r="E81" s="2947">
        <v>20900</v>
      </c>
      <c r="F81" s="2947"/>
      <c r="G81" s="2947"/>
    </row>
    <row r="82" spans="1:7" s="2781" customFormat="1" ht="14.25" customHeight="1">
      <c r="A82" s="2947" t="s">
        <v>110</v>
      </c>
      <c r="B82" s="2947" t="s">
        <v>2957</v>
      </c>
      <c r="C82" s="2947"/>
      <c r="D82" s="2947"/>
      <c r="E82" s="2947">
        <v>20840</v>
      </c>
      <c r="F82" s="2947"/>
      <c r="G82" s="2947"/>
    </row>
    <row r="83" spans="1:7" s="2781" customFormat="1" ht="14.25" customHeight="1">
      <c r="A83" s="2947" t="s">
        <v>110</v>
      </c>
      <c r="B83" s="2947" t="s">
        <v>3068</v>
      </c>
      <c r="C83" s="2947"/>
      <c r="D83" s="2947"/>
      <c r="E83" s="2947"/>
      <c r="F83" s="2947">
        <v>4770</v>
      </c>
      <c r="G83" s="2947"/>
    </row>
    <row r="84" spans="1:7" s="2781" customFormat="1" ht="14.25" customHeight="1">
      <c r="A84" s="2947" t="s">
        <v>110</v>
      </c>
      <c r="B84" s="2947" t="s">
        <v>3069</v>
      </c>
      <c r="C84" s="2947"/>
      <c r="D84" s="2947"/>
      <c r="E84" s="2947"/>
      <c r="F84" s="2947">
        <v>4600</v>
      </c>
      <c r="G84" s="2947"/>
    </row>
    <row r="85" spans="1:7" s="2781" customFormat="1" ht="14.25" customHeight="1">
      <c r="A85" s="2947" t="s">
        <v>110</v>
      </c>
      <c r="B85" s="2947" t="s">
        <v>3070</v>
      </c>
      <c r="C85" s="2947"/>
      <c r="D85" s="2947"/>
      <c r="E85" s="2947"/>
      <c r="F85" s="2947">
        <v>4680</v>
      </c>
      <c r="G85" s="2947"/>
    </row>
    <row r="86" spans="1:7" s="2781" customFormat="1" ht="14.25" customHeight="1" thickBot="1">
      <c r="A86" s="2955" t="s">
        <v>110</v>
      </c>
      <c r="B86" s="2957" t="s">
        <v>3071</v>
      </c>
      <c r="C86" s="2958">
        <v>16610</v>
      </c>
      <c r="D86" s="2958">
        <v>16540</v>
      </c>
      <c r="E86" s="2958">
        <v>18850</v>
      </c>
      <c r="F86" s="2958"/>
      <c r="G86" s="2958">
        <v>11220</v>
      </c>
    </row>
    <row r="87" spans="1:7" s="2781" customFormat="1" ht="14.25" customHeight="1">
      <c r="A87" s="2952" t="s">
        <v>303</v>
      </c>
      <c r="B87" s="2943" t="s">
        <v>3072</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2951</v>
      </c>
      <c r="C113" s="2947">
        <v>15520</v>
      </c>
      <c r="D113" s="2947">
        <v>15450</v>
      </c>
      <c r="E113" s="2947"/>
      <c r="F113" s="2947"/>
      <c r="G113" s="2960">
        <v>10210</v>
      </c>
    </row>
    <row r="114" spans="1:7" s="2781" customFormat="1" ht="14.25" customHeight="1">
      <c r="A114" s="2947" t="s">
        <v>303</v>
      </c>
      <c r="B114" s="2947" t="s">
        <v>2958</v>
      </c>
      <c r="C114" s="2947">
        <v>13110</v>
      </c>
      <c r="D114" s="2947">
        <v>13050</v>
      </c>
      <c r="E114" s="2947"/>
      <c r="F114" s="2947"/>
      <c r="G114" s="2960">
        <v>8620</v>
      </c>
    </row>
    <row r="115" spans="1:7" s="2781" customFormat="1" ht="14.25" customHeight="1">
      <c r="A115" s="2947" t="s">
        <v>303</v>
      </c>
      <c r="B115" s="2947" t="s">
        <v>2964</v>
      </c>
      <c r="C115" s="2947">
        <v>12460</v>
      </c>
      <c r="D115" s="2947">
        <v>12390</v>
      </c>
      <c r="E115" s="2947"/>
      <c r="F115" s="2947"/>
      <c r="G115" s="2960">
        <v>8190</v>
      </c>
    </row>
    <row r="116" spans="1:7" s="2781" customFormat="1" ht="14.25" customHeight="1">
      <c r="A116" s="2947" t="s">
        <v>303</v>
      </c>
      <c r="B116" s="2947" t="s">
        <v>2971</v>
      </c>
      <c r="C116" s="2947">
        <v>13580</v>
      </c>
      <c r="D116" s="2947">
        <v>13520</v>
      </c>
      <c r="E116" s="2947"/>
      <c r="F116" s="2947"/>
      <c r="G116" s="2960">
        <v>8930</v>
      </c>
    </row>
    <row r="117" spans="1:7" s="2781" customFormat="1" ht="14.25" customHeight="1">
      <c r="A117" s="2947" t="s">
        <v>303</v>
      </c>
      <c r="B117" s="2947" t="s">
        <v>2978</v>
      </c>
      <c r="C117" s="2947">
        <v>17120</v>
      </c>
      <c r="D117" s="2947">
        <v>17040</v>
      </c>
      <c r="E117" s="2947"/>
      <c r="F117" s="2947"/>
      <c r="G117" s="2960">
        <v>11260</v>
      </c>
    </row>
    <row r="118" spans="1:7" s="2781" customFormat="1" ht="14.25" customHeight="1">
      <c r="A118" s="2947" t="s">
        <v>303</v>
      </c>
      <c r="B118" s="2947" t="s">
        <v>2983</v>
      </c>
      <c r="C118" s="2947">
        <v>14860</v>
      </c>
      <c r="D118" s="2947">
        <v>14790</v>
      </c>
      <c r="E118" s="2947"/>
      <c r="F118" s="2947"/>
      <c r="G118" s="2960">
        <v>9780</v>
      </c>
    </row>
    <row r="119" spans="1:7" s="2781" customFormat="1" ht="14.25" customHeight="1">
      <c r="A119" s="2947" t="s">
        <v>303</v>
      </c>
      <c r="B119" s="2947" t="s">
        <v>2987</v>
      </c>
      <c r="C119" s="2947">
        <v>16470</v>
      </c>
      <c r="D119" s="2947">
        <v>16400</v>
      </c>
      <c r="E119" s="2947"/>
      <c r="F119" s="2947"/>
      <c r="G119" s="2960">
        <v>10840</v>
      </c>
    </row>
    <row r="120" spans="1:7" s="2781" customFormat="1" ht="14.25" customHeight="1">
      <c r="A120" s="2947" t="s">
        <v>303</v>
      </c>
      <c r="B120" s="2947" t="s">
        <v>3073</v>
      </c>
      <c r="C120" s="2947"/>
      <c r="D120" s="2947"/>
      <c r="E120" s="2947"/>
      <c r="F120" s="2947">
        <v>4160</v>
      </c>
      <c r="G120" s="2960"/>
    </row>
    <row r="121" spans="1:7" s="2781" customFormat="1" ht="14.25" customHeight="1">
      <c r="A121" s="2947" t="s">
        <v>303</v>
      </c>
      <c r="B121" s="2947" t="s">
        <v>3074</v>
      </c>
      <c r="C121" s="2947"/>
      <c r="D121" s="2947"/>
      <c r="E121" s="2947"/>
      <c r="F121" s="2947">
        <v>3880</v>
      </c>
      <c r="G121" s="2960"/>
    </row>
    <row r="122" spans="1:7" s="2781" customFormat="1" ht="14.25" customHeight="1">
      <c r="A122" s="2947" t="s">
        <v>303</v>
      </c>
      <c r="B122" s="2947" t="s">
        <v>3075</v>
      </c>
      <c r="C122" s="2947">
        <v>13750</v>
      </c>
      <c r="D122" s="2947">
        <v>13680</v>
      </c>
      <c r="E122" s="2947">
        <v>16460</v>
      </c>
      <c r="F122" s="2947">
        <v>2880</v>
      </c>
      <c r="G122" s="2960">
        <v>9040</v>
      </c>
    </row>
    <row r="123" spans="1:7" s="2781" customFormat="1" ht="14.25" customHeight="1">
      <c r="A123" s="2947" t="s">
        <v>303</v>
      </c>
      <c r="B123" s="2947" t="s">
        <v>3006</v>
      </c>
      <c r="C123" s="2947">
        <v>13590</v>
      </c>
      <c r="D123" s="2947">
        <v>13520</v>
      </c>
      <c r="E123" s="2947">
        <v>16290</v>
      </c>
      <c r="F123" s="2947">
        <v>2790</v>
      </c>
      <c r="G123" s="2960">
        <v>8930</v>
      </c>
    </row>
    <row r="124" spans="1:7" s="2781" customFormat="1" ht="14.25" customHeight="1">
      <c r="A124" s="2947" t="s">
        <v>303</v>
      </c>
      <c r="B124" s="2947" t="s">
        <v>3011</v>
      </c>
      <c r="C124" s="2947">
        <v>13400</v>
      </c>
      <c r="D124" s="2947">
        <v>13320</v>
      </c>
      <c r="E124" s="2947">
        <v>16100</v>
      </c>
      <c r="F124" s="2947">
        <v>2320</v>
      </c>
      <c r="G124" s="2960">
        <v>8800</v>
      </c>
    </row>
    <row r="125" spans="1:7" s="2781" customFormat="1" ht="14.25" customHeight="1">
      <c r="A125" s="2947" t="s">
        <v>303</v>
      </c>
      <c r="B125" s="2947" t="s">
        <v>3016</v>
      </c>
      <c r="C125" s="2947">
        <v>12860</v>
      </c>
      <c r="D125" s="2947">
        <v>12790</v>
      </c>
      <c r="E125" s="2947">
        <v>15370</v>
      </c>
      <c r="F125" s="2947">
        <v>2280</v>
      </c>
      <c r="G125" s="2960">
        <v>8450</v>
      </c>
    </row>
    <row r="126" spans="1:7" s="2781" customFormat="1" ht="14.25" customHeight="1" thickBot="1">
      <c r="A126" s="2961" t="s">
        <v>303</v>
      </c>
      <c r="B126" s="2954" t="s">
        <v>3021</v>
      </c>
      <c r="C126" s="2954">
        <v>12960</v>
      </c>
      <c r="D126" s="2954">
        <v>12890</v>
      </c>
      <c r="E126" s="2954">
        <v>15530</v>
      </c>
      <c r="F126" s="2954">
        <v>2910</v>
      </c>
      <c r="G126" s="2962">
        <v>8520</v>
      </c>
    </row>
    <row r="127" spans="1:7" s="2781" customFormat="1" ht="14.25" customHeight="1">
      <c r="A127" s="2952" t="s">
        <v>29</v>
      </c>
      <c r="B127" s="2943" t="s">
        <v>3076</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3077</v>
      </c>
      <c r="C148" s="2947">
        <v>10370</v>
      </c>
      <c r="D148" s="2947">
        <v>10310</v>
      </c>
      <c r="E148" s="2947">
        <v>12970</v>
      </c>
      <c r="F148" s="2947"/>
      <c r="G148" s="2947">
        <v>6630</v>
      </c>
    </row>
    <row r="149" spans="1:7" s="2781" customFormat="1" ht="14.25" customHeight="1">
      <c r="A149" s="2947" t="s">
        <v>29</v>
      </c>
      <c r="B149" s="2947" t="s">
        <v>3078</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2952</v>
      </c>
      <c r="C153" s="2947">
        <v>10880</v>
      </c>
      <c r="D153" s="2947">
        <v>10820</v>
      </c>
      <c r="E153" s="2947">
        <v>13660</v>
      </c>
      <c r="F153" s="2947">
        <v>2260</v>
      </c>
      <c r="G153" s="2947">
        <v>6970</v>
      </c>
    </row>
    <row r="154" spans="1:7" s="2781" customFormat="1" ht="14.25" customHeight="1">
      <c r="A154" s="2947" t="s">
        <v>29</v>
      </c>
      <c r="B154" s="2947" t="s">
        <v>3079</v>
      </c>
      <c r="C154" s="2947">
        <v>11220</v>
      </c>
      <c r="D154" s="2947">
        <v>11160</v>
      </c>
      <c r="E154" s="2947">
        <v>14130</v>
      </c>
      <c r="F154" s="2947">
        <v>2230</v>
      </c>
      <c r="G154" s="2947">
        <v>7180</v>
      </c>
    </row>
    <row r="155" spans="1:7" s="2781" customFormat="1" ht="14.25" customHeight="1">
      <c r="A155" s="2947" t="s">
        <v>29</v>
      </c>
      <c r="B155" s="2947" t="s">
        <v>2965</v>
      </c>
      <c r="C155" s="2947">
        <v>10430</v>
      </c>
      <c r="D155" s="2947">
        <v>10380</v>
      </c>
      <c r="E155" s="2947">
        <v>13140</v>
      </c>
      <c r="F155" s="2947">
        <v>2080</v>
      </c>
      <c r="G155" s="2947">
        <v>6650</v>
      </c>
    </row>
    <row r="156" spans="1:7" s="2781" customFormat="1" ht="14.25" customHeight="1">
      <c r="A156" s="2947" t="s">
        <v>29</v>
      </c>
      <c r="B156" s="2947" t="s">
        <v>3080</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3081</v>
      </c>
      <c r="C160" s="2947">
        <v>11180</v>
      </c>
      <c r="D160" s="2947">
        <v>11140</v>
      </c>
      <c r="E160" s="2947">
        <v>14050</v>
      </c>
      <c r="F160" s="2947">
        <v>2270</v>
      </c>
      <c r="G160" s="2947">
        <v>7170</v>
      </c>
    </row>
    <row r="161" spans="1:7" s="2781" customFormat="1" ht="14.25" customHeight="1">
      <c r="A161" s="2947" t="s">
        <v>29</v>
      </c>
      <c r="B161" s="2947" t="s">
        <v>2997</v>
      </c>
      <c r="C161" s="2947">
        <v>11160</v>
      </c>
      <c r="D161" s="2947">
        <v>11120</v>
      </c>
      <c r="E161" s="2947">
        <v>14020</v>
      </c>
      <c r="F161" s="2947">
        <v>2150</v>
      </c>
      <c r="G161" s="2947">
        <v>7160</v>
      </c>
    </row>
    <row r="162" spans="1:7" s="2781" customFormat="1" ht="14.25" customHeight="1">
      <c r="A162" s="2947" t="s">
        <v>29</v>
      </c>
      <c r="B162" s="2947" t="s">
        <v>3002</v>
      </c>
      <c r="C162" s="2947">
        <v>9620</v>
      </c>
      <c r="D162" s="2947">
        <v>9570</v>
      </c>
      <c r="E162" s="2947">
        <v>12320</v>
      </c>
      <c r="F162" s="2947">
        <v>2010</v>
      </c>
      <c r="G162" s="2947">
        <v>6160</v>
      </c>
    </row>
    <row r="163" spans="1:7" s="2781" customFormat="1" ht="14.25" customHeight="1">
      <c r="A163" s="2947" t="s">
        <v>29</v>
      </c>
      <c r="B163" s="2947" t="s">
        <v>3007</v>
      </c>
      <c r="C163" s="2947">
        <v>9320</v>
      </c>
      <c r="D163" s="2947">
        <v>9270</v>
      </c>
      <c r="E163" s="2947">
        <v>11790</v>
      </c>
      <c r="F163" s="2947">
        <v>1920</v>
      </c>
      <c r="G163" s="2947">
        <v>5960</v>
      </c>
    </row>
    <row r="164" spans="1:7" s="2781" customFormat="1" ht="14.25" customHeight="1">
      <c r="A164" s="2947" t="s">
        <v>29</v>
      </c>
      <c r="B164" s="2947" t="s">
        <v>3012</v>
      </c>
      <c r="C164" s="2947"/>
      <c r="D164" s="2947"/>
      <c r="E164" s="2947"/>
      <c r="F164" s="2947">
        <v>1980</v>
      </c>
      <c r="G164" s="2947"/>
    </row>
    <row r="165" spans="1:7" s="2781" customFormat="1" ht="14.25" customHeight="1">
      <c r="A165" s="2947" t="s">
        <v>29</v>
      </c>
      <c r="B165" s="2947" t="s">
        <v>3082</v>
      </c>
      <c r="C165" s="2947">
        <v>11060</v>
      </c>
      <c r="D165" s="2947">
        <v>11030</v>
      </c>
      <c r="E165" s="2947">
        <v>13850</v>
      </c>
      <c r="F165" s="2947">
        <v>2170</v>
      </c>
      <c r="G165" s="2947">
        <v>7090</v>
      </c>
    </row>
    <row r="166" spans="1:7" s="2781" customFormat="1" ht="14.25" customHeight="1">
      <c r="A166" s="2947" t="s">
        <v>29</v>
      </c>
      <c r="B166" s="2947" t="s">
        <v>3022</v>
      </c>
      <c r="C166" s="2947">
        <v>11050</v>
      </c>
      <c r="D166" s="2947">
        <v>11010</v>
      </c>
      <c r="E166" s="2947">
        <v>13920</v>
      </c>
      <c r="F166" s="2947">
        <v>2140</v>
      </c>
      <c r="G166" s="2947">
        <v>7080</v>
      </c>
    </row>
    <row r="167" spans="1:7" s="2781" customFormat="1" ht="14.25" customHeight="1">
      <c r="A167" s="2947" t="s">
        <v>29</v>
      </c>
      <c r="B167" s="2947" t="s">
        <v>3026</v>
      </c>
      <c r="C167" s="2947">
        <v>10930</v>
      </c>
      <c r="D167" s="2947">
        <v>10890</v>
      </c>
      <c r="E167" s="2947">
        <v>13790</v>
      </c>
      <c r="F167" s="2947">
        <v>2010</v>
      </c>
      <c r="G167" s="2947">
        <v>7000</v>
      </c>
    </row>
    <row r="168" spans="1:7" s="2781" customFormat="1" ht="14.25" customHeight="1">
      <c r="A168" s="2947" t="s">
        <v>29</v>
      </c>
      <c r="B168" s="2947" t="s">
        <v>3031</v>
      </c>
      <c r="C168" s="2947">
        <v>9420</v>
      </c>
      <c r="D168" s="2947">
        <v>9380</v>
      </c>
      <c r="E168" s="2947">
        <v>11970</v>
      </c>
      <c r="F168" s="2947"/>
      <c r="G168" s="2947">
        <v>6040</v>
      </c>
    </row>
    <row r="169" spans="1:7" s="2781" customFormat="1" ht="14.25" customHeight="1">
      <c r="A169" s="2947" t="s">
        <v>29</v>
      </c>
      <c r="B169" s="2947" t="s">
        <v>3083</v>
      </c>
      <c r="C169" s="2947"/>
      <c r="D169" s="2947"/>
      <c r="E169" s="2947"/>
      <c r="F169" s="2947">
        <v>2880</v>
      </c>
      <c r="G169" s="2947"/>
    </row>
    <row r="170" spans="1:7" s="2781" customFormat="1" ht="14.25" customHeight="1">
      <c r="A170" s="2947" t="s">
        <v>29</v>
      </c>
      <c r="B170" s="2947" t="s">
        <v>3039</v>
      </c>
      <c r="C170" s="2947"/>
      <c r="D170" s="2947"/>
      <c r="E170" s="2947"/>
      <c r="F170" s="2947">
        <v>2880</v>
      </c>
      <c r="G170" s="2947"/>
    </row>
    <row r="171" spans="1:7" s="2781" customFormat="1" ht="14.25" customHeight="1">
      <c r="A171" s="2947" t="s">
        <v>29</v>
      </c>
      <c r="B171" s="2947" t="s">
        <v>3042</v>
      </c>
      <c r="C171" s="2947"/>
      <c r="D171" s="2947"/>
      <c r="E171" s="2947"/>
      <c r="F171" s="2947">
        <v>2880</v>
      </c>
      <c r="G171" s="2947"/>
    </row>
    <row r="172" spans="1:7" s="2781" customFormat="1" ht="14.25" customHeight="1">
      <c r="A172" s="2947" t="s">
        <v>29</v>
      </c>
      <c r="B172" s="2947" t="s">
        <v>3044</v>
      </c>
      <c r="C172" s="2947"/>
      <c r="D172" s="2947"/>
      <c r="E172" s="2947"/>
      <c r="F172" s="2947">
        <v>2880</v>
      </c>
      <c r="G172" s="2947"/>
    </row>
    <row r="173" spans="1:7" s="2781" customFormat="1" ht="14.25" customHeight="1">
      <c r="A173" s="2947" t="s">
        <v>29</v>
      </c>
      <c r="B173" s="2947" t="s">
        <v>3046</v>
      </c>
      <c r="C173" s="2947"/>
      <c r="D173" s="2947"/>
      <c r="E173" s="2947"/>
      <c r="F173" s="2947">
        <v>2150</v>
      </c>
      <c r="G173" s="2947"/>
    </row>
    <row r="174" spans="1:7" s="2781" customFormat="1" ht="14.25" customHeight="1">
      <c r="A174" s="2947" t="s">
        <v>29</v>
      </c>
      <c r="B174" s="2947" t="s">
        <v>3048</v>
      </c>
      <c r="C174" s="2947"/>
      <c r="D174" s="2947"/>
      <c r="E174" s="2947"/>
      <c r="F174" s="2947">
        <v>2030</v>
      </c>
      <c r="G174" s="2947"/>
    </row>
    <row r="175" spans="1:7" s="2781" customFormat="1" ht="14.25" customHeight="1">
      <c r="A175" s="2947" t="s">
        <v>29</v>
      </c>
      <c r="B175" s="2947" t="s">
        <v>3050</v>
      </c>
      <c r="C175" s="2947"/>
      <c r="D175" s="2947"/>
      <c r="E175" s="2947"/>
      <c r="F175" s="2947">
        <v>2780</v>
      </c>
      <c r="G175" s="2947"/>
    </row>
    <row r="176" spans="1:7" s="2781" customFormat="1" ht="14.25" customHeight="1">
      <c r="A176" s="2947" t="s">
        <v>29</v>
      </c>
      <c r="B176" s="2947" t="s">
        <v>3052</v>
      </c>
      <c r="C176" s="2947"/>
      <c r="D176" s="2947"/>
      <c r="E176" s="2947"/>
      <c r="F176" s="2947">
        <v>2780</v>
      </c>
      <c r="G176" s="2947"/>
    </row>
    <row r="177" spans="1:7" s="2781" customFormat="1" ht="14.25" customHeight="1">
      <c r="A177" s="2947" t="s">
        <v>29</v>
      </c>
      <c r="B177" s="2947" t="s">
        <v>3084</v>
      </c>
      <c r="C177" s="2947"/>
      <c r="D177" s="2947"/>
      <c r="E177" s="2947"/>
      <c r="F177" s="2947">
        <v>2780</v>
      </c>
      <c r="G177" s="2947"/>
    </row>
    <row r="178" spans="1:7" s="2781" customFormat="1" ht="14.25" customHeight="1">
      <c r="A178" s="2947" t="s">
        <v>29</v>
      </c>
      <c r="B178" s="2947" t="s">
        <v>3085</v>
      </c>
      <c r="C178" s="2947"/>
      <c r="D178" s="2947"/>
      <c r="E178" s="2947"/>
      <c r="F178" s="2947">
        <v>2060</v>
      </c>
      <c r="G178" s="2947"/>
    </row>
    <row r="179" spans="1:7" s="2781" customFormat="1" ht="14.25" customHeight="1">
      <c r="A179" s="2947" t="s">
        <v>29</v>
      </c>
      <c r="B179" s="2947" t="s">
        <v>3086</v>
      </c>
      <c r="C179" s="2947"/>
      <c r="D179" s="2947"/>
      <c r="E179" s="2947"/>
      <c r="F179" s="2947">
        <v>2120</v>
      </c>
      <c r="G179" s="2947"/>
    </row>
    <row r="180" spans="1:7" s="2781" customFormat="1" ht="14.25" customHeight="1">
      <c r="A180" s="2947" t="s">
        <v>29</v>
      </c>
      <c r="B180" s="2947" t="s">
        <v>3058</v>
      </c>
      <c r="C180" s="2947"/>
      <c r="D180" s="2947"/>
      <c r="E180" s="2947"/>
      <c r="F180" s="2947">
        <v>2340</v>
      </c>
      <c r="G180" s="2947"/>
    </row>
    <row r="181" spans="1:7" s="2781" customFormat="1" ht="14.25" customHeight="1">
      <c r="A181" s="2947" t="s">
        <v>29</v>
      </c>
      <c r="B181" s="2947" t="s">
        <v>3059</v>
      </c>
      <c r="C181" s="2947"/>
      <c r="D181" s="2947"/>
      <c r="E181" s="2947"/>
      <c r="F181" s="2947">
        <v>2340</v>
      </c>
      <c r="G181" s="2947"/>
    </row>
    <row r="182" spans="1:7" s="2781" customFormat="1" ht="14.25" customHeight="1">
      <c r="A182" s="2947" t="s">
        <v>29</v>
      </c>
      <c r="B182" s="2947" t="s">
        <v>3060</v>
      </c>
      <c r="C182" s="2947"/>
      <c r="D182" s="2947"/>
      <c r="E182" s="2947"/>
      <c r="F182" s="2947">
        <v>2340</v>
      </c>
      <c r="G182" s="2947"/>
    </row>
    <row r="183" spans="1:7" s="2781" customFormat="1" ht="14.25" customHeight="1">
      <c r="A183" s="2947" t="s">
        <v>29</v>
      </c>
      <c r="B183" s="2947" t="s">
        <v>3061</v>
      </c>
      <c r="C183" s="2947"/>
      <c r="D183" s="2947"/>
      <c r="E183" s="2947"/>
      <c r="F183" s="2947">
        <v>2340</v>
      </c>
      <c r="G183" s="2947"/>
    </row>
    <row r="184" spans="1:7" s="2781" customFormat="1" ht="14.25" customHeight="1">
      <c r="A184" s="2947" t="s">
        <v>29</v>
      </c>
      <c r="B184" s="2947" t="s">
        <v>3062</v>
      </c>
      <c r="C184" s="2947"/>
      <c r="D184" s="2947"/>
      <c r="E184" s="2947"/>
      <c r="F184" s="2947">
        <v>2340</v>
      </c>
      <c r="G184" s="2947"/>
    </row>
    <row r="185" spans="1:7" s="2781" customFormat="1" ht="14.25" customHeight="1">
      <c r="A185" s="2947" t="s">
        <v>29</v>
      </c>
      <c r="B185" s="2947" t="s">
        <v>3063</v>
      </c>
      <c r="C185" s="2947"/>
      <c r="D185" s="2947"/>
      <c r="E185" s="2947"/>
      <c r="F185" s="2947">
        <v>2530</v>
      </c>
      <c r="G185" s="2947"/>
    </row>
    <row r="186" spans="1:7" s="2781" customFormat="1" ht="14.25" customHeight="1">
      <c r="A186" s="2947" t="s">
        <v>29</v>
      </c>
      <c r="B186" s="2947" t="s">
        <v>3064</v>
      </c>
      <c r="C186" s="2947"/>
      <c r="D186" s="2947"/>
      <c r="E186" s="2947"/>
      <c r="F186" s="2947">
        <v>2550</v>
      </c>
      <c r="G186" s="2947"/>
    </row>
    <row r="187" spans="1:7" s="2781" customFormat="1" ht="14.25" customHeight="1">
      <c r="A187" s="2947" t="s">
        <v>29</v>
      </c>
      <c r="B187" s="2947" t="s">
        <v>3065</v>
      </c>
      <c r="C187" s="2947"/>
      <c r="D187" s="2947"/>
      <c r="E187" s="2947"/>
      <c r="F187" s="2947">
        <v>2070</v>
      </c>
      <c r="G187" s="2947"/>
    </row>
    <row r="188" spans="1:7" s="2781" customFormat="1" ht="14.25" customHeight="1">
      <c r="A188" s="2947" t="s">
        <v>29</v>
      </c>
      <c r="B188" s="2947" t="s">
        <v>3066</v>
      </c>
      <c r="C188" s="2947"/>
      <c r="D188" s="2947"/>
      <c r="E188" s="2947"/>
      <c r="F188" s="2947">
        <v>2340</v>
      </c>
      <c r="G188" s="2947"/>
    </row>
    <row r="189" spans="1:7" s="2781" customFormat="1" ht="14.25" customHeight="1" thickBot="1">
      <c r="A189" s="2955" t="s">
        <v>29</v>
      </c>
      <c r="B189" s="2958" t="s">
        <v>3067</v>
      </c>
      <c r="C189" s="2958"/>
      <c r="D189" s="2958"/>
      <c r="E189" s="2958"/>
      <c r="F189" s="2958">
        <v>2050</v>
      </c>
      <c r="G189" s="2958"/>
    </row>
    <row r="190" spans="1:7" s="2781" customFormat="1" ht="14.25" customHeight="1">
      <c r="A190" s="2952" t="s">
        <v>304</v>
      </c>
      <c r="B190" s="2943" t="s">
        <v>3087</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3088</v>
      </c>
      <c r="C199" s="2947">
        <v>8690</v>
      </c>
      <c r="D199" s="2947">
        <v>8630</v>
      </c>
      <c r="E199" s="2947">
        <v>11350</v>
      </c>
      <c r="F199" s="2947">
        <v>1600</v>
      </c>
      <c r="G199" s="2960">
        <v>5450</v>
      </c>
    </row>
    <row r="200" spans="1:7" s="2781" customFormat="1" ht="14.25" customHeight="1">
      <c r="A200" s="2947" t="s">
        <v>304</v>
      </c>
      <c r="B200" s="2947" t="s">
        <v>2899</v>
      </c>
      <c r="C200" s="2947"/>
      <c r="D200" s="2947"/>
      <c r="E200" s="2947"/>
      <c r="F200" s="2947">
        <v>1510</v>
      </c>
      <c r="G200" s="2960"/>
    </row>
    <row r="201" spans="1:7" s="2781" customFormat="1" ht="14.25" customHeight="1">
      <c r="A201" s="2947" t="s">
        <v>304</v>
      </c>
      <c r="B201" s="2947" t="s">
        <v>3089</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3090</v>
      </c>
      <c r="C203" s="2947">
        <v>8130</v>
      </c>
      <c r="D203" s="2947">
        <v>8070</v>
      </c>
      <c r="E203" s="2947">
        <v>10820</v>
      </c>
      <c r="F203" s="2947">
        <v>1690</v>
      </c>
      <c r="G203" s="2960">
        <v>5100</v>
      </c>
    </row>
    <row r="204" spans="1:7" s="2781" customFormat="1" ht="14.25" customHeight="1">
      <c r="A204" s="2947" t="s">
        <v>304</v>
      </c>
      <c r="B204" s="2947" t="s">
        <v>2910</v>
      </c>
      <c r="C204" s="2947">
        <v>8350</v>
      </c>
      <c r="D204" s="2947">
        <v>8290</v>
      </c>
      <c r="E204" s="2947">
        <v>11080</v>
      </c>
      <c r="F204" s="2947">
        <v>1450</v>
      </c>
      <c r="G204" s="2960">
        <v>5240</v>
      </c>
    </row>
    <row r="205" spans="1:7" s="2781" customFormat="1" ht="14.25" customHeight="1">
      <c r="A205" s="2947" t="s">
        <v>304</v>
      </c>
      <c r="B205" s="2947" t="s">
        <v>2912</v>
      </c>
      <c r="C205" s="2947">
        <v>7190</v>
      </c>
      <c r="D205" s="2947">
        <v>7130</v>
      </c>
      <c r="E205" s="2947">
        <v>9490</v>
      </c>
      <c r="F205" s="2947">
        <v>1470</v>
      </c>
      <c r="G205" s="2960">
        <v>4510</v>
      </c>
    </row>
    <row r="206" spans="1:7" s="2781" customFormat="1" ht="14.25" customHeight="1">
      <c r="A206" s="2947" t="s">
        <v>304</v>
      </c>
      <c r="B206" s="2947" t="s">
        <v>2915</v>
      </c>
      <c r="C206" s="2947">
        <v>7000</v>
      </c>
      <c r="D206" s="2947">
        <v>6950</v>
      </c>
      <c r="E206" s="2947">
        <v>9170</v>
      </c>
      <c r="F206" s="2947">
        <v>1400</v>
      </c>
      <c r="G206" s="2960">
        <v>4380</v>
      </c>
    </row>
    <row r="207" spans="1:7" s="2781" customFormat="1" ht="14.25" customHeight="1">
      <c r="A207" s="2947" t="s">
        <v>304</v>
      </c>
      <c r="B207" s="2947" t="s">
        <v>2917</v>
      </c>
      <c r="C207" s="2947">
        <v>6950</v>
      </c>
      <c r="D207" s="2947">
        <v>6900</v>
      </c>
      <c r="E207" s="2947">
        <v>9110</v>
      </c>
      <c r="F207" s="2947">
        <v>1790</v>
      </c>
      <c r="G207" s="2960">
        <v>4360</v>
      </c>
    </row>
    <row r="208" spans="1:7" s="2781" customFormat="1" ht="14.25" customHeight="1">
      <c r="A208" s="2947" t="s">
        <v>304</v>
      </c>
      <c r="B208" s="2947" t="s">
        <v>3091</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2927</v>
      </c>
      <c r="C210" s="2947">
        <v>8710</v>
      </c>
      <c r="D210" s="2947">
        <v>8660</v>
      </c>
      <c r="E210" s="2947">
        <v>11440</v>
      </c>
      <c r="F210" s="2947">
        <v>1740</v>
      </c>
      <c r="G210" s="2960">
        <v>5470</v>
      </c>
    </row>
    <row r="211" spans="1:7" s="2781" customFormat="1" ht="14.25" customHeight="1">
      <c r="A211" s="2947" t="s">
        <v>304</v>
      </c>
      <c r="B211" s="2947" t="s">
        <v>3092</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3093</v>
      </c>
      <c r="C214" s="2947">
        <v>8090</v>
      </c>
      <c r="D214" s="2947">
        <v>8030</v>
      </c>
      <c r="E214" s="2947">
        <v>10780</v>
      </c>
      <c r="F214" s="2947">
        <v>1570</v>
      </c>
      <c r="G214" s="2960">
        <v>5070</v>
      </c>
    </row>
    <row r="215" spans="1:7" s="2781" customFormat="1" ht="14.25" customHeight="1">
      <c r="A215" s="2947" t="s">
        <v>304</v>
      </c>
      <c r="B215" s="2947" t="s">
        <v>3094</v>
      </c>
      <c r="C215" s="2947">
        <v>7950</v>
      </c>
      <c r="D215" s="2947">
        <v>7900</v>
      </c>
      <c r="E215" s="2947">
        <v>10560</v>
      </c>
      <c r="F215" s="2947">
        <v>1630</v>
      </c>
      <c r="G215" s="2960">
        <v>4990</v>
      </c>
    </row>
    <row r="216" spans="1:7" s="2781" customFormat="1" ht="14.25" customHeight="1">
      <c r="A216" s="2947" t="s">
        <v>304</v>
      </c>
      <c r="B216" s="2947" t="s">
        <v>3095</v>
      </c>
      <c r="C216" s="2947">
        <v>8490</v>
      </c>
      <c r="D216" s="2947">
        <v>8440</v>
      </c>
      <c r="E216" s="2947">
        <v>11260</v>
      </c>
      <c r="F216" s="2947">
        <v>1690</v>
      </c>
      <c r="G216" s="2960">
        <v>5330</v>
      </c>
    </row>
    <row r="217" spans="1:7" s="2781" customFormat="1" ht="14.25" customHeight="1">
      <c r="A217" s="2947" t="s">
        <v>304</v>
      </c>
      <c r="B217" s="2947" t="s">
        <v>2960</v>
      </c>
      <c r="C217" s="2947">
        <v>8200</v>
      </c>
      <c r="D217" s="2947">
        <v>8150</v>
      </c>
      <c r="E217" s="2947">
        <v>10910</v>
      </c>
      <c r="F217" s="2947">
        <v>1670</v>
      </c>
      <c r="G217" s="2960">
        <v>5150</v>
      </c>
    </row>
    <row r="218" spans="1:7" s="2781" customFormat="1" ht="14.25" customHeight="1">
      <c r="A218" s="2947" t="s">
        <v>304</v>
      </c>
      <c r="B218" s="2947" t="s">
        <v>3096</v>
      </c>
      <c r="C218" s="2947"/>
      <c r="D218" s="2947"/>
      <c r="E218" s="2947"/>
      <c r="F218" s="2947">
        <v>2040</v>
      </c>
      <c r="G218" s="2960"/>
    </row>
    <row r="219" spans="1:7" s="2781" customFormat="1" ht="14.25" customHeight="1">
      <c r="A219" s="2947" t="s">
        <v>304</v>
      </c>
      <c r="B219" s="2947" t="s">
        <v>3097</v>
      </c>
      <c r="C219" s="2947"/>
      <c r="D219" s="2947"/>
      <c r="E219" s="2947"/>
      <c r="F219" s="2947">
        <v>2040</v>
      </c>
      <c r="G219" s="2960"/>
    </row>
    <row r="220" spans="1:7" s="2781" customFormat="1" ht="14.25" customHeight="1">
      <c r="A220" s="2947" t="s">
        <v>304</v>
      </c>
      <c r="B220" s="2947" t="s">
        <v>3098</v>
      </c>
      <c r="C220" s="2947"/>
      <c r="D220" s="2947"/>
      <c r="E220" s="2947"/>
      <c r="F220" s="2947">
        <v>2040</v>
      </c>
      <c r="G220" s="2960"/>
    </row>
    <row r="221" spans="1:7" s="2781" customFormat="1" ht="14.25" customHeight="1">
      <c r="A221" s="2947" t="s">
        <v>304</v>
      </c>
      <c r="B221" s="2947" t="s">
        <v>3099</v>
      </c>
      <c r="C221" s="2947"/>
      <c r="D221" s="2947"/>
      <c r="E221" s="2947"/>
      <c r="F221" s="2947">
        <v>2040</v>
      </c>
      <c r="G221" s="2960"/>
    </row>
    <row r="222" spans="1:7" s="2781" customFormat="1" ht="14.25" customHeight="1">
      <c r="A222" s="2947" t="s">
        <v>304</v>
      </c>
      <c r="B222" s="2947" t="s">
        <v>3100</v>
      </c>
      <c r="C222" s="2947"/>
      <c r="D222" s="2947"/>
      <c r="E222" s="2947"/>
      <c r="F222" s="2947">
        <v>2040</v>
      </c>
      <c r="G222" s="2960"/>
    </row>
    <row r="223" spans="1:7" s="2781" customFormat="1" ht="14.25" customHeight="1">
      <c r="A223" s="2947" t="s">
        <v>304</v>
      </c>
      <c r="B223" s="2947" t="s">
        <v>3101</v>
      </c>
      <c r="C223" s="2947"/>
      <c r="D223" s="2947"/>
      <c r="E223" s="2947"/>
      <c r="F223" s="2947">
        <v>1930</v>
      </c>
      <c r="G223" s="2960"/>
    </row>
    <row r="224" spans="1:7" s="2781" customFormat="1" ht="14.25" customHeight="1">
      <c r="A224" s="2947" t="s">
        <v>304</v>
      </c>
      <c r="B224" s="2947" t="s">
        <v>3102</v>
      </c>
      <c r="C224" s="2947"/>
      <c r="D224" s="2947"/>
      <c r="E224" s="2947"/>
      <c r="F224" s="2947">
        <v>1930</v>
      </c>
      <c r="G224" s="2960"/>
    </row>
    <row r="225" spans="1:7" s="2781" customFormat="1" ht="14.25" customHeight="1">
      <c r="A225" s="2947" t="s">
        <v>304</v>
      </c>
      <c r="B225" s="2947" t="s">
        <v>3103</v>
      </c>
      <c r="C225" s="2947"/>
      <c r="D225" s="2947"/>
      <c r="E225" s="2947"/>
      <c r="F225" s="2947">
        <v>1930</v>
      </c>
      <c r="G225" s="2960"/>
    </row>
    <row r="226" spans="1:7" s="2781" customFormat="1" ht="14.25" customHeight="1">
      <c r="A226" s="2947" t="s">
        <v>304</v>
      </c>
      <c r="B226" s="2947" t="s">
        <v>3104</v>
      </c>
      <c r="C226" s="2947"/>
      <c r="D226" s="2947"/>
      <c r="E226" s="2947"/>
      <c r="F226" s="2947">
        <v>1700</v>
      </c>
      <c r="G226" s="2960"/>
    </row>
    <row r="227" spans="1:7" s="2781" customFormat="1" ht="14.25" customHeight="1">
      <c r="A227" s="2947" t="s">
        <v>304</v>
      </c>
      <c r="B227" s="2947" t="s">
        <v>3105</v>
      </c>
      <c r="C227" s="2947"/>
      <c r="D227" s="2947"/>
      <c r="E227" s="2947"/>
      <c r="F227" s="2947">
        <v>1520</v>
      </c>
      <c r="G227" s="2960"/>
    </row>
    <row r="228" spans="1:7" s="2781" customFormat="1" ht="14.25" customHeight="1">
      <c r="A228" s="2947" t="s">
        <v>304</v>
      </c>
      <c r="B228" s="2947" t="s">
        <v>3106</v>
      </c>
      <c r="C228" s="2947"/>
      <c r="D228" s="2947"/>
      <c r="E228" s="2947"/>
      <c r="F228" s="2947">
        <v>1520</v>
      </c>
      <c r="G228" s="2960"/>
    </row>
    <row r="229" spans="1:7" s="2781" customFormat="1" ht="14.25" customHeight="1">
      <c r="A229" s="2947" t="s">
        <v>304</v>
      </c>
      <c r="B229" s="2947" t="s">
        <v>3023</v>
      </c>
      <c r="C229" s="2947"/>
      <c r="D229" s="2947"/>
      <c r="E229" s="2947"/>
      <c r="F229" s="2947">
        <v>1520</v>
      </c>
      <c r="G229" s="2960"/>
    </row>
    <row r="230" spans="1:7" s="2781" customFormat="1" ht="14.25" customHeight="1">
      <c r="A230" s="2947" t="s">
        <v>304</v>
      </c>
      <c r="B230" s="2947" t="s">
        <v>3107</v>
      </c>
      <c r="C230" s="2947"/>
      <c r="D230" s="2947"/>
      <c r="E230" s="2947"/>
      <c r="F230" s="2947">
        <v>1820</v>
      </c>
      <c r="G230" s="2960"/>
    </row>
    <row r="231" spans="1:7" s="2781" customFormat="1" ht="14.25" customHeight="1">
      <c r="A231" s="2947" t="s">
        <v>304</v>
      </c>
      <c r="B231" s="2947" t="s">
        <v>3108</v>
      </c>
      <c r="C231" s="2947"/>
      <c r="D231" s="2947"/>
      <c r="E231" s="2947"/>
      <c r="F231" s="2947">
        <v>1760</v>
      </c>
      <c r="G231" s="2960"/>
    </row>
    <row r="232" spans="1:7" s="2781" customFormat="1" ht="14.25" customHeight="1">
      <c r="A232" s="2947" t="s">
        <v>304</v>
      </c>
      <c r="B232" s="2947" t="s">
        <v>3109</v>
      </c>
      <c r="C232" s="2947"/>
      <c r="D232" s="2947"/>
      <c r="E232" s="2947"/>
      <c r="F232" s="2947">
        <v>1840</v>
      </c>
      <c r="G232" s="2960"/>
    </row>
    <row r="233" spans="1:7" s="2781" customFormat="1" ht="14.25" customHeight="1" thickBot="1">
      <c r="A233" s="2961" t="s">
        <v>304</v>
      </c>
      <c r="B233" s="2954" t="s">
        <v>3040</v>
      </c>
      <c r="C233" s="2954"/>
      <c r="D233" s="2954"/>
      <c r="E233" s="2954"/>
      <c r="F233" s="2954">
        <v>1770</v>
      </c>
      <c r="G233" s="2962"/>
    </row>
    <row r="234" spans="1:7" s="2781" customFormat="1" ht="14.25" customHeight="1">
      <c r="A234" s="2952" t="s">
        <v>305</v>
      </c>
      <c r="B234" s="2943" t="s">
        <v>3110</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2881</v>
      </c>
      <c r="C238" s="2947">
        <v>6920</v>
      </c>
      <c r="D238" s="2947">
        <v>6890</v>
      </c>
      <c r="E238" s="2947">
        <v>8640</v>
      </c>
      <c r="F238" s="2947">
        <v>1310</v>
      </c>
      <c r="G238" s="2947">
        <v>4230</v>
      </c>
    </row>
    <row r="239" spans="1:7" s="2781" customFormat="1" ht="14.25" customHeight="1">
      <c r="A239" s="2947" t="s">
        <v>305</v>
      </c>
      <c r="B239" s="2947" t="s">
        <v>3111</v>
      </c>
      <c r="C239" s="2947">
        <v>6780</v>
      </c>
      <c r="D239" s="2947">
        <v>6750</v>
      </c>
      <c r="E239" s="2947">
        <v>8440</v>
      </c>
      <c r="F239" s="2947">
        <v>1160</v>
      </c>
      <c r="G239" s="2947">
        <v>4140</v>
      </c>
    </row>
    <row r="240" spans="1:7" s="2781" customFormat="1" ht="14.25" customHeight="1">
      <c r="A240" s="2947" t="s">
        <v>305</v>
      </c>
      <c r="B240" s="2947" t="s">
        <v>3112</v>
      </c>
      <c r="C240" s="2947">
        <v>5420</v>
      </c>
      <c r="D240" s="2947">
        <v>5380</v>
      </c>
      <c r="E240" s="2947">
        <v>6640</v>
      </c>
      <c r="F240" s="2947">
        <v>1020</v>
      </c>
      <c r="G240" s="2947">
        <v>3300</v>
      </c>
    </row>
    <row r="241" spans="1:7" s="2781" customFormat="1" ht="14.25" customHeight="1">
      <c r="A241" s="2947" t="s">
        <v>305</v>
      </c>
      <c r="B241" s="2947" t="s">
        <v>3113</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3114</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3115</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3116</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3117</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3118</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2943</v>
      </c>
      <c r="C258" s="2947">
        <v>6190</v>
      </c>
      <c r="D258" s="2947">
        <v>6160</v>
      </c>
      <c r="E258" s="2947">
        <v>7680</v>
      </c>
      <c r="F258" s="2947">
        <v>1170</v>
      </c>
      <c r="G258" s="2947">
        <v>3780</v>
      </c>
    </row>
    <row r="259" spans="1:7" s="2781" customFormat="1" ht="14.25" customHeight="1">
      <c r="A259" s="2947" t="s">
        <v>305</v>
      </c>
      <c r="B259" s="2947" t="s">
        <v>3119</v>
      </c>
      <c r="C259" s="2947">
        <v>7610</v>
      </c>
      <c r="D259" s="2947">
        <v>7570</v>
      </c>
      <c r="E259" s="2947">
        <v>9350</v>
      </c>
      <c r="F259" s="2947">
        <v>1350</v>
      </c>
      <c r="G259" s="2947">
        <v>4650</v>
      </c>
    </row>
    <row r="260" spans="1:7" s="2781" customFormat="1" ht="14.25" customHeight="1">
      <c r="A260" s="2947" t="s">
        <v>305</v>
      </c>
      <c r="B260" s="2947" t="s">
        <v>3120</v>
      </c>
      <c r="C260" s="2947">
        <v>6920</v>
      </c>
      <c r="D260" s="2947">
        <v>6880</v>
      </c>
      <c r="E260" s="2947">
        <v>8380</v>
      </c>
      <c r="F260" s="2947">
        <v>1160</v>
      </c>
      <c r="G260" s="2947">
        <v>4220</v>
      </c>
    </row>
    <row r="261" spans="1:7" s="2781" customFormat="1" ht="14.25" customHeight="1">
      <c r="A261" s="2947" t="s">
        <v>305</v>
      </c>
      <c r="B261" s="2947" t="s">
        <v>3121</v>
      </c>
      <c r="C261" s="2947">
        <v>6850</v>
      </c>
      <c r="D261" s="2947">
        <v>6810</v>
      </c>
      <c r="E261" s="2947">
        <v>8290</v>
      </c>
      <c r="F261" s="2947">
        <v>1130</v>
      </c>
      <c r="G261" s="2947">
        <v>4180</v>
      </c>
    </row>
    <row r="262" spans="1:7" s="2781" customFormat="1" ht="14.25" customHeight="1">
      <c r="A262" s="2947" t="s">
        <v>305</v>
      </c>
      <c r="B262" s="2947" t="s">
        <v>3122</v>
      </c>
      <c r="C262" s="2947">
        <v>5860</v>
      </c>
      <c r="D262" s="2947">
        <v>5820</v>
      </c>
      <c r="E262" s="2947">
        <v>7640</v>
      </c>
      <c r="F262" s="2947">
        <v>1070</v>
      </c>
      <c r="G262" s="2947">
        <v>3570</v>
      </c>
    </row>
    <row r="263" spans="1:7" s="2781" customFormat="1" ht="14.25" customHeight="1">
      <c r="A263" s="2947" t="s">
        <v>305</v>
      </c>
      <c r="B263" s="2947" t="s">
        <v>3123</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3124</v>
      </c>
      <c r="C265" s="2947"/>
      <c r="D265" s="2947"/>
      <c r="E265" s="2947"/>
      <c r="F265" s="2947">
        <v>1500</v>
      </c>
      <c r="G265" s="2947"/>
    </row>
    <row r="266" spans="1:7" s="2781" customFormat="1" ht="14.25" customHeight="1">
      <c r="A266" s="2947" t="s">
        <v>305</v>
      </c>
      <c r="B266" s="2947" t="s">
        <v>3125</v>
      </c>
      <c r="C266" s="2947"/>
      <c r="D266" s="2947"/>
      <c r="E266" s="2947"/>
      <c r="F266" s="2947">
        <v>1500</v>
      </c>
      <c r="G266" s="2947"/>
    </row>
    <row r="267" spans="1:7" s="2781" customFormat="1" ht="14.25" customHeight="1">
      <c r="A267" s="2947" t="s">
        <v>305</v>
      </c>
      <c r="B267" s="2947" t="s">
        <v>3126</v>
      </c>
      <c r="C267" s="2947"/>
      <c r="D267" s="2947"/>
      <c r="E267" s="2947"/>
      <c r="F267" s="2947">
        <v>1500</v>
      </c>
      <c r="G267" s="2947"/>
    </row>
    <row r="268" spans="1:7" s="2781" customFormat="1" ht="14.25" customHeight="1">
      <c r="A268" s="2947" t="s">
        <v>305</v>
      </c>
      <c r="B268" s="2947" t="s">
        <v>3127</v>
      </c>
      <c r="C268" s="2947"/>
      <c r="D268" s="2947"/>
      <c r="E268" s="2947"/>
      <c r="F268" s="2947">
        <v>1290</v>
      </c>
      <c r="G268" s="2947"/>
    </row>
    <row r="269" spans="1:7" s="2781" customFormat="1" ht="14.25" customHeight="1">
      <c r="A269" s="2947" t="s">
        <v>305</v>
      </c>
      <c r="B269" s="2947" t="s">
        <v>3128</v>
      </c>
      <c r="C269" s="2947"/>
      <c r="D269" s="2947"/>
      <c r="E269" s="2947"/>
      <c r="F269" s="2947">
        <v>1150</v>
      </c>
      <c r="G269" s="2947"/>
    </row>
    <row r="270" spans="1:7" s="2781" customFormat="1" ht="14.25" customHeight="1">
      <c r="A270" s="2947" t="s">
        <v>305</v>
      </c>
      <c r="B270" s="2947" t="s">
        <v>3129</v>
      </c>
      <c r="C270" s="2947"/>
      <c r="D270" s="2947"/>
      <c r="E270" s="2947"/>
      <c r="F270" s="2947">
        <v>1380</v>
      </c>
      <c r="G270" s="2947"/>
    </row>
    <row r="271" spans="1:7" s="2781" customFormat="1" ht="14.25" customHeight="1">
      <c r="A271" s="2947" t="s">
        <v>305</v>
      </c>
      <c r="B271" s="2947" t="s">
        <v>3130</v>
      </c>
      <c r="C271" s="2947"/>
      <c r="D271" s="2947"/>
      <c r="E271" s="2947"/>
      <c r="F271" s="2947">
        <v>1460</v>
      </c>
      <c r="G271" s="2947"/>
    </row>
    <row r="272" spans="1:7" s="2781" customFormat="1" ht="14.25" customHeight="1">
      <c r="A272" s="2947" t="s">
        <v>305</v>
      </c>
      <c r="B272" s="2947" t="s">
        <v>3131</v>
      </c>
      <c r="C272" s="2947"/>
      <c r="D272" s="2947"/>
      <c r="E272" s="2947"/>
      <c r="F272" s="2947">
        <v>1460</v>
      </c>
      <c r="G272" s="2947"/>
    </row>
    <row r="273" spans="1:7" s="2781" customFormat="1" ht="14.25" customHeight="1">
      <c r="A273" s="2947" t="s">
        <v>305</v>
      </c>
      <c r="B273" s="2947" t="s">
        <v>3024</v>
      </c>
      <c r="C273" s="2947"/>
      <c r="D273" s="2947"/>
      <c r="E273" s="2947"/>
      <c r="F273" s="2947">
        <v>1490</v>
      </c>
      <c r="G273" s="2947"/>
    </row>
    <row r="274" spans="1:7" s="2781" customFormat="1" ht="14.25" customHeight="1">
      <c r="A274" s="2947" t="s">
        <v>305</v>
      </c>
      <c r="B274" s="2947" t="s">
        <v>3132</v>
      </c>
      <c r="C274" s="2947"/>
      <c r="D274" s="2947"/>
      <c r="E274" s="2947"/>
      <c r="F274" s="2947">
        <v>1490</v>
      </c>
      <c r="G274" s="2947"/>
    </row>
    <row r="275" spans="1:7" s="2781" customFormat="1" ht="14.25" customHeight="1">
      <c r="A275" s="2947" t="s">
        <v>305</v>
      </c>
      <c r="B275" s="2947" t="s">
        <v>3133</v>
      </c>
      <c r="C275" s="2947"/>
      <c r="D275" s="2947"/>
      <c r="E275" s="2947"/>
      <c r="F275" s="2947">
        <v>1220</v>
      </c>
      <c r="G275" s="2947"/>
    </row>
    <row r="276" spans="1:7" s="2781" customFormat="1" ht="14.25" customHeight="1" thickBot="1">
      <c r="A276" s="2955" t="s">
        <v>305</v>
      </c>
      <c r="B276" s="2957" t="s">
        <v>3134</v>
      </c>
      <c r="C276" s="2958"/>
      <c r="D276" s="2958"/>
      <c r="E276" s="2958"/>
      <c r="F276" s="2958">
        <v>1380</v>
      </c>
      <c r="G276" s="2958"/>
    </row>
    <row r="277" spans="1:7" s="2781" customFormat="1" ht="14.25" customHeight="1">
      <c r="A277" s="2952" t="s">
        <v>306</v>
      </c>
      <c r="B277" s="2943" t="s">
        <v>3135</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3136</v>
      </c>
      <c r="C279" s="2947">
        <v>4760</v>
      </c>
      <c r="D279" s="2947">
        <v>4720</v>
      </c>
      <c r="E279" s="2947">
        <v>5540</v>
      </c>
      <c r="F279" s="2947">
        <v>810</v>
      </c>
      <c r="G279" s="2960">
        <v>2850</v>
      </c>
    </row>
    <row r="280" spans="1:7" s="2781" customFormat="1" ht="14.25" customHeight="1">
      <c r="A280" s="2947" t="s">
        <v>306</v>
      </c>
      <c r="B280" s="2947" t="s">
        <v>3137</v>
      </c>
      <c r="C280" s="2947">
        <v>4010</v>
      </c>
      <c r="D280" s="2947">
        <v>3950</v>
      </c>
      <c r="E280" s="2947">
        <v>4710</v>
      </c>
      <c r="F280" s="2947">
        <v>800</v>
      </c>
      <c r="G280" s="2960">
        <v>2390</v>
      </c>
    </row>
    <row r="281" spans="1:7" s="2781" customFormat="1" ht="14.25" customHeight="1">
      <c r="A281" s="2947" t="s">
        <v>306</v>
      </c>
      <c r="B281" s="2947" t="s">
        <v>3138</v>
      </c>
      <c r="C281" s="2947">
        <v>4480</v>
      </c>
      <c r="D281" s="2947">
        <v>4420</v>
      </c>
      <c r="E281" s="2947">
        <v>5230</v>
      </c>
      <c r="F281" s="2947">
        <v>870</v>
      </c>
      <c r="G281" s="2960">
        <v>2660</v>
      </c>
    </row>
    <row r="282" spans="1:7" s="2781" customFormat="1" ht="14.25" customHeight="1">
      <c r="A282" s="2947" t="s">
        <v>306</v>
      </c>
      <c r="B282" s="2947" t="s">
        <v>3139</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3140</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3141</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2916</v>
      </c>
      <c r="C293" s="2947">
        <v>5320</v>
      </c>
      <c r="D293" s="2947">
        <v>5270</v>
      </c>
      <c r="E293" s="2947">
        <v>6160</v>
      </c>
      <c r="F293" s="2947">
        <v>990</v>
      </c>
      <c r="G293" s="2960">
        <v>3170</v>
      </c>
    </row>
    <row r="294" spans="1:7" s="2781" customFormat="1" ht="14.25" customHeight="1">
      <c r="A294" s="2947" t="s">
        <v>306</v>
      </c>
      <c r="B294" s="2947" t="s">
        <v>3142</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2935</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3143</v>
      </c>
      <c r="C302" s="2947">
        <v>5520</v>
      </c>
      <c r="D302" s="2947">
        <v>5470</v>
      </c>
      <c r="E302" s="2947">
        <v>6410</v>
      </c>
      <c r="F302" s="2947">
        <v>950</v>
      </c>
      <c r="G302" s="2960">
        <v>3300</v>
      </c>
    </row>
    <row r="303" spans="1:7" s="2781" customFormat="1" ht="14.25" customHeight="1">
      <c r="A303" s="2947" t="s">
        <v>306</v>
      </c>
      <c r="B303" s="2947" t="s">
        <v>2955</v>
      </c>
      <c r="C303" s="2947">
        <v>5630</v>
      </c>
      <c r="D303" s="2947">
        <v>5590</v>
      </c>
      <c r="E303" s="2947">
        <v>6550</v>
      </c>
      <c r="F303" s="2947">
        <v>1010</v>
      </c>
      <c r="G303" s="2960">
        <v>3370</v>
      </c>
    </row>
    <row r="304" spans="1:7" s="2781" customFormat="1" ht="14.25" customHeight="1">
      <c r="A304" s="2947" t="s">
        <v>306</v>
      </c>
      <c r="B304" s="2947" t="s">
        <v>2962</v>
      </c>
      <c r="C304" s="2947">
        <v>5680</v>
      </c>
      <c r="D304" s="2947">
        <v>5620</v>
      </c>
      <c r="E304" s="2947">
        <v>6620</v>
      </c>
      <c r="F304" s="2947">
        <v>1050</v>
      </c>
      <c r="G304" s="2960">
        <v>3390</v>
      </c>
    </row>
    <row r="305" spans="1:7" s="2781" customFormat="1" ht="14.25" customHeight="1">
      <c r="A305" s="2947" t="s">
        <v>306</v>
      </c>
      <c r="B305" s="2947" t="s">
        <v>2968</v>
      </c>
      <c r="C305" s="2947">
        <v>5590</v>
      </c>
      <c r="D305" s="2947">
        <v>5530</v>
      </c>
      <c r="E305" s="2947">
        <v>6460</v>
      </c>
      <c r="F305" s="2947">
        <v>900</v>
      </c>
      <c r="G305" s="2960">
        <v>3340</v>
      </c>
    </row>
    <row r="306" spans="1:7" s="2781" customFormat="1" ht="14.25" customHeight="1">
      <c r="A306" s="2947" t="s">
        <v>306</v>
      </c>
      <c r="B306" s="2947" t="s">
        <v>3144</v>
      </c>
      <c r="C306" s="2947">
        <v>5560</v>
      </c>
      <c r="D306" s="2947">
        <v>5510</v>
      </c>
      <c r="E306" s="2947">
        <v>6440</v>
      </c>
      <c r="F306" s="2947">
        <v>900</v>
      </c>
      <c r="G306" s="2960">
        <v>3320</v>
      </c>
    </row>
    <row r="307" spans="1:7" s="2781" customFormat="1" ht="14.25" customHeight="1">
      <c r="A307" s="2947" t="s">
        <v>306</v>
      </c>
      <c r="B307" s="2947" t="s">
        <v>2980</v>
      </c>
      <c r="C307" s="2947">
        <v>5650</v>
      </c>
      <c r="D307" s="2947">
        <v>5600</v>
      </c>
      <c r="E307" s="2947">
        <v>6590</v>
      </c>
      <c r="F307" s="2947">
        <v>930</v>
      </c>
      <c r="G307" s="2960">
        <v>3380</v>
      </c>
    </row>
    <row r="308" spans="1:7" s="2781" customFormat="1" ht="14.25" customHeight="1">
      <c r="A308" s="2947" t="s">
        <v>306</v>
      </c>
      <c r="B308" s="2947" t="s">
        <v>3145</v>
      </c>
      <c r="C308" s="2947">
        <v>5620</v>
      </c>
      <c r="D308" s="2947">
        <v>5580</v>
      </c>
      <c r="E308" s="2947">
        <v>6540</v>
      </c>
      <c r="F308" s="2947">
        <v>910</v>
      </c>
      <c r="G308" s="2960">
        <v>3370</v>
      </c>
    </row>
    <row r="309" spans="1:7" s="2781" customFormat="1" ht="14.25" customHeight="1">
      <c r="A309" s="2947" t="s">
        <v>306</v>
      </c>
      <c r="B309" s="2947" t="s">
        <v>3146</v>
      </c>
      <c r="C309" s="2947">
        <v>5060</v>
      </c>
      <c r="D309" s="2947">
        <v>5020</v>
      </c>
      <c r="E309" s="2947">
        <v>6370</v>
      </c>
      <c r="F309" s="2947">
        <v>800</v>
      </c>
      <c r="G309" s="2960">
        <v>3020</v>
      </c>
    </row>
    <row r="310" spans="1:7" s="2781" customFormat="1" ht="14.25" customHeight="1">
      <c r="A310" s="2947" t="s">
        <v>306</v>
      </c>
      <c r="B310" s="2947" t="s">
        <v>2995</v>
      </c>
      <c r="C310" s="2947">
        <v>5150</v>
      </c>
      <c r="D310" s="2947">
        <v>5110</v>
      </c>
      <c r="E310" s="2947">
        <v>6500</v>
      </c>
      <c r="F310" s="2947">
        <v>880</v>
      </c>
      <c r="G310" s="2960">
        <v>3080</v>
      </c>
    </row>
    <row r="311" spans="1:7" s="2781" customFormat="1" ht="14.25" customHeight="1">
      <c r="A311" s="2947" t="s">
        <v>306</v>
      </c>
      <c r="B311" s="2947" t="s">
        <v>3147</v>
      </c>
      <c r="C311" s="2947">
        <v>4750</v>
      </c>
      <c r="D311" s="2947">
        <v>4710</v>
      </c>
      <c r="E311" s="2947">
        <v>5510</v>
      </c>
      <c r="F311" s="2947">
        <v>880</v>
      </c>
      <c r="G311" s="2960">
        <v>2840</v>
      </c>
    </row>
    <row r="312" spans="1:7" s="2781" customFormat="1" ht="14.25" customHeight="1">
      <c r="A312" s="2947" t="s">
        <v>306</v>
      </c>
      <c r="B312" s="2947" t="s">
        <v>3005</v>
      </c>
      <c r="C312" s="2947">
        <v>4690</v>
      </c>
      <c r="D312" s="2947">
        <v>4640</v>
      </c>
      <c r="E312" s="2947">
        <v>5420</v>
      </c>
      <c r="F312" s="2947">
        <v>800</v>
      </c>
      <c r="G312" s="2960">
        <v>2800</v>
      </c>
    </row>
    <row r="313" spans="1:7" s="2781" customFormat="1" ht="14.25" customHeight="1">
      <c r="A313" s="2947" t="s">
        <v>306</v>
      </c>
      <c r="B313" s="2947" t="s">
        <v>3010</v>
      </c>
      <c r="C313" s="2947">
        <v>4810</v>
      </c>
      <c r="D313" s="2947">
        <v>4760</v>
      </c>
      <c r="E313" s="2947">
        <v>5550</v>
      </c>
      <c r="F313" s="2947">
        <v>920</v>
      </c>
      <c r="G313" s="2960">
        <v>2870</v>
      </c>
    </row>
    <row r="314" spans="1:7" s="2781" customFormat="1" ht="14.25" customHeight="1">
      <c r="A314" s="2947" t="s">
        <v>306</v>
      </c>
      <c r="B314" s="2947" t="s">
        <v>3148</v>
      </c>
      <c r="C314" s="2947"/>
      <c r="D314" s="2947"/>
      <c r="E314" s="2947"/>
      <c r="F314" s="2947">
        <v>1020</v>
      </c>
      <c r="G314" s="2960"/>
    </row>
    <row r="315" spans="1:7" s="2781" customFormat="1" ht="14.25" customHeight="1">
      <c r="A315" s="2947" t="s">
        <v>306</v>
      </c>
      <c r="B315" s="2947" t="s">
        <v>3149</v>
      </c>
      <c r="C315" s="2947"/>
      <c r="D315" s="2947"/>
      <c r="E315" s="2947"/>
      <c r="F315" s="2947">
        <v>1050</v>
      </c>
      <c r="G315" s="2960"/>
    </row>
    <row r="316" spans="1:7" s="2781" customFormat="1" ht="14.25" customHeight="1">
      <c r="A316" s="2947" t="s">
        <v>306</v>
      </c>
      <c r="B316" s="2947" t="s">
        <v>3025</v>
      </c>
      <c r="C316" s="2947"/>
      <c r="D316" s="2947"/>
      <c r="E316" s="2947"/>
      <c r="F316" s="2947">
        <v>900</v>
      </c>
      <c r="G316" s="2960"/>
    </row>
    <row r="317" spans="1:7" s="2781" customFormat="1" ht="14.25" customHeight="1">
      <c r="A317" s="2947" t="s">
        <v>306</v>
      </c>
      <c r="B317" s="2947" t="s">
        <v>3150</v>
      </c>
      <c r="C317" s="2947"/>
      <c r="D317" s="2947"/>
      <c r="E317" s="2947"/>
      <c r="F317" s="2947">
        <v>920</v>
      </c>
      <c r="G317" s="2960"/>
    </row>
    <row r="318" spans="1:7" s="2781" customFormat="1" ht="14.25" customHeight="1">
      <c r="A318" s="2947" t="s">
        <v>306</v>
      </c>
      <c r="B318" s="2947" t="s">
        <v>3151</v>
      </c>
      <c r="C318" s="2947"/>
      <c r="D318" s="2947"/>
      <c r="E318" s="2947"/>
      <c r="F318" s="2947">
        <v>1080</v>
      </c>
      <c r="G318" s="2960"/>
    </row>
    <row r="319" spans="1:7" s="2781" customFormat="1" ht="14.25" customHeight="1">
      <c r="A319" s="2947" t="s">
        <v>306</v>
      </c>
      <c r="B319" s="2947" t="s">
        <v>3038</v>
      </c>
      <c r="C319" s="2947"/>
      <c r="D319" s="2947"/>
      <c r="E319" s="2947"/>
      <c r="F319" s="2947">
        <v>1020</v>
      </c>
      <c r="G319" s="2960"/>
    </row>
    <row r="320" spans="1:7" s="2781" customFormat="1" ht="14.25" customHeight="1">
      <c r="A320" s="2947" t="s">
        <v>306</v>
      </c>
      <c r="B320" s="2947" t="s">
        <v>3041</v>
      </c>
      <c r="C320" s="2947"/>
      <c r="D320" s="2947"/>
      <c r="E320" s="2947"/>
      <c r="F320" s="2947">
        <v>1050</v>
      </c>
      <c r="G320" s="2960"/>
    </row>
    <row r="321" spans="1:7" s="2781" customFormat="1" ht="14.25" customHeight="1">
      <c r="A321" s="2947" t="s">
        <v>306</v>
      </c>
      <c r="B321" s="2947" t="s">
        <v>3043</v>
      </c>
      <c r="C321" s="2947"/>
      <c r="D321" s="2947"/>
      <c r="E321" s="2947"/>
      <c r="F321" s="2947">
        <v>960</v>
      </c>
      <c r="G321" s="2960"/>
    </row>
    <row r="322" spans="1:7" s="2781" customFormat="1" ht="14.25" customHeight="1">
      <c r="A322" s="2947" t="s">
        <v>306</v>
      </c>
      <c r="B322" s="2947" t="s">
        <v>3045</v>
      </c>
      <c r="C322" s="2947"/>
      <c r="D322" s="2947"/>
      <c r="E322" s="2947"/>
      <c r="F322" s="2947">
        <v>960</v>
      </c>
      <c r="G322" s="2960"/>
    </row>
    <row r="323" spans="1:7" s="2781" customFormat="1" ht="14.25" customHeight="1">
      <c r="A323" s="2947" t="s">
        <v>306</v>
      </c>
      <c r="B323" s="2947" t="s">
        <v>3047</v>
      </c>
      <c r="C323" s="2947"/>
      <c r="D323" s="2947"/>
      <c r="E323" s="2947"/>
      <c r="F323" s="2947">
        <v>880</v>
      </c>
      <c r="G323" s="2960"/>
    </row>
    <row r="324" spans="1:7" s="2781" customFormat="1" ht="14.25" customHeight="1">
      <c r="A324" s="2947" t="s">
        <v>306</v>
      </c>
      <c r="B324" s="2947" t="s">
        <v>3049</v>
      </c>
      <c r="C324" s="2947"/>
      <c r="D324" s="2947"/>
      <c r="E324" s="2947"/>
      <c r="F324" s="2947">
        <v>930</v>
      </c>
      <c r="G324" s="2960"/>
    </row>
    <row r="325" spans="1:7" s="2781" customFormat="1" ht="14.25" customHeight="1">
      <c r="A325" s="2947" t="s">
        <v>306</v>
      </c>
      <c r="B325" s="2948" t="s">
        <v>3051</v>
      </c>
      <c r="C325" s="2947"/>
      <c r="D325" s="2947"/>
      <c r="E325" s="2947"/>
      <c r="F325" s="2947">
        <v>900</v>
      </c>
      <c r="G325" s="2960"/>
    </row>
    <row r="326" spans="1:7" s="2781" customFormat="1" ht="14.25" customHeight="1" thickBot="1">
      <c r="A326" s="2961" t="s">
        <v>306</v>
      </c>
      <c r="B326" s="2954" t="s">
        <v>3053</v>
      </c>
      <c r="C326" s="2954"/>
      <c r="D326" s="2954"/>
      <c r="E326" s="2954"/>
      <c r="F326" s="2954">
        <v>790</v>
      </c>
      <c r="G326" s="2962"/>
    </row>
    <row r="327" spans="1:7" s="2781" customFormat="1" ht="14.25" customHeight="1">
      <c r="A327" s="2952" t="s">
        <v>307</v>
      </c>
      <c r="B327" s="2943" t="s">
        <v>3152</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3153</v>
      </c>
      <c r="C329" s="2947">
        <v>2730</v>
      </c>
      <c r="D329" s="2947">
        <v>2690</v>
      </c>
      <c r="E329" s="2947">
        <v>3100</v>
      </c>
      <c r="F329" s="2947">
        <v>660</v>
      </c>
      <c r="G329" s="2947">
        <v>1610</v>
      </c>
    </row>
    <row r="330" spans="1:7" s="2781" customFormat="1" ht="14.25" customHeight="1">
      <c r="A330" s="2947" t="s">
        <v>307</v>
      </c>
      <c r="B330" s="2947" t="s">
        <v>3154</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2887</v>
      </c>
      <c r="C332" s="2947">
        <v>3520</v>
      </c>
      <c r="D332" s="2947">
        <v>3480</v>
      </c>
      <c r="E332" s="2947">
        <v>3830</v>
      </c>
      <c r="F332" s="2947">
        <v>720</v>
      </c>
      <c r="G332" s="2947">
        <v>2090</v>
      </c>
    </row>
    <row r="333" spans="1:7" s="2781" customFormat="1" ht="14.25" customHeight="1">
      <c r="A333" s="2947" t="s">
        <v>307</v>
      </c>
      <c r="B333" s="2947" t="s">
        <v>3155</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2897</v>
      </c>
      <c r="C336" s="2947">
        <v>3570</v>
      </c>
      <c r="D336" s="2947">
        <v>3530</v>
      </c>
      <c r="E336" s="2947">
        <v>3880</v>
      </c>
      <c r="F336" s="2947">
        <v>770</v>
      </c>
      <c r="G336" s="2947">
        <v>2110</v>
      </c>
    </row>
    <row r="337" spans="1:10" s="2781" customFormat="1" ht="14.25" customHeight="1">
      <c r="A337" s="2947" t="s">
        <v>307</v>
      </c>
      <c r="B337" s="2947" t="s">
        <v>3156</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3157</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3158</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2922</v>
      </c>
      <c r="C345" s="2947">
        <v>3190</v>
      </c>
      <c r="D345" s="2947">
        <v>3140</v>
      </c>
      <c r="E345" s="2947">
        <v>3450</v>
      </c>
      <c r="F345" s="2947">
        <v>720</v>
      </c>
      <c r="G345" s="2947">
        <v>1880</v>
      </c>
      <c r="J345" s="2781"/>
    </row>
    <row r="346" spans="1:10">
      <c r="A346" s="2947" t="s">
        <v>307</v>
      </c>
      <c r="B346" s="2947" t="s">
        <v>3159</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2931</v>
      </c>
      <c r="C348" s="2947">
        <v>4000</v>
      </c>
      <c r="D348" s="2947">
        <v>3950</v>
      </c>
      <c r="E348" s="2947">
        <v>4430</v>
      </c>
      <c r="F348" s="2947">
        <v>760</v>
      </c>
      <c r="G348" s="2947">
        <v>2360</v>
      </c>
      <c r="J348" s="2781"/>
    </row>
    <row r="349" spans="1:10">
      <c r="A349" s="2947" t="s">
        <v>307</v>
      </c>
      <c r="B349" s="2947" t="s">
        <v>2936</v>
      </c>
      <c r="C349" s="2947">
        <v>3820</v>
      </c>
      <c r="D349" s="2947">
        <v>3780</v>
      </c>
      <c r="E349" s="2947">
        <v>4170</v>
      </c>
      <c r="F349" s="2947">
        <v>710</v>
      </c>
      <c r="G349" s="2947">
        <v>2260</v>
      </c>
      <c r="J349" s="2781"/>
    </row>
    <row r="350" spans="1:10">
      <c r="A350" s="2947" t="s">
        <v>307</v>
      </c>
      <c r="B350" s="2947" t="s">
        <v>3160</v>
      </c>
      <c r="C350" s="2947">
        <v>3760</v>
      </c>
      <c r="D350" s="2947">
        <v>3730</v>
      </c>
      <c r="E350" s="2947">
        <v>4100</v>
      </c>
      <c r="F350" s="2947">
        <v>800</v>
      </c>
      <c r="G350" s="2947">
        <v>2230</v>
      </c>
      <c r="J350" s="2781"/>
    </row>
    <row r="351" spans="1:10">
      <c r="A351" s="2947" t="s">
        <v>307</v>
      </c>
      <c r="B351" s="2947" t="s">
        <v>2944</v>
      </c>
      <c r="C351" s="2947">
        <v>3610</v>
      </c>
      <c r="D351" s="2947">
        <v>3580</v>
      </c>
      <c r="E351" s="2947">
        <v>3930</v>
      </c>
      <c r="F351" s="2947">
        <v>700</v>
      </c>
      <c r="G351" s="2947">
        <v>2140</v>
      </c>
      <c r="J351" s="2781"/>
    </row>
    <row r="352" spans="1:10">
      <c r="A352" s="2947" t="s">
        <v>307</v>
      </c>
      <c r="B352" s="2947" t="s">
        <v>2949</v>
      </c>
      <c r="C352" s="2947">
        <v>3670</v>
      </c>
      <c r="D352" s="2947">
        <v>3630</v>
      </c>
      <c r="E352" s="2947">
        <v>4000</v>
      </c>
      <c r="F352" s="2947">
        <v>750</v>
      </c>
      <c r="G352" s="2947">
        <v>2180</v>
      </c>
    </row>
    <row r="353" spans="1:7" s="2782" customFormat="1">
      <c r="A353" s="2947" t="s">
        <v>307</v>
      </c>
      <c r="B353" s="2947" t="s">
        <v>3161</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2969</v>
      </c>
      <c r="C355" s="2947">
        <v>3650</v>
      </c>
      <c r="D355" s="2947">
        <v>3610</v>
      </c>
      <c r="E355" s="2947">
        <v>4200</v>
      </c>
      <c r="F355" s="2947">
        <v>640</v>
      </c>
      <c r="G355" s="2947">
        <v>2160</v>
      </c>
    </row>
    <row r="356" spans="1:7" s="2782" customFormat="1">
      <c r="A356" s="2947" t="s">
        <v>307</v>
      </c>
      <c r="B356" s="2947" t="s">
        <v>2976</v>
      </c>
      <c r="C356" s="2947">
        <v>3260</v>
      </c>
      <c r="D356" s="2947">
        <v>3230</v>
      </c>
      <c r="E356" s="2947">
        <v>3740</v>
      </c>
      <c r="F356" s="2947">
        <v>600</v>
      </c>
      <c r="G356" s="2947">
        <v>1930</v>
      </c>
    </row>
    <row r="357" spans="1:7" s="2782" customFormat="1" ht="11.4" thickBot="1">
      <c r="A357" s="2955" t="s">
        <v>307</v>
      </c>
      <c r="B357" s="2958" t="s">
        <v>3162</v>
      </c>
      <c r="C357" s="2958">
        <v>3690</v>
      </c>
      <c r="D357" s="2958">
        <v>3650</v>
      </c>
      <c r="E357" s="2958">
        <v>4020</v>
      </c>
      <c r="F357" s="2958">
        <v>700</v>
      </c>
      <c r="G357" s="2958">
        <v>2190</v>
      </c>
    </row>
    <row r="358" spans="1:7" s="2782" customFormat="1">
      <c r="A358" s="2952" t="s">
        <v>3163</v>
      </c>
      <c r="B358" s="2943" t="s">
        <v>3164</v>
      </c>
      <c r="C358" s="2943">
        <v>2080</v>
      </c>
      <c r="D358" s="2943">
        <v>2040</v>
      </c>
      <c r="E358" s="2943">
        <v>2010</v>
      </c>
      <c r="F358" s="2943">
        <v>530</v>
      </c>
      <c r="G358" s="2959">
        <v>1230</v>
      </c>
    </row>
    <row r="359" spans="1:7" s="2782" customFormat="1">
      <c r="A359" s="2947" t="s">
        <v>3163</v>
      </c>
      <c r="B359" s="2947" t="s">
        <v>3165</v>
      </c>
      <c r="C359" s="2947">
        <v>1850</v>
      </c>
      <c r="D359" s="2947">
        <v>1820</v>
      </c>
      <c r="E359" s="2947">
        <v>1780</v>
      </c>
      <c r="F359" s="2947">
        <v>520</v>
      </c>
      <c r="G359" s="2960">
        <v>1100</v>
      </c>
    </row>
    <row r="360" spans="1:7" s="2782" customFormat="1">
      <c r="A360" s="2947" t="s">
        <v>3163</v>
      </c>
      <c r="B360" s="2947" t="s">
        <v>3166</v>
      </c>
      <c r="C360" s="2947">
        <v>2020</v>
      </c>
      <c r="D360" s="2947">
        <v>1990</v>
      </c>
      <c r="E360" s="2947">
        <v>1950</v>
      </c>
      <c r="F360" s="2947">
        <v>500</v>
      </c>
      <c r="G360" s="2960">
        <v>1200</v>
      </c>
    </row>
    <row r="361" spans="1:7" s="2782" customFormat="1">
      <c r="A361" s="2947" t="s">
        <v>3163</v>
      </c>
      <c r="B361" s="2947" t="s">
        <v>153</v>
      </c>
      <c r="C361" s="2947">
        <v>2260</v>
      </c>
      <c r="D361" s="2947">
        <v>2220</v>
      </c>
      <c r="E361" s="2947">
        <v>2180</v>
      </c>
      <c r="F361" s="2947">
        <v>580</v>
      </c>
      <c r="G361" s="2960">
        <v>1340</v>
      </c>
    </row>
    <row r="362" spans="1:7" s="2782" customFormat="1">
      <c r="A362" s="2947" t="s">
        <v>3163</v>
      </c>
      <c r="B362" s="2947" t="s">
        <v>3167</v>
      </c>
      <c r="C362" s="2947">
        <v>2650</v>
      </c>
      <c r="D362" s="2947">
        <v>2610</v>
      </c>
      <c r="E362" s="2947">
        <v>2570</v>
      </c>
      <c r="F362" s="2947">
        <v>630</v>
      </c>
      <c r="G362" s="2960">
        <v>1570</v>
      </c>
    </row>
    <row r="363" spans="1:7" s="2782" customFormat="1">
      <c r="A363" s="2947" t="s">
        <v>3163</v>
      </c>
      <c r="B363" s="2947" t="s">
        <v>2888</v>
      </c>
      <c r="C363" s="2947">
        <v>2390</v>
      </c>
      <c r="D363" s="2947">
        <v>2360</v>
      </c>
      <c r="E363" s="2947">
        <v>2320</v>
      </c>
      <c r="F363" s="2947">
        <v>600</v>
      </c>
      <c r="G363" s="2960">
        <v>1420</v>
      </c>
    </row>
    <row r="364" spans="1:7" s="2782" customFormat="1">
      <c r="A364" s="2947" t="s">
        <v>3163</v>
      </c>
      <c r="B364" s="2947" t="s">
        <v>3168</v>
      </c>
      <c r="C364" s="2947">
        <v>2050</v>
      </c>
      <c r="D364" s="2947">
        <v>2030</v>
      </c>
      <c r="E364" s="2947">
        <v>1990</v>
      </c>
      <c r="F364" s="2947">
        <v>550</v>
      </c>
      <c r="G364" s="2960">
        <v>1220</v>
      </c>
    </row>
    <row r="365" spans="1:7" s="2782" customFormat="1">
      <c r="A365" s="2947" t="s">
        <v>3163</v>
      </c>
      <c r="B365" s="2947" t="s">
        <v>200</v>
      </c>
      <c r="C365" s="2947">
        <v>2140</v>
      </c>
      <c r="D365" s="2947">
        <v>2100</v>
      </c>
      <c r="E365" s="2947">
        <v>2060</v>
      </c>
      <c r="F365" s="2947">
        <v>540</v>
      </c>
      <c r="G365" s="2960">
        <v>1270</v>
      </c>
    </row>
    <row r="366" spans="1:7" s="2782" customFormat="1">
      <c r="A366" s="2947" t="s">
        <v>3163</v>
      </c>
      <c r="B366" s="2947" t="s">
        <v>2895</v>
      </c>
      <c r="C366" s="2947">
        <v>2410</v>
      </c>
      <c r="D366" s="2947">
        <v>2370</v>
      </c>
      <c r="E366" s="2947">
        <v>2330</v>
      </c>
      <c r="F366" s="2947">
        <v>570</v>
      </c>
      <c r="G366" s="2960">
        <v>1440</v>
      </c>
    </row>
    <row r="367" spans="1:7" s="2782" customFormat="1">
      <c r="A367" s="2947" t="s">
        <v>3163</v>
      </c>
      <c r="B367" s="2947" t="s">
        <v>3169</v>
      </c>
      <c r="C367" s="2947">
        <v>2300</v>
      </c>
      <c r="D367" s="2947">
        <v>2260</v>
      </c>
      <c r="E367" s="2947">
        <v>2220</v>
      </c>
      <c r="F367" s="2947">
        <v>560</v>
      </c>
      <c r="G367" s="2960">
        <v>1370</v>
      </c>
    </row>
    <row r="368" spans="1:7" s="2782" customFormat="1">
      <c r="A368" s="2947" t="s">
        <v>3163</v>
      </c>
      <c r="B368" s="2947" t="s">
        <v>3170</v>
      </c>
      <c r="C368" s="2947">
        <v>2430</v>
      </c>
      <c r="D368" s="2947">
        <v>2390</v>
      </c>
      <c r="E368" s="2947">
        <v>2350</v>
      </c>
      <c r="F368" s="2947">
        <v>570</v>
      </c>
      <c r="G368" s="2960">
        <v>1450</v>
      </c>
    </row>
    <row r="369" spans="1:7" s="2782" customFormat="1">
      <c r="A369" s="2947" t="s">
        <v>3163</v>
      </c>
      <c r="B369" s="2947" t="s">
        <v>214</v>
      </c>
      <c r="C369" s="2947">
        <v>2320</v>
      </c>
      <c r="D369" s="2947">
        <v>2290</v>
      </c>
      <c r="E369" s="2947">
        <v>2250</v>
      </c>
      <c r="F369" s="2947">
        <v>550</v>
      </c>
      <c r="G369" s="2960">
        <v>1380</v>
      </c>
    </row>
    <row r="370" spans="1:7" s="2782" customFormat="1">
      <c r="A370" s="2947" t="s">
        <v>3163</v>
      </c>
      <c r="B370" s="2947" t="s">
        <v>221</v>
      </c>
      <c r="C370" s="2947">
        <v>2190</v>
      </c>
      <c r="D370" s="2947">
        <v>2170</v>
      </c>
      <c r="E370" s="2947">
        <v>2130</v>
      </c>
      <c r="F370" s="2947">
        <v>530</v>
      </c>
      <c r="G370" s="2960">
        <v>1310</v>
      </c>
    </row>
    <row r="371" spans="1:7" s="2782" customFormat="1">
      <c r="A371" s="2947" t="s">
        <v>3163</v>
      </c>
      <c r="B371" s="2947" t="s">
        <v>229</v>
      </c>
      <c r="C371" s="2947">
        <v>2460</v>
      </c>
      <c r="D371" s="2947">
        <v>2420</v>
      </c>
      <c r="E371" s="2947">
        <v>2370</v>
      </c>
      <c r="F371" s="2947">
        <v>560</v>
      </c>
      <c r="G371" s="2960">
        <v>1470</v>
      </c>
    </row>
    <row r="372" spans="1:7" s="2782" customFormat="1">
      <c r="A372" s="2947" t="s">
        <v>3163</v>
      </c>
      <c r="B372" s="2947" t="s">
        <v>3171</v>
      </c>
      <c r="C372" s="2947">
        <v>2250</v>
      </c>
      <c r="D372" s="2947">
        <v>2210</v>
      </c>
      <c r="E372" s="2947">
        <v>2180</v>
      </c>
      <c r="F372" s="2947">
        <v>550</v>
      </c>
      <c r="G372" s="2960">
        <v>1340</v>
      </c>
    </row>
    <row r="373" spans="1:7" s="2782" customFormat="1">
      <c r="A373" s="2947" t="s">
        <v>3163</v>
      </c>
      <c r="B373" s="2947" t="s">
        <v>258</v>
      </c>
      <c r="C373" s="2947">
        <v>2210</v>
      </c>
      <c r="D373" s="2947">
        <v>2190</v>
      </c>
      <c r="E373" s="2947">
        <v>2150</v>
      </c>
      <c r="F373" s="2947">
        <v>530</v>
      </c>
      <c r="G373" s="2960">
        <v>1320</v>
      </c>
    </row>
    <row r="374" spans="1:7" s="2782" customFormat="1">
      <c r="A374" s="2947" t="s">
        <v>3163</v>
      </c>
      <c r="B374" s="2947" t="s">
        <v>266</v>
      </c>
      <c r="C374" s="2947">
        <v>2320</v>
      </c>
      <c r="D374" s="2947">
        <v>2280</v>
      </c>
      <c r="E374" s="2947">
        <v>2230</v>
      </c>
      <c r="F374" s="2947">
        <v>580</v>
      </c>
      <c r="G374" s="2960">
        <v>1380</v>
      </c>
    </row>
    <row r="375" spans="1:7" s="2782" customFormat="1">
      <c r="A375" s="2947" t="s">
        <v>3163</v>
      </c>
      <c r="B375" s="2947" t="s">
        <v>3172</v>
      </c>
      <c r="C375" s="2947">
        <v>2090</v>
      </c>
      <c r="D375" s="2947">
        <v>2050</v>
      </c>
      <c r="E375" s="2947">
        <v>2020</v>
      </c>
      <c r="F375" s="2947">
        <v>520</v>
      </c>
      <c r="G375" s="2960">
        <v>1240</v>
      </c>
    </row>
    <row r="376" spans="1:7" s="2782" customFormat="1">
      <c r="A376" s="2947" t="s">
        <v>3163</v>
      </c>
      <c r="B376" s="2947" t="s">
        <v>277</v>
      </c>
      <c r="C376" s="2947">
        <v>2010</v>
      </c>
      <c r="D376" s="2947">
        <v>1980</v>
      </c>
      <c r="E376" s="2947">
        <v>1940</v>
      </c>
      <c r="F376" s="2947">
        <v>540</v>
      </c>
      <c r="G376" s="2960">
        <v>1190</v>
      </c>
    </row>
    <row r="377" spans="1:7" s="2782" customFormat="1" ht="11.4" thickBot="1">
      <c r="A377" s="2955" t="s">
        <v>3163</v>
      </c>
      <c r="B377" s="2958" t="s">
        <v>2925</v>
      </c>
      <c r="C377" s="2958">
        <v>1930</v>
      </c>
      <c r="D377" s="2958">
        <v>1890</v>
      </c>
      <c r="E377" s="2958">
        <v>1860</v>
      </c>
      <c r="F377" s="2958">
        <v>530</v>
      </c>
      <c r="G377" s="2963">
        <v>1150</v>
      </c>
    </row>
    <row r="378" spans="1:7" s="2782" customFormat="1">
      <c r="A378" s="2964" t="s">
        <v>3173</v>
      </c>
      <c r="B378" s="2943" t="s">
        <v>3174</v>
      </c>
      <c r="C378" s="2943">
        <v>1520</v>
      </c>
      <c r="D378" s="2943">
        <v>1490</v>
      </c>
      <c r="E378" s="2943">
        <v>1460</v>
      </c>
      <c r="F378" s="2943">
        <v>460</v>
      </c>
      <c r="G378" s="2959">
        <v>940</v>
      </c>
    </row>
    <row r="379" spans="1:7" s="2782" customFormat="1">
      <c r="A379" s="2965" t="s">
        <v>3173</v>
      </c>
      <c r="B379" s="2947" t="s">
        <v>3175</v>
      </c>
      <c r="C379" s="2947">
        <v>1500</v>
      </c>
      <c r="D379" s="2947">
        <v>1470</v>
      </c>
      <c r="E379" s="2947">
        <v>1430</v>
      </c>
      <c r="F379" s="2947">
        <v>460</v>
      </c>
      <c r="G379" s="2960">
        <v>920</v>
      </c>
    </row>
    <row r="380" spans="1:7" s="2782" customFormat="1">
      <c r="A380" s="2965" t="s">
        <v>3173</v>
      </c>
      <c r="B380" s="2947" t="s">
        <v>3176</v>
      </c>
      <c r="C380" s="2947">
        <v>1620</v>
      </c>
      <c r="D380" s="2947">
        <v>1590</v>
      </c>
      <c r="E380" s="2947">
        <v>1560</v>
      </c>
      <c r="F380" s="2947">
        <v>480</v>
      </c>
      <c r="G380" s="2960">
        <v>1000</v>
      </c>
    </row>
    <row r="381" spans="1:7" s="2782" customFormat="1">
      <c r="A381" s="2965" t="s">
        <v>3173</v>
      </c>
      <c r="B381" s="2947" t="s">
        <v>3177</v>
      </c>
      <c r="C381" s="2947">
        <v>1460</v>
      </c>
      <c r="D381" s="2947">
        <v>1430</v>
      </c>
      <c r="E381" s="2947">
        <v>1390</v>
      </c>
      <c r="F381" s="2947">
        <v>450</v>
      </c>
      <c r="G381" s="2960">
        <v>900</v>
      </c>
    </row>
    <row r="382" spans="1:7" s="2782" customFormat="1">
      <c r="A382" s="2965" t="s">
        <v>3173</v>
      </c>
      <c r="B382" s="2947" t="s">
        <v>3178</v>
      </c>
      <c r="C382" s="2947">
        <v>1310</v>
      </c>
      <c r="D382" s="2947">
        <v>1280</v>
      </c>
      <c r="E382" s="2947">
        <v>1250</v>
      </c>
      <c r="F382" s="2947">
        <v>440</v>
      </c>
      <c r="G382" s="2960">
        <v>800</v>
      </c>
    </row>
    <row r="383" spans="1:7" s="2782" customFormat="1">
      <c r="A383" s="2965" t="s">
        <v>3173</v>
      </c>
      <c r="B383" s="2947" t="s">
        <v>3179</v>
      </c>
      <c r="C383" s="2947">
        <v>1260</v>
      </c>
      <c r="D383" s="2947">
        <v>1230</v>
      </c>
      <c r="E383" s="2947">
        <v>1200</v>
      </c>
      <c r="F383" s="2947">
        <v>420</v>
      </c>
      <c r="G383" s="2960">
        <v>770</v>
      </c>
    </row>
    <row r="384" spans="1:7" s="2782" customFormat="1" ht="11.4" thickBot="1">
      <c r="A384" s="2966" t="s">
        <v>3173</v>
      </c>
      <c r="B384" s="2954" t="s">
        <v>3180</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8671875" defaultRowHeight="14.4"/>
  <cols>
    <col min="1" max="1" width="12.6640625" style="2967" customWidth="1"/>
    <col min="2" max="2" width="20" style="2967" customWidth="1"/>
    <col min="3" max="7" width="8.88671875" style="2967"/>
    <col min="8" max="16384" width="8.88671875" style="2813"/>
  </cols>
  <sheetData>
    <row r="1" spans="1:7">
      <c r="A1" s="3476" t="s">
        <v>3181</v>
      </c>
      <c r="B1" s="3476"/>
    </row>
    <row r="2" spans="1:7" ht="15" thickBot="1">
      <c r="A2" s="2968"/>
      <c r="B2" s="2968"/>
    </row>
    <row r="3" spans="1:7" ht="15" thickBot="1">
      <c r="A3" s="2968"/>
      <c r="B3" s="2968"/>
      <c r="C3" s="2969" t="s">
        <v>2811</v>
      </c>
      <c r="D3" s="2969" t="s">
        <v>2867</v>
      </c>
      <c r="E3" s="2969" t="s">
        <v>2813</v>
      </c>
      <c r="F3" s="2969" t="s">
        <v>2868</v>
      </c>
      <c r="G3" s="2969" t="s">
        <v>2631</v>
      </c>
    </row>
    <row r="4" spans="1:7" ht="15" thickBot="1">
      <c r="A4" s="2970" t="s">
        <v>2866</v>
      </c>
      <c r="B4" s="2971" t="s">
        <v>2872</v>
      </c>
      <c r="C4" s="2969"/>
      <c r="D4" s="2969"/>
      <c r="E4" s="2969"/>
      <c r="F4" s="2969"/>
      <c r="G4" s="2969"/>
    </row>
    <row r="5" spans="1:7">
      <c r="A5" s="2972" t="s">
        <v>2840</v>
      </c>
      <c r="B5" s="2973" t="s">
        <v>2854</v>
      </c>
      <c r="C5" s="2974">
        <v>9.8000000000000004E-2</v>
      </c>
      <c r="D5" s="2974">
        <v>8.6999999999999994E-2</v>
      </c>
      <c r="E5" s="2974">
        <v>8.6999999999999994E-2</v>
      </c>
      <c r="F5" s="2974">
        <v>9.8000000000000004E-2</v>
      </c>
      <c r="G5" s="2975">
        <v>9.5000000000000001E-2</v>
      </c>
    </row>
    <row r="6" spans="1:7">
      <c r="A6" s="2976" t="s">
        <v>144</v>
      </c>
      <c r="B6" s="2977" t="s">
        <v>2869</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5" thickBot="1">
      <c r="A9" s="2980" t="s">
        <v>144</v>
      </c>
      <c r="B9" s="2981" t="s">
        <v>154</v>
      </c>
      <c r="C9" s="2982">
        <v>0.1</v>
      </c>
      <c r="D9" s="2982">
        <v>0.1</v>
      </c>
      <c r="E9" s="2982">
        <v>0.1</v>
      </c>
      <c r="F9" s="2983"/>
      <c r="G9" s="2984">
        <v>0.1</v>
      </c>
    </row>
    <row r="10" spans="1:7">
      <c r="A10" s="2972" t="s">
        <v>184</v>
      </c>
      <c r="B10" s="2973" t="s">
        <v>2855</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2905</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5" thickBot="1">
      <c r="A29" s="2980" t="s">
        <v>184</v>
      </c>
      <c r="B29" s="2981" t="s">
        <v>2923</v>
      </c>
      <c r="C29" s="2986"/>
      <c r="D29" s="2982">
        <v>5.1999999999999998E-2</v>
      </c>
      <c r="E29" s="2982">
        <v>7.0000000000000007E-2</v>
      </c>
      <c r="F29" s="2986"/>
      <c r="G29" s="2984">
        <v>7.0999999999999994E-2</v>
      </c>
    </row>
    <row r="30" spans="1:7">
      <c r="A30" s="2987" t="s">
        <v>296</v>
      </c>
      <c r="B30" s="2973" t="s">
        <v>2856</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2842</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2926</v>
      </c>
      <c r="C50" s="2978">
        <v>9.8000000000000004E-2</v>
      </c>
      <c r="D50" s="2978">
        <v>7.2999999999999995E-2</v>
      </c>
      <c r="E50" s="2978">
        <v>7.0999999999999994E-2</v>
      </c>
      <c r="F50" s="2989"/>
      <c r="G50" s="2979">
        <v>7.2999999999999995E-2</v>
      </c>
    </row>
    <row r="51" spans="1:7">
      <c r="A51" s="2988" t="s">
        <v>296</v>
      </c>
      <c r="B51" s="2977" t="s">
        <v>2928</v>
      </c>
      <c r="C51" s="2978">
        <v>9.9000000000000005E-2</v>
      </c>
      <c r="D51" s="2978">
        <v>8.5000000000000006E-2</v>
      </c>
      <c r="E51" s="2978">
        <v>6.3E-2</v>
      </c>
      <c r="F51" s="2989"/>
      <c r="G51" s="2979">
        <v>9.6000000000000002E-2</v>
      </c>
    </row>
    <row r="52" spans="1:7">
      <c r="A52" s="2988" t="s">
        <v>296</v>
      </c>
      <c r="B52" s="2977" t="s">
        <v>2932</v>
      </c>
      <c r="C52" s="2978">
        <v>7.3999999999999996E-2</v>
      </c>
      <c r="D52" s="2978">
        <v>9.6000000000000002E-2</v>
      </c>
      <c r="E52" s="2978">
        <v>0.05</v>
      </c>
      <c r="F52" s="2989"/>
      <c r="G52" s="2979">
        <v>9.8000000000000004E-2</v>
      </c>
    </row>
    <row r="53" spans="1:7">
      <c r="A53" s="2988" t="s">
        <v>296</v>
      </c>
      <c r="B53" s="2977" t="s">
        <v>2937</v>
      </c>
      <c r="C53" s="2978">
        <v>8.5999999999999993E-2</v>
      </c>
      <c r="D53" s="2989"/>
      <c r="E53" s="2978">
        <v>9.1999999999999998E-2</v>
      </c>
      <c r="F53" s="2989"/>
      <c r="G53" s="2990"/>
    </row>
    <row r="54" spans="1:7" ht="15" thickBot="1">
      <c r="A54" s="2991" t="s">
        <v>296</v>
      </c>
      <c r="B54" s="2981" t="s">
        <v>2940</v>
      </c>
      <c r="C54" s="2982">
        <v>9.6000000000000002E-2</v>
      </c>
      <c r="D54" s="2983"/>
      <c r="E54" s="2992"/>
      <c r="F54" s="2983"/>
      <c r="G54" s="2993"/>
    </row>
    <row r="55" spans="1:7">
      <c r="A55" s="2987" t="s">
        <v>110</v>
      </c>
      <c r="B55" s="2973" t="s">
        <v>2857</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2938</v>
      </c>
      <c r="C78" s="2978">
        <v>0.1</v>
      </c>
      <c r="D78" s="2978">
        <v>8.5000000000000006E-2</v>
      </c>
      <c r="E78" s="2978">
        <v>9.6000000000000002E-2</v>
      </c>
      <c r="F78" s="2989"/>
      <c r="G78" s="2979">
        <v>9.6000000000000002E-2</v>
      </c>
    </row>
    <row r="79" spans="1:7">
      <c r="A79" s="2988" t="s">
        <v>110</v>
      </c>
      <c r="B79" s="2977" t="s">
        <v>2941</v>
      </c>
      <c r="C79" s="2978">
        <v>0.05</v>
      </c>
      <c r="D79" s="2978">
        <v>9.6000000000000002E-2</v>
      </c>
      <c r="E79" s="2978">
        <v>9.5000000000000001E-2</v>
      </c>
      <c r="F79" s="2989"/>
      <c r="G79" s="2979">
        <v>9.8000000000000004E-2</v>
      </c>
    </row>
    <row r="80" spans="1:7">
      <c r="A80" s="2988" t="s">
        <v>110</v>
      </c>
      <c r="B80" s="2977" t="s">
        <v>2945</v>
      </c>
      <c r="C80" s="2978">
        <v>8.5999999999999993E-2</v>
      </c>
      <c r="D80" s="2994"/>
      <c r="E80" s="2978">
        <v>0.1</v>
      </c>
      <c r="F80" s="2989"/>
      <c r="G80" s="2990"/>
    </row>
    <row r="81" spans="1:7">
      <c r="A81" s="2988" t="s">
        <v>110</v>
      </c>
      <c r="B81" s="2977" t="s">
        <v>2950</v>
      </c>
      <c r="C81" s="2978">
        <v>9.6000000000000002E-2</v>
      </c>
      <c r="D81" s="2989"/>
      <c r="E81" s="2978">
        <v>9.8000000000000004E-2</v>
      </c>
      <c r="F81" s="2989"/>
      <c r="G81" s="2990"/>
    </row>
    <row r="82" spans="1:7">
      <c r="A82" s="2988" t="s">
        <v>110</v>
      </c>
      <c r="B82" s="2977" t="s">
        <v>2957</v>
      </c>
      <c r="C82" s="2994"/>
      <c r="D82" s="2989"/>
      <c r="E82" s="2978">
        <v>7.6999999999999999E-2</v>
      </c>
      <c r="F82" s="2989"/>
      <c r="G82" s="2990"/>
    </row>
    <row r="83" spans="1:7">
      <c r="A83" s="2988" t="s">
        <v>110</v>
      </c>
      <c r="B83" s="2977" t="s">
        <v>2963</v>
      </c>
      <c r="C83" s="2989"/>
      <c r="D83" s="2989"/>
      <c r="E83" s="2989"/>
      <c r="F83" s="2978">
        <v>0.1</v>
      </c>
      <c r="G83" s="2995"/>
    </row>
    <row r="84" spans="1:7">
      <c r="A84" s="2988" t="s">
        <v>110</v>
      </c>
      <c r="B84" s="2977" t="s">
        <v>2970</v>
      </c>
      <c r="C84" s="2989"/>
      <c r="D84" s="2989"/>
      <c r="E84" s="2989"/>
      <c r="F84" s="2978">
        <v>0.1</v>
      </c>
      <c r="G84" s="2995"/>
    </row>
    <row r="85" spans="1:7">
      <c r="A85" s="2988" t="s">
        <v>110</v>
      </c>
      <c r="B85" s="2977" t="s">
        <v>2977</v>
      </c>
      <c r="C85" s="2989"/>
      <c r="D85" s="2989"/>
      <c r="E85" s="2989"/>
      <c r="F85" s="2978">
        <v>0.1</v>
      </c>
      <c r="G85" s="2995"/>
    </row>
    <row r="86" spans="1:7" ht="15" thickBot="1">
      <c r="A86" s="2991" t="s">
        <v>110</v>
      </c>
      <c r="B86" s="2981" t="s">
        <v>2982</v>
      </c>
      <c r="C86" s="2982">
        <v>9.8000000000000004E-2</v>
      </c>
      <c r="D86" s="2982">
        <v>9.8000000000000004E-2</v>
      </c>
      <c r="E86" s="2982">
        <v>9.6000000000000002E-2</v>
      </c>
      <c r="F86" s="2992"/>
      <c r="G86" s="2984">
        <v>0.1</v>
      </c>
    </row>
    <row r="87" spans="1:7">
      <c r="A87" s="2987" t="s">
        <v>303</v>
      </c>
      <c r="B87" s="2973" t="s">
        <v>2858</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2951</v>
      </c>
      <c r="C113" s="2978">
        <v>0.1</v>
      </c>
      <c r="D113" s="2978">
        <v>0.1</v>
      </c>
      <c r="E113" s="2989"/>
      <c r="F113" s="2989"/>
      <c r="G113" s="2979">
        <v>0.1</v>
      </c>
    </row>
    <row r="114" spans="1:7">
      <c r="A114" s="2988" t="s">
        <v>303</v>
      </c>
      <c r="B114" s="2977" t="s">
        <v>2958</v>
      </c>
      <c r="C114" s="2978">
        <v>9.7000000000000003E-2</v>
      </c>
      <c r="D114" s="2978">
        <v>9.7000000000000003E-2</v>
      </c>
      <c r="E114" s="2989"/>
      <c r="F114" s="2989"/>
      <c r="G114" s="2979">
        <v>9.9000000000000005E-2</v>
      </c>
    </row>
    <row r="115" spans="1:7">
      <c r="A115" s="2988" t="s">
        <v>303</v>
      </c>
      <c r="B115" s="2977" t="s">
        <v>2964</v>
      </c>
      <c r="C115" s="2978">
        <v>0.1</v>
      </c>
      <c r="D115" s="2978">
        <v>0.1</v>
      </c>
      <c r="E115" s="2989"/>
      <c r="F115" s="2989"/>
      <c r="G115" s="2979">
        <v>0.1</v>
      </c>
    </row>
    <row r="116" spans="1:7">
      <c r="A116" s="2988" t="s">
        <v>303</v>
      </c>
      <c r="B116" s="2977" t="s">
        <v>2971</v>
      </c>
      <c r="C116" s="2978">
        <v>0.1</v>
      </c>
      <c r="D116" s="2978">
        <v>0.1</v>
      </c>
      <c r="E116" s="2989"/>
      <c r="F116" s="2989"/>
      <c r="G116" s="2979">
        <v>0.1</v>
      </c>
    </row>
    <row r="117" spans="1:7">
      <c r="A117" s="2988" t="s">
        <v>303</v>
      </c>
      <c r="B117" s="2977" t="s">
        <v>2978</v>
      </c>
      <c r="C117" s="2978">
        <v>9.7000000000000003E-2</v>
      </c>
      <c r="D117" s="2978">
        <v>9.7000000000000003E-2</v>
      </c>
      <c r="E117" s="2989"/>
      <c r="F117" s="2989"/>
      <c r="G117" s="2979">
        <v>9.7000000000000003E-2</v>
      </c>
    </row>
    <row r="118" spans="1:7">
      <c r="A118" s="2988" t="s">
        <v>303</v>
      </c>
      <c r="B118" s="2977" t="s">
        <v>2983</v>
      </c>
      <c r="C118" s="2978">
        <v>0.1</v>
      </c>
      <c r="D118" s="2978">
        <v>0.1</v>
      </c>
      <c r="E118" s="2989"/>
      <c r="F118" s="2989"/>
      <c r="G118" s="2979">
        <v>0.1</v>
      </c>
    </row>
    <row r="119" spans="1:7">
      <c r="A119" s="2988" t="s">
        <v>303</v>
      </c>
      <c r="B119" s="2977" t="s">
        <v>2987</v>
      </c>
      <c r="C119" s="2978">
        <v>5.0999999999999997E-2</v>
      </c>
      <c r="D119" s="2978">
        <v>5.1999999999999998E-2</v>
      </c>
      <c r="E119" s="2989"/>
      <c r="F119" s="2994"/>
      <c r="G119" s="2979">
        <v>0.06</v>
      </c>
    </row>
    <row r="120" spans="1:7">
      <c r="A120" s="2988" t="s">
        <v>303</v>
      </c>
      <c r="B120" s="2977" t="s">
        <v>2991</v>
      </c>
      <c r="C120" s="2989"/>
      <c r="D120" s="2989"/>
      <c r="E120" s="2989"/>
      <c r="F120" s="2978">
        <v>0.1</v>
      </c>
      <c r="G120" s="2995"/>
    </row>
    <row r="121" spans="1:7">
      <c r="A121" s="2988" t="s">
        <v>303</v>
      </c>
      <c r="B121" s="2977" t="s">
        <v>2996</v>
      </c>
      <c r="C121" s="2989"/>
      <c r="D121" s="2989"/>
      <c r="E121" s="2989"/>
      <c r="F121" s="2978">
        <v>0.1</v>
      </c>
      <c r="G121" s="2995"/>
    </row>
    <row r="122" spans="1:7">
      <c r="A122" s="2988" t="s">
        <v>303</v>
      </c>
      <c r="B122" s="2977" t="s">
        <v>3001</v>
      </c>
      <c r="C122" s="2978">
        <v>0.1</v>
      </c>
      <c r="D122" s="2978">
        <v>0.1</v>
      </c>
      <c r="E122" s="2978">
        <v>9.8000000000000004E-2</v>
      </c>
      <c r="F122" s="2978">
        <v>0.1</v>
      </c>
      <c r="G122" s="2979">
        <v>0.1</v>
      </c>
    </row>
    <row r="123" spans="1:7">
      <c r="A123" s="2988" t="s">
        <v>303</v>
      </c>
      <c r="B123" s="2977" t="s">
        <v>3006</v>
      </c>
      <c r="C123" s="2978">
        <v>0.1</v>
      </c>
      <c r="D123" s="2978">
        <v>0.1</v>
      </c>
      <c r="E123" s="2978">
        <v>9.8000000000000004E-2</v>
      </c>
      <c r="F123" s="2978">
        <v>0.1</v>
      </c>
      <c r="G123" s="2979">
        <v>0.1</v>
      </c>
    </row>
    <row r="124" spans="1:7">
      <c r="A124" s="2988" t="s">
        <v>303</v>
      </c>
      <c r="B124" s="2977" t="s">
        <v>3011</v>
      </c>
      <c r="C124" s="2978">
        <v>0.1</v>
      </c>
      <c r="D124" s="2978">
        <v>0.1</v>
      </c>
      <c r="E124" s="2978">
        <v>9.8000000000000004E-2</v>
      </c>
      <c r="F124" s="2994"/>
      <c r="G124" s="2979">
        <v>0.1</v>
      </c>
    </row>
    <row r="125" spans="1:7">
      <c r="A125" s="2988" t="s">
        <v>303</v>
      </c>
      <c r="B125" s="2977" t="s">
        <v>3016</v>
      </c>
      <c r="C125" s="2978">
        <v>9.8000000000000004E-2</v>
      </c>
      <c r="D125" s="2978">
        <v>9.8000000000000004E-2</v>
      </c>
      <c r="E125" s="2978">
        <v>9.6000000000000002E-2</v>
      </c>
      <c r="F125" s="2994"/>
      <c r="G125" s="2979">
        <v>0.1</v>
      </c>
    </row>
    <row r="126" spans="1:7" ht="15" thickBot="1">
      <c r="A126" s="2991" t="s">
        <v>303</v>
      </c>
      <c r="B126" s="2981" t="s">
        <v>3182</v>
      </c>
      <c r="C126" s="2982">
        <v>0.1</v>
      </c>
      <c r="D126" s="2982">
        <v>0.1</v>
      </c>
      <c r="E126" s="2982">
        <v>9.8000000000000004E-2</v>
      </c>
      <c r="F126" s="2982">
        <v>0.1</v>
      </c>
      <c r="G126" s="2984">
        <v>0.1</v>
      </c>
    </row>
    <row r="127" spans="1:7">
      <c r="A127" s="2987" t="s">
        <v>29</v>
      </c>
      <c r="B127" s="2973" t="s">
        <v>2859</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2929</v>
      </c>
      <c r="C148" s="2978">
        <v>0.13</v>
      </c>
      <c r="D148" s="2978">
        <v>0.13</v>
      </c>
      <c r="E148" s="2978">
        <v>0.13</v>
      </c>
      <c r="F148" s="2989"/>
      <c r="G148" s="2979">
        <v>0.13</v>
      </c>
    </row>
    <row r="149" spans="1:7">
      <c r="A149" s="2988" t="s">
        <v>29</v>
      </c>
      <c r="B149" s="2977" t="s">
        <v>2933</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2952</v>
      </c>
      <c r="C153" s="2978">
        <v>0.13</v>
      </c>
      <c r="D153" s="2978">
        <v>0.13</v>
      </c>
      <c r="E153" s="2978">
        <v>0.13</v>
      </c>
      <c r="F153" s="2978">
        <v>0.13</v>
      </c>
      <c r="G153" s="2979">
        <v>0.13</v>
      </c>
    </row>
    <row r="154" spans="1:7">
      <c r="A154" s="2988" t="s">
        <v>29</v>
      </c>
      <c r="B154" s="2977" t="s">
        <v>2959</v>
      </c>
      <c r="C154" s="2978">
        <v>0.121</v>
      </c>
      <c r="D154" s="2978">
        <v>0.121</v>
      </c>
      <c r="E154" s="2978">
        <v>0.105</v>
      </c>
      <c r="F154" s="2978">
        <v>0.121</v>
      </c>
      <c r="G154" s="2979">
        <v>0.123</v>
      </c>
    </row>
    <row r="155" spans="1:7">
      <c r="A155" s="2988" t="s">
        <v>29</v>
      </c>
      <c r="B155" s="2977" t="s">
        <v>2965</v>
      </c>
      <c r="C155" s="2978">
        <v>0.1</v>
      </c>
      <c r="D155" s="2978">
        <v>0.1</v>
      </c>
      <c r="E155" s="2978">
        <v>0.1</v>
      </c>
      <c r="F155" s="2978">
        <v>0.1</v>
      </c>
      <c r="G155" s="2979">
        <v>0.1</v>
      </c>
    </row>
    <row r="156" spans="1:7">
      <c r="A156" s="2988" t="s">
        <v>29</v>
      </c>
      <c r="B156" s="2977" t="s">
        <v>2972</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2992</v>
      </c>
      <c r="C160" s="2978">
        <v>0.13</v>
      </c>
      <c r="D160" s="2978">
        <v>0.13</v>
      </c>
      <c r="E160" s="2978">
        <v>0.124</v>
      </c>
      <c r="F160" s="2978">
        <v>0.126</v>
      </c>
      <c r="G160" s="2979">
        <v>0.13</v>
      </c>
    </row>
    <row r="161" spans="1:7">
      <c r="A161" s="2988" t="s">
        <v>29</v>
      </c>
      <c r="B161" s="2977" t="s">
        <v>2997</v>
      </c>
      <c r="C161" s="2978">
        <v>0.13</v>
      </c>
      <c r="D161" s="2978">
        <v>0.13</v>
      </c>
      <c r="E161" s="2978">
        <v>0.124</v>
      </c>
      <c r="F161" s="2978">
        <v>0.127</v>
      </c>
      <c r="G161" s="2979">
        <v>0.13</v>
      </c>
    </row>
    <row r="162" spans="1:7">
      <c r="A162" s="2988" t="s">
        <v>29</v>
      </c>
      <c r="B162" s="2977" t="s">
        <v>3002</v>
      </c>
      <c r="C162" s="2978">
        <v>0.1</v>
      </c>
      <c r="D162" s="2978">
        <v>0.1</v>
      </c>
      <c r="E162" s="2978">
        <v>0.1</v>
      </c>
      <c r="F162" s="2978">
        <v>0.121</v>
      </c>
      <c r="G162" s="2979">
        <v>0.105</v>
      </c>
    </row>
    <row r="163" spans="1:7">
      <c r="A163" s="2988" t="s">
        <v>29</v>
      </c>
      <c r="B163" s="2977" t="s">
        <v>3007</v>
      </c>
      <c r="C163" s="2978">
        <v>0.1</v>
      </c>
      <c r="D163" s="2978">
        <v>0.1</v>
      </c>
      <c r="E163" s="2978">
        <v>0.1</v>
      </c>
      <c r="F163" s="2978">
        <v>0.1</v>
      </c>
      <c r="G163" s="2979">
        <v>0.1</v>
      </c>
    </row>
    <row r="164" spans="1:7">
      <c r="A164" s="2988" t="s">
        <v>29</v>
      </c>
      <c r="B164" s="2977" t="s">
        <v>3012</v>
      </c>
      <c r="C164" s="2994"/>
      <c r="D164" s="2994"/>
      <c r="E164" s="2994"/>
      <c r="F164" s="2978">
        <v>0.1</v>
      </c>
      <c r="G164" s="2990"/>
    </row>
    <row r="165" spans="1:7">
      <c r="A165" s="2988" t="s">
        <v>29</v>
      </c>
      <c r="B165" s="2977" t="s">
        <v>3183</v>
      </c>
      <c r="C165" s="2978">
        <v>0.126</v>
      </c>
      <c r="D165" s="2978">
        <v>0.126</v>
      </c>
      <c r="E165" s="2978">
        <v>0.11899999999999999</v>
      </c>
      <c r="F165" s="2978">
        <v>0.13</v>
      </c>
      <c r="G165" s="2979">
        <v>0.128</v>
      </c>
    </row>
    <row r="166" spans="1:7">
      <c r="A166" s="2988" t="s">
        <v>29</v>
      </c>
      <c r="B166" s="2977" t="s">
        <v>3022</v>
      </c>
      <c r="C166" s="2978">
        <v>0.129</v>
      </c>
      <c r="D166" s="2978">
        <v>0.129</v>
      </c>
      <c r="E166" s="2978">
        <v>0.123</v>
      </c>
      <c r="F166" s="2978">
        <v>0.128</v>
      </c>
      <c r="G166" s="2979">
        <v>0.13</v>
      </c>
    </row>
    <row r="167" spans="1:7">
      <c r="A167" s="2988" t="s">
        <v>29</v>
      </c>
      <c r="B167" s="2977" t="s">
        <v>3026</v>
      </c>
      <c r="C167" s="2978">
        <v>0.125</v>
      </c>
      <c r="D167" s="2978">
        <v>0.125</v>
      </c>
      <c r="E167" s="2978">
        <v>0.11700000000000001</v>
      </c>
      <c r="F167" s="2978">
        <v>0.13</v>
      </c>
      <c r="G167" s="2979">
        <v>0.126</v>
      </c>
    </row>
    <row r="168" spans="1:7">
      <c r="A168" s="2988" t="s">
        <v>29</v>
      </c>
      <c r="B168" s="2977" t="s">
        <v>3031</v>
      </c>
      <c r="C168" s="2978">
        <v>0.128</v>
      </c>
      <c r="D168" s="2978">
        <v>0.128</v>
      </c>
      <c r="E168" s="2978">
        <v>0.123</v>
      </c>
      <c r="F168" s="2989"/>
      <c r="G168" s="2979">
        <v>0.13</v>
      </c>
    </row>
    <row r="169" spans="1:7">
      <c r="A169" s="2988" t="s">
        <v>29</v>
      </c>
      <c r="B169" s="2977" t="s">
        <v>3184</v>
      </c>
      <c r="C169" s="2994"/>
      <c r="D169" s="2994"/>
      <c r="E169" s="2994"/>
      <c r="F169" s="2978">
        <v>0.05</v>
      </c>
      <c r="G169" s="2990"/>
    </row>
    <row r="170" spans="1:7">
      <c r="A170" s="2988" t="s">
        <v>29</v>
      </c>
      <c r="B170" s="2977" t="s">
        <v>3185</v>
      </c>
      <c r="C170" s="2994"/>
      <c r="D170" s="2994"/>
      <c r="E170" s="2994"/>
      <c r="F170" s="2978">
        <v>0.05</v>
      </c>
      <c r="G170" s="2990"/>
    </row>
    <row r="171" spans="1:7">
      <c r="A171" s="2988" t="s">
        <v>29</v>
      </c>
      <c r="B171" s="2977" t="s">
        <v>3186</v>
      </c>
      <c r="C171" s="2994"/>
      <c r="D171" s="2994"/>
      <c r="E171" s="2994"/>
      <c r="F171" s="2978">
        <v>0.05</v>
      </c>
      <c r="G171" s="2995"/>
    </row>
    <row r="172" spans="1:7">
      <c r="A172" s="2988" t="s">
        <v>29</v>
      </c>
      <c r="B172" s="2977" t="s">
        <v>3187</v>
      </c>
      <c r="C172" s="2994"/>
      <c r="D172" s="2994"/>
      <c r="E172" s="2994"/>
      <c r="F172" s="2978">
        <v>0.05</v>
      </c>
      <c r="G172" s="2995"/>
    </row>
    <row r="173" spans="1:7">
      <c r="A173" s="2988" t="s">
        <v>29</v>
      </c>
      <c r="B173" s="2977" t="s">
        <v>3188</v>
      </c>
      <c r="C173" s="2994"/>
      <c r="D173" s="2994"/>
      <c r="E173" s="2994"/>
      <c r="F173" s="2978">
        <v>0.05</v>
      </c>
      <c r="G173" s="2990"/>
    </row>
    <row r="174" spans="1:7">
      <c r="A174" s="2988" t="s">
        <v>29</v>
      </c>
      <c r="B174" s="2977" t="s">
        <v>3189</v>
      </c>
      <c r="C174" s="2994"/>
      <c r="D174" s="2994"/>
      <c r="E174" s="2994"/>
      <c r="F174" s="2978">
        <v>0.05</v>
      </c>
      <c r="G174" s="2990"/>
    </row>
    <row r="175" spans="1:7">
      <c r="A175" s="2988" t="s">
        <v>29</v>
      </c>
      <c r="B175" s="2977" t="s">
        <v>3190</v>
      </c>
      <c r="C175" s="2994"/>
      <c r="D175" s="2994"/>
      <c r="E175" s="2994"/>
      <c r="F175" s="2978">
        <v>0.05</v>
      </c>
      <c r="G175" s="2990"/>
    </row>
    <row r="176" spans="1:7">
      <c r="A176" s="2988" t="s">
        <v>29</v>
      </c>
      <c r="B176" s="2977" t="s">
        <v>3191</v>
      </c>
      <c r="C176" s="2994"/>
      <c r="D176" s="2994"/>
      <c r="E176" s="2994"/>
      <c r="F176" s="2978">
        <v>0.05</v>
      </c>
      <c r="G176" s="2990"/>
    </row>
    <row r="177" spans="1:7">
      <c r="A177" s="2988" t="s">
        <v>29</v>
      </c>
      <c r="B177" s="2977" t="s">
        <v>3192</v>
      </c>
      <c r="C177" s="2989"/>
      <c r="D177" s="2989"/>
      <c r="E177" s="2989"/>
      <c r="F177" s="2978">
        <v>0.05</v>
      </c>
      <c r="G177" s="2995"/>
    </row>
    <row r="178" spans="1:7">
      <c r="A178" s="2988" t="s">
        <v>29</v>
      </c>
      <c r="B178" s="2977" t="s">
        <v>3193</v>
      </c>
      <c r="C178" s="2989"/>
      <c r="D178" s="2989"/>
      <c r="E178" s="2989"/>
      <c r="F178" s="2978">
        <v>0.05</v>
      </c>
      <c r="G178" s="2995"/>
    </row>
    <row r="179" spans="1:7">
      <c r="A179" s="2988" t="s">
        <v>29</v>
      </c>
      <c r="B179" s="2977" t="s">
        <v>3194</v>
      </c>
      <c r="C179" s="2989"/>
      <c r="D179" s="2989"/>
      <c r="E179" s="2989"/>
      <c r="F179" s="2978">
        <v>0.05</v>
      </c>
      <c r="G179" s="2995"/>
    </row>
    <row r="180" spans="1:7">
      <c r="A180" s="2988" t="s">
        <v>29</v>
      </c>
      <c r="B180" s="2977" t="s">
        <v>3195</v>
      </c>
      <c r="C180" s="2989"/>
      <c r="D180" s="2989"/>
      <c r="E180" s="2989"/>
      <c r="F180" s="2978">
        <v>0.05</v>
      </c>
      <c r="G180" s="2995"/>
    </row>
    <row r="181" spans="1:7">
      <c r="A181" s="2988" t="s">
        <v>29</v>
      </c>
      <c r="B181" s="2977" t="s">
        <v>3196</v>
      </c>
      <c r="C181" s="2989"/>
      <c r="D181" s="2989"/>
      <c r="E181" s="2989"/>
      <c r="F181" s="2978">
        <v>0.05</v>
      </c>
      <c r="G181" s="2995"/>
    </row>
    <row r="182" spans="1:7">
      <c r="A182" s="2988" t="s">
        <v>29</v>
      </c>
      <c r="B182" s="2977" t="s">
        <v>3197</v>
      </c>
      <c r="C182" s="2989"/>
      <c r="D182" s="2989"/>
      <c r="E182" s="2989"/>
      <c r="F182" s="2978">
        <v>0.05</v>
      </c>
      <c r="G182" s="2995"/>
    </row>
    <row r="183" spans="1:7">
      <c r="A183" s="2988" t="s">
        <v>29</v>
      </c>
      <c r="B183" s="2977" t="s">
        <v>3198</v>
      </c>
      <c r="C183" s="2989"/>
      <c r="D183" s="2989"/>
      <c r="E183" s="2989"/>
      <c r="F183" s="2978">
        <v>0.05</v>
      </c>
      <c r="G183" s="2995"/>
    </row>
    <row r="184" spans="1:7">
      <c r="A184" s="2988" t="s">
        <v>29</v>
      </c>
      <c r="B184" s="2977" t="s">
        <v>3199</v>
      </c>
      <c r="C184" s="2989"/>
      <c r="D184" s="2989"/>
      <c r="E184" s="2989"/>
      <c r="F184" s="2978">
        <v>0.05</v>
      </c>
      <c r="G184" s="2995"/>
    </row>
    <row r="185" spans="1:7">
      <c r="A185" s="2988" t="s">
        <v>29</v>
      </c>
      <c r="B185" s="2977" t="s">
        <v>3200</v>
      </c>
      <c r="C185" s="2989"/>
      <c r="D185" s="2989"/>
      <c r="E185" s="2989"/>
      <c r="F185" s="2978">
        <v>0.05</v>
      </c>
      <c r="G185" s="2995"/>
    </row>
    <row r="186" spans="1:7">
      <c r="A186" s="2988" t="s">
        <v>29</v>
      </c>
      <c r="B186" s="2977" t="s">
        <v>3201</v>
      </c>
      <c r="C186" s="2989"/>
      <c r="D186" s="2989"/>
      <c r="E186" s="2989"/>
      <c r="F186" s="2978">
        <v>0.05</v>
      </c>
      <c r="G186" s="2995"/>
    </row>
    <row r="187" spans="1:7">
      <c r="A187" s="2988" t="s">
        <v>29</v>
      </c>
      <c r="B187" s="2977" t="s">
        <v>3202</v>
      </c>
      <c r="C187" s="2989"/>
      <c r="D187" s="2989"/>
      <c r="E187" s="2989"/>
      <c r="F187" s="2978">
        <v>0.05</v>
      </c>
      <c r="G187" s="2995"/>
    </row>
    <row r="188" spans="1:7">
      <c r="A188" s="2988" t="s">
        <v>29</v>
      </c>
      <c r="B188" s="2977" t="s">
        <v>3203</v>
      </c>
      <c r="C188" s="2989"/>
      <c r="D188" s="2989"/>
      <c r="E188" s="2989"/>
      <c r="F188" s="2978">
        <v>0.05</v>
      </c>
      <c r="G188" s="2995"/>
    </row>
    <row r="189" spans="1:7" ht="15" thickBot="1">
      <c r="A189" s="2991" t="s">
        <v>29</v>
      </c>
      <c r="B189" s="2981" t="s">
        <v>3204</v>
      </c>
      <c r="C189" s="2983"/>
      <c r="D189" s="2983"/>
      <c r="E189" s="2983"/>
      <c r="F189" s="2982">
        <v>0.05</v>
      </c>
      <c r="G189" s="2996"/>
    </row>
    <row r="190" spans="1:7">
      <c r="A190" s="2987" t="s">
        <v>304</v>
      </c>
      <c r="B190" s="2973" t="s">
        <v>2860</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2896</v>
      </c>
      <c r="C199" s="2978">
        <v>0.13</v>
      </c>
      <c r="D199" s="2978">
        <v>0.13</v>
      </c>
      <c r="E199" s="2978">
        <v>0.13</v>
      </c>
      <c r="F199" s="2978">
        <v>0.13</v>
      </c>
      <c r="G199" s="2979">
        <v>0.13</v>
      </c>
    </row>
    <row r="200" spans="1:7">
      <c r="A200" s="2988" t="s">
        <v>304</v>
      </c>
      <c r="B200" s="2977" t="s">
        <v>2899</v>
      </c>
      <c r="C200" s="2994"/>
      <c r="D200" s="2994"/>
      <c r="E200" s="2994"/>
      <c r="F200" s="2978">
        <v>0.13</v>
      </c>
      <c r="G200" s="2990"/>
    </row>
    <row r="201" spans="1:7">
      <c r="A201" s="2988" t="s">
        <v>304</v>
      </c>
      <c r="B201" s="2977" t="s">
        <v>2904</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2907</v>
      </c>
      <c r="C203" s="2978">
        <v>0.129</v>
      </c>
      <c r="D203" s="2978">
        <v>0.129</v>
      </c>
      <c r="E203" s="2978">
        <v>0.13</v>
      </c>
      <c r="F203" s="2978">
        <v>0.13</v>
      </c>
      <c r="G203" s="2979">
        <v>0.13</v>
      </c>
    </row>
    <row r="204" spans="1:7">
      <c r="A204" s="2988" t="s">
        <v>304</v>
      </c>
      <c r="B204" s="2977" t="s">
        <v>2910</v>
      </c>
      <c r="C204" s="2978">
        <v>0.129</v>
      </c>
      <c r="D204" s="2978">
        <v>0.129</v>
      </c>
      <c r="E204" s="2978">
        <v>0.123</v>
      </c>
      <c r="F204" s="2978">
        <v>0.13</v>
      </c>
      <c r="G204" s="2979">
        <v>0.13</v>
      </c>
    </row>
    <row r="205" spans="1:7">
      <c r="A205" s="2988" t="s">
        <v>304</v>
      </c>
      <c r="B205" s="2977" t="s">
        <v>2912</v>
      </c>
      <c r="C205" s="2978">
        <v>0.13</v>
      </c>
      <c r="D205" s="2978">
        <v>0.13</v>
      </c>
      <c r="E205" s="2978">
        <v>0.13</v>
      </c>
      <c r="F205" s="2978">
        <v>0.13</v>
      </c>
      <c r="G205" s="2979">
        <v>0.13</v>
      </c>
    </row>
    <row r="206" spans="1:7">
      <c r="A206" s="2988" t="s">
        <v>304</v>
      </c>
      <c r="B206" s="2977" t="s">
        <v>2915</v>
      </c>
      <c r="C206" s="2978">
        <v>0.13</v>
      </c>
      <c r="D206" s="2978">
        <v>0.13</v>
      </c>
      <c r="E206" s="2978">
        <v>0.13</v>
      </c>
      <c r="F206" s="2978">
        <v>0.128</v>
      </c>
      <c r="G206" s="2979">
        <v>0.13</v>
      </c>
    </row>
    <row r="207" spans="1:7">
      <c r="A207" s="2988" t="s">
        <v>304</v>
      </c>
      <c r="B207" s="2977" t="s">
        <v>2917</v>
      </c>
      <c r="C207" s="2978">
        <v>0.13</v>
      </c>
      <c r="D207" s="2978">
        <v>0.13</v>
      </c>
      <c r="E207" s="2978">
        <v>0.13</v>
      </c>
      <c r="F207" s="2978">
        <v>0.13</v>
      </c>
      <c r="G207" s="2979">
        <v>0.13</v>
      </c>
    </row>
    <row r="208" spans="1:7">
      <c r="A208" s="2988" t="s">
        <v>304</v>
      </c>
      <c r="B208" s="2977" t="s">
        <v>2920</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2927</v>
      </c>
      <c r="C210" s="2978">
        <v>0.121</v>
      </c>
      <c r="D210" s="2978">
        <v>0.121</v>
      </c>
      <c r="E210" s="2978">
        <v>0.125</v>
      </c>
      <c r="F210" s="2978">
        <v>0.13</v>
      </c>
      <c r="G210" s="2979">
        <v>0.123</v>
      </c>
    </row>
    <row r="211" spans="1:7">
      <c r="A211" s="2988" t="s">
        <v>304</v>
      </c>
      <c r="B211" s="2977" t="s">
        <v>2930</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2942</v>
      </c>
      <c r="C214" s="2978">
        <v>0.128</v>
      </c>
      <c r="D214" s="2978">
        <v>0.128</v>
      </c>
      <c r="E214" s="2978">
        <v>0.13</v>
      </c>
      <c r="F214" s="2978">
        <v>0.13</v>
      </c>
      <c r="G214" s="2979">
        <v>0.13</v>
      </c>
    </row>
    <row r="215" spans="1:7">
      <c r="A215" s="2988" t="s">
        <v>304</v>
      </c>
      <c r="B215" s="2977" t="s">
        <v>2946</v>
      </c>
      <c r="C215" s="2978">
        <v>0.13</v>
      </c>
      <c r="D215" s="2978">
        <v>0.13</v>
      </c>
      <c r="E215" s="2978">
        <v>0.13</v>
      </c>
      <c r="F215" s="2978">
        <v>0.129</v>
      </c>
      <c r="G215" s="2979">
        <v>0.13</v>
      </c>
    </row>
    <row r="216" spans="1:7">
      <c r="A216" s="2988" t="s">
        <v>304</v>
      </c>
      <c r="B216" s="2977" t="s">
        <v>2953</v>
      </c>
      <c r="C216" s="2978">
        <v>0.13</v>
      </c>
      <c r="D216" s="2978">
        <v>0.13</v>
      </c>
      <c r="E216" s="2978">
        <v>0.13</v>
      </c>
      <c r="F216" s="2978">
        <v>0.13</v>
      </c>
      <c r="G216" s="2979">
        <v>0.13</v>
      </c>
    </row>
    <row r="217" spans="1:7">
      <c r="A217" s="2988" t="s">
        <v>304</v>
      </c>
      <c r="B217" s="2977" t="s">
        <v>2960</v>
      </c>
      <c r="C217" s="2978">
        <v>0.129</v>
      </c>
      <c r="D217" s="2978">
        <v>0.129</v>
      </c>
      <c r="E217" s="2978">
        <v>0.13</v>
      </c>
      <c r="F217" s="2978">
        <v>0.13</v>
      </c>
      <c r="G217" s="2979">
        <v>0.13</v>
      </c>
    </row>
    <row r="218" spans="1:7">
      <c r="A218" s="2988" t="s">
        <v>304</v>
      </c>
      <c r="B218" s="2977" t="s">
        <v>2966</v>
      </c>
      <c r="C218" s="2989"/>
      <c r="D218" s="2989"/>
      <c r="E218" s="2989"/>
      <c r="F218" s="2978">
        <v>0.05</v>
      </c>
      <c r="G218" s="2995"/>
    </row>
    <row r="219" spans="1:7">
      <c r="A219" s="2988" t="s">
        <v>304</v>
      </c>
      <c r="B219" s="2977" t="s">
        <v>2973</v>
      </c>
      <c r="C219" s="2989"/>
      <c r="D219" s="2989"/>
      <c r="E219" s="2989"/>
      <c r="F219" s="2978">
        <v>0.05</v>
      </c>
      <c r="G219" s="2995"/>
    </row>
    <row r="220" spans="1:7">
      <c r="A220" s="2988" t="s">
        <v>304</v>
      </c>
      <c r="B220" s="2977" t="s">
        <v>2979</v>
      </c>
      <c r="C220" s="2989"/>
      <c r="D220" s="2989"/>
      <c r="E220" s="2989"/>
      <c r="F220" s="2978">
        <v>0.05</v>
      </c>
      <c r="G220" s="2995"/>
    </row>
    <row r="221" spans="1:7">
      <c r="A221" s="2988" t="s">
        <v>304</v>
      </c>
      <c r="B221" s="2977" t="s">
        <v>2984</v>
      </c>
      <c r="C221" s="2989"/>
      <c r="D221" s="2989"/>
      <c r="E221" s="2989"/>
      <c r="F221" s="2978">
        <v>0.05</v>
      </c>
      <c r="G221" s="2995"/>
    </row>
    <row r="222" spans="1:7">
      <c r="A222" s="2988" t="s">
        <v>304</v>
      </c>
      <c r="B222" s="2977" t="s">
        <v>2988</v>
      </c>
      <c r="C222" s="2989"/>
      <c r="D222" s="2989"/>
      <c r="E222" s="2989"/>
      <c r="F222" s="2978">
        <v>0.05</v>
      </c>
      <c r="G222" s="2995"/>
    </row>
    <row r="223" spans="1:7">
      <c r="A223" s="2988" t="s">
        <v>304</v>
      </c>
      <c r="B223" s="2977" t="s">
        <v>2993</v>
      </c>
      <c r="C223" s="2989"/>
      <c r="D223" s="2989"/>
      <c r="E223" s="2989"/>
      <c r="F223" s="2978">
        <v>0.05</v>
      </c>
      <c r="G223" s="2995"/>
    </row>
    <row r="224" spans="1:7">
      <c r="A224" s="2988" t="s">
        <v>304</v>
      </c>
      <c r="B224" s="2977" t="s">
        <v>2998</v>
      </c>
      <c r="C224" s="2989"/>
      <c r="D224" s="2989"/>
      <c r="E224" s="2989"/>
      <c r="F224" s="2978">
        <v>0.05</v>
      </c>
      <c r="G224" s="2995"/>
    </row>
    <row r="225" spans="1:7">
      <c r="A225" s="2988" t="s">
        <v>304</v>
      </c>
      <c r="B225" s="2977" t="s">
        <v>3003</v>
      </c>
      <c r="C225" s="2989"/>
      <c r="D225" s="2989"/>
      <c r="E225" s="2989"/>
      <c r="F225" s="2978">
        <v>0.05</v>
      </c>
      <c r="G225" s="2995"/>
    </row>
    <row r="226" spans="1:7">
      <c r="A226" s="2988" t="s">
        <v>304</v>
      </c>
      <c r="B226" s="2977" t="s">
        <v>3205</v>
      </c>
      <c r="C226" s="2989"/>
      <c r="D226" s="2989"/>
      <c r="E226" s="2989"/>
      <c r="F226" s="2978">
        <v>0.05</v>
      </c>
      <c r="G226" s="2995"/>
    </row>
    <row r="227" spans="1:7">
      <c r="A227" s="2988" t="s">
        <v>304</v>
      </c>
      <c r="B227" s="2977" t="s">
        <v>3206</v>
      </c>
      <c r="C227" s="2989"/>
      <c r="D227" s="2989"/>
      <c r="E227" s="2989"/>
      <c r="F227" s="2978">
        <v>0.05</v>
      </c>
      <c r="G227" s="2995"/>
    </row>
    <row r="228" spans="1:7">
      <c r="A228" s="2988" t="s">
        <v>304</v>
      </c>
      <c r="B228" s="2977" t="s">
        <v>3207</v>
      </c>
      <c r="C228" s="2989"/>
      <c r="D228" s="2989"/>
      <c r="E228" s="2989"/>
      <c r="F228" s="2978">
        <v>0.05</v>
      </c>
      <c r="G228" s="2995"/>
    </row>
    <row r="229" spans="1:7">
      <c r="A229" s="2988" t="s">
        <v>304</v>
      </c>
      <c r="B229" s="2977" t="s">
        <v>3208</v>
      </c>
      <c r="C229" s="2989"/>
      <c r="D229" s="2989"/>
      <c r="E229" s="2989"/>
      <c r="F229" s="2978">
        <v>0.05</v>
      </c>
      <c r="G229" s="2995"/>
    </row>
    <row r="230" spans="1:7">
      <c r="A230" s="2988" t="s">
        <v>304</v>
      </c>
      <c r="B230" s="2977" t="s">
        <v>3209</v>
      </c>
      <c r="C230" s="2989"/>
      <c r="D230" s="2989"/>
      <c r="E230" s="2989"/>
      <c r="F230" s="2978">
        <v>0.05</v>
      </c>
      <c r="G230" s="2995"/>
    </row>
    <row r="231" spans="1:7">
      <c r="A231" s="2988" t="s">
        <v>304</v>
      </c>
      <c r="B231" s="2977" t="s">
        <v>3210</v>
      </c>
      <c r="C231" s="2989"/>
      <c r="D231" s="2989"/>
      <c r="E231" s="2989"/>
      <c r="F231" s="2978">
        <v>0.05</v>
      </c>
      <c r="G231" s="2995"/>
    </row>
    <row r="232" spans="1:7">
      <c r="A232" s="2988" t="s">
        <v>304</v>
      </c>
      <c r="B232" s="2977" t="s">
        <v>3211</v>
      </c>
      <c r="C232" s="2989"/>
      <c r="D232" s="2989"/>
      <c r="E232" s="2989"/>
      <c r="F232" s="2978">
        <v>0.05</v>
      </c>
      <c r="G232" s="2995"/>
    </row>
    <row r="233" spans="1:7" ht="15" thickBot="1">
      <c r="A233" s="2991" t="s">
        <v>304</v>
      </c>
      <c r="B233" s="2981" t="s">
        <v>3212</v>
      </c>
      <c r="C233" s="2983"/>
      <c r="D233" s="2983"/>
      <c r="E233" s="2983"/>
      <c r="F233" s="2982">
        <v>0.05</v>
      </c>
      <c r="G233" s="2996"/>
    </row>
    <row r="234" spans="1:7">
      <c r="A234" s="2987" t="s">
        <v>305</v>
      </c>
      <c r="B234" s="2973" t="s">
        <v>2861</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2881</v>
      </c>
      <c r="C238" s="2978">
        <v>0.14899999999999999</v>
      </c>
      <c r="D238" s="2978">
        <v>0.14899999999999999</v>
      </c>
      <c r="E238" s="2978">
        <v>0.15</v>
      </c>
      <c r="F238" s="2978">
        <v>0.15</v>
      </c>
      <c r="G238" s="2979">
        <v>0.15</v>
      </c>
    </row>
    <row r="239" spans="1:7">
      <c r="A239" s="2988" t="s">
        <v>305</v>
      </c>
      <c r="B239" s="2977" t="s">
        <v>2885</v>
      </c>
      <c r="C239" s="2978">
        <v>0.15</v>
      </c>
      <c r="D239" s="2978">
        <v>0.15</v>
      </c>
      <c r="E239" s="2978">
        <v>0.15</v>
      </c>
      <c r="F239" s="2978">
        <v>0.15</v>
      </c>
      <c r="G239" s="2979">
        <v>0.15</v>
      </c>
    </row>
    <row r="240" spans="1:7">
      <c r="A240" s="2988" t="s">
        <v>305</v>
      </c>
      <c r="B240" s="2977" t="s">
        <v>2890</v>
      </c>
      <c r="C240" s="2978">
        <v>0.15</v>
      </c>
      <c r="D240" s="2978">
        <v>0.15</v>
      </c>
      <c r="E240" s="2978">
        <v>0.15</v>
      </c>
      <c r="F240" s="2978">
        <v>0.15</v>
      </c>
      <c r="G240" s="2979">
        <v>0.15</v>
      </c>
    </row>
    <row r="241" spans="1:7">
      <c r="A241" s="2988" t="s">
        <v>305</v>
      </c>
      <c r="B241" s="2977" t="s">
        <v>2894</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2900</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2908</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2913</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2921</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2934</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2943</v>
      </c>
      <c r="C258" s="2978">
        <v>0.14299999999999999</v>
      </c>
      <c r="D258" s="2978">
        <v>0.14299999999999999</v>
      </c>
      <c r="E258" s="2978">
        <v>0.15</v>
      </c>
      <c r="F258" s="2978">
        <v>0.14799999999999999</v>
      </c>
      <c r="G258" s="2979">
        <v>0.14599999999999999</v>
      </c>
    </row>
    <row r="259" spans="1:7">
      <c r="A259" s="2988" t="s">
        <v>305</v>
      </c>
      <c r="B259" s="2977" t="s">
        <v>2947</v>
      </c>
      <c r="C259" s="2978">
        <v>0.14399999999999999</v>
      </c>
      <c r="D259" s="2978">
        <v>0.14399999999999999</v>
      </c>
      <c r="E259" s="2978">
        <v>0.14899999999999999</v>
      </c>
      <c r="F259" s="2978">
        <v>0.14699999999999999</v>
      </c>
      <c r="G259" s="2979">
        <v>0.14599999999999999</v>
      </c>
    </row>
    <row r="260" spans="1:7">
      <c r="A260" s="2988" t="s">
        <v>305</v>
      </c>
      <c r="B260" s="2977" t="s">
        <v>2954</v>
      </c>
      <c r="C260" s="2978">
        <v>0.109</v>
      </c>
      <c r="D260" s="2978">
        <v>0.111</v>
      </c>
      <c r="E260" s="2978">
        <v>0.13100000000000001</v>
      </c>
      <c r="F260" s="2978">
        <v>0.126</v>
      </c>
      <c r="G260" s="2979">
        <v>0.11899999999999999</v>
      </c>
    </row>
    <row r="261" spans="1:7">
      <c r="A261" s="2988" t="s">
        <v>305</v>
      </c>
      <c r="B261" s="2977" t="s">
        <v>2961</v>
      </c>
      <c r="C261" s="2978">
        <v>0.1</v>
      </c>
      <c r="D261" s="2978">
        <v>0.1</v>
      </c>
      <c r="E261" s="2978">
        <v>0.11799999999999999</v>
      </c>
      <c r="F261" s="2978">
        <v>0.108</v>
      </c>
      <c r="G261" s="2979">
        <v>0.107</v>
      </c>
    </row>
    <row r="262" spans="1:7">
      <c r="A262" s="2988" t="s">
        <v>305</v>
      </c>
      <c r="B262" s="2977" t="s">
        <v>2967</v>
      </c>
      <c r="C262" s="2978">
        <v>0.1</v>
      </c>
      <c r="D262" s="2978">
        <v>0.1</v>
      </c>
      <c r="E262" s="2978">
        <v>0.1</v>
      </c>
      <c r="F262" s="2978">
        <v>0.14099999999999999</v>
      </c>
      <c r="G262" s="2979">
        <v>0.1</v>
      </c>
    </row>
    <row r="263" spans="1:7">
      <c r="A263" s="2988" t="s">
        <v>305</v>
      </c>
      <c r="B263" s="2977" t="s">
        <v>2974</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2985</v>
      </c>
      <c r="C265" s="2989"/>
      <c r="D265" s="2989"/>
      <c r="E265" s="2989"/>
      <c r="F265" s="2978">
        <v>0.05</v>
      </c>
      <c r="G265" s="2995"/>
    </row>
    <row r="266" spans="1:7">
      <c r="A266" s="2988" t="s">
        <v>305</v>
      </c>
      <c r="B266" s="2977" t="s">
        <v>2989</v>
      </c>
      <c r="C266" s="2989"/>
      <c r="D266" s="2989"/>
      <c r="E266" s="2989"/>
      <c r="F266" s="2978">
        <v>0.05</v>
      </c>
      <c r="G266" s="2995"/>
    </row>
    <row r="267" spans="1:7">
      <c r="A267" s="2988" t="s">
        <v>305</v>
      </c>
      <c r="B267" s="2977" t="s">
        <v>2994</v>
      </c>
      <c r="C267" s="2989"/>
      <c r="D267" s="2989"/>
      <c r="E267" s="2989"/>
      <c r="F267" s="2978">
        <v>0.05</v>
      </c>
      <c r="G267" s="2995"/>
    </row>
    <row r="268" spans="1:7">
      <c r="A268" s="2988" t="s">
        <v>305</v>
      </c>
      <c r="B268" s="2977" t="s">
        <v>2999</v>
      </c>
      <c r="C268" s="2989"/>
      <c r="D268" s="2989"/>
      <c r="E268" s="2989"/>
      <c r="F268" s="2978">
        <v>0.05</v>
      </c>
      <c r="G268" s="2995"/>
    </row>
    <row r="269" spans="1:7">
      <c r="A269" s="2988" t="s">
        <v>305</v>
      </c>
      <c r="B269" s="2977" t="s">
        <v>3004</v>
      </c>
      <c r="C269" s="2989"/>
      <c r="D269" s="2989"/>
      <c r="E269" s="2989"/>
      <c r="F269" s="2978">
        <v>0.05</v>
      </c>
      <c r="G269" s="2995"/>
    </row>
    <row r="270" spans="1:7">
      <c r="A270" s="2988" t="s">
        <v>305</v>
      </c>
      <c r="B270" s="2977" t="s">
        <v>3009</v>
      </c>
      <c r="C270" s="2989"/>
      <c r="D270" s="2989"/>
      <c r="E270" s="2989"/>
      <c r="F270" s="2978">
        <v>0.05</v>
      </c>
      <c r="G270" s="2995"/>
    </row>
    <row r="271" spans="1:7">
      <c r="A271" s="2988" t="s">
        <v>305</v>
      </c>
      <c r="B271" s="2977" t="s">
        <v>3213</v>
      </c>
      <c r="C271" s="2989"/>
      <c r="D271" s="2989"/>
      <c r="E271" s="2989"/>
      <c r="F271" s="2978">
        <v>0.05</v>
      </c>
      <c r="G271" s="2995"/>
    </row>
    <row r="272" spans="1:7">
      <c r="A272" s="2988" t="s">
        <v>305</v>
      </c>
      <c r="B272" s="2977" t="s">
        <v>3214</v>
      </c>
      <c r="C272" s="2989"/>
      <c r="D272" s="2989"/>
      <c r="E272" s="2989"/>
      <c r="F272" s="2978">
        <v>0.05</v>
      </c>
      <c r="G272" s="2995"/>
    </row>
    <row r="273" spans="1:7">
      <c r="A273" s="2988" t="s">
        <v>305</v>
      </c>
      <c r="B273" s="2977" t="s">
        <v>3215</v>
      </c>
      <c r="C273" s="2989"/>
      <c r="D273" s="2989"/>
      <c r="E273" s="2989"/>
      <c r="F273" s="2978">
        <v>0.05</v>
      </c>
      <c r="G273" s="2995"/>
    </row>
    <row r="274" spans="1:7">
      <c r="A274" s="2988" t="s">
        <v>305</v>
      </c>
      <c r="B274" s="2977" t="s">
        <v>3216</v>
      </c>
      <c r="C274" s="2989"/>
      <c r="D274" s="2989"/>
      <c r="E274" s="2989"/>
      <c r="F274" s="2978">
        <v>0.05</v>
      </c>
      <c r="G274" s="2995"/>
    </row>
    <row r="275" spans="1:7">
      <c r="A275" s="2988" t="s">
        <v>305</v>
      </c>
      <c r="B275" s="2977" t="s">
        <v>3217</v>
      </c>
      <c r="C275" s="2989"/>
      <c r="D275" s="2989"/>
      <c r="E275" s="2989"/>
      <c r="F275" s="2978">
        <v>0.05</v>
      </c>
      <c r="G275" s="2995"/>
    </row>
    <row r="276" spans="1:7" ht="15" thickBot="1">
      <c r="A276" s="2991" t="s">
        <v>305</v>
      </c>
      <c r="B276" s="2981" t="s">
        <v>3218</v>
      </c>
      <c r="C276" s="2983"/>
      <c r="D276" s="2983"/>
      <c r="E276" s="2983"/>
      <c r="F276" s="2982">
        <v>0.05</v>
      </c>
      <c r="G276" s="2996"/>
    </row>
    <row r="277" spans="1:7">
      <c r="A277" s="2987" t="s">
        <v>306</v>
      </c>
      <c r="B277" s="2973" t="s">
        <v>2862</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2874</v>
      </c>
      <c r="C279" s="2978">
        <v>0.15</v>
      </c>
      <c r="D279" s="2978">
        <v>0.15</v>
      </c>
      <c r="E279" s="2978">
        <v>0.15</v>
      </c>
      <c r="F279" s="2978">
        <v>0.15</v>
      </c>
      <c r="G279" s="2979">
        <v>0.15</v>
      </c>
    </row>
    <row r="280" spans="1:7">
      <c r="A280" s="2988" t="s">
        <v>306</v>
      </c>
      <c r="B280" s="2977" t="s">
        <v>2878</v>
      </c>
      <c r="C280" s="2978">
        <v>0.15</v>
      </c>
      <c r="D280" s="2978">
        <v>0.15</v>
      </c>
      <c r="E280" s="2978">
        <v>0.15</v>
      </c>
      <c r="F280" s="2978">
        <v>0.15</v>
      </c>
      <c r="G280" s="2979">
        <v>0.15</v>
      </c>
    </row>
    <row r="281" spans="1:7">
      <c r="A281" s="2988" t="s">
        <v>306</v>
      </c>
      <c r="B281" s="2977" t="s">
        <v>2882</v>
      </c>
      <c r="C281" s="2978">
        <v>0.15</v>
      </c>
      <c r="D281" s="2978">
        <v>0.15</v>
      </c>
      <c r="E281" s="2978">
        <v>0.15</v>
      </c>
      <c r="F281" s="2978">
        <v>0.15</v>
      </c>
      <c r="G281" s="2979">
        <v>0.15</v>
      </c>
    </row>
    <row r="282" spans="1:7">
      <c r="A282" s="2988" t="s">
        <v>306</v>
      </c>
      <c r="B282" s="2977" t="s">
        <v>2886</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2901</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2906</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2916</v>
      </c>
      <c r="C293" s="2978">
        <v>0.15</v>
      </c>
      <c r="D293" s="2978">
        <v>0.15</v>
      </c>
      <c r="E293" s="2978">
        <v>0.15</v>
      </c>
      <c r="F293" s="2978">
        <v>0.14499999999999999</v>
      </c>
      <c r="G293" s="2979">
        <v>0.15</v>
      </c>
    </row>
    <row r="294" spans="1:7">
      <c r="A294" s="2988" t="s">
        <v>306</v>
      </c>
      <c r="B294" s="2977" t="s">
        <v>2918</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2935</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2948</v>
      </c>
      <c r="C302" s="2978">
        <v>0.15</v>
      </c>
      <c r="D302" s="2978">
        <v>0.15</v>
      </c>
      <c r="E302" s="2978">
        <v>0.15</v>
      </c>
      <c r="F302" s="2978">
        <v>0.14699999999999999</v>
      </c>
      <c r="G302" s="2979">
        <v>0.15</v>
      </c>
    </row>
    <row r="303" spans="1:7">
      <c r="A303" s="2988" t="s">
        <v>306</v>
      </c>
      <c r="B303" s="2977" t="s">
        <v>2955</v>
      </c>
      <c r="C303" s="2978">
        <v>0.15</v>
      </c>
      <c r="D303" s="2978">
        <v>0.15</v>
      </c>
      <c r="E303" s="2978">
        <v>0.15</v>
      </c>
      <c r="F303" s="2978">
        <v>0.14199999999999999</v>
      </c>
      <c r="G303" s="2979">
        <v>0.15</v>
      </c>
    </row>
    <row r="304" spans="1:7">
      <c r="A304" s="2988" t="s">
        <v>306</v>
      </c>
      <c r="B304" s="2977" t="s">
        <v>2962</v>
      </c>
      <c r="C304" s="2978">
        <v>0.15</v>
      </c>
      <c r="D304" s="2978">
        <v>0.15</v>
      </c>
      <c r="E304" s="2978">
        <v>0.15</v>
      </c>
      <c r="F304" s="2978">
        <v>0.14499999999999999</v>
      </c>
      <c r="G304" s="2979">
        <v>0.15</v>
      </c>
    </row>
    <row r="305" spans="1:7">
      <c r="A305" s="2988" t="s">
        <v>306</v>
      </c>
      <c r="B305" s="2977" t="s">
        <v>2968</v>
      </c>
      <c r="C305" s="2978">
        <v>0.15</v>
      </c>
      <c r="D305" s="2978">
        <v>0.15</v>
      </c>
      <c r="E305" s="2978">
        <v>0.15</v>
      </c>
      <c r="F305" s="2978">
        <v>0.111</v>
      </c>
      <c r="G305" s="2979">
        <v>0.15</v>
      </c>
    </row>
    <row r="306" spans="1:7">
      <c r="A306" s="2988" t="s">
        <v>306</v>
      </c>
      <c r="B306" s="2977" t="s">
        <v>2975</v>
      </c>
      <c r="C306" s="2978">
        <v>0.15</v>
      </c>
      <c r="D306" s="2978">
        <v>0.15</v>
      </c>
      <c r="E306" s="2978">
        <v>0.15</v>
      </c>
      <c r="F306" s="2978">
        <v>0.126</v>
      </c>
      <c r="G306" s="2979">
        <v>0.15</v>
      </c>
    </row>
    <row r="307" spans="1:7">
      <c r="A307" s="2988" t="s">
        <v>306</v>
      </c>
      <c r="B307" s="2977" t="s">
        <v>2980</v>
      </c>
      <c r="C307" s="2978">
        <v>0.15</v>
      </c>
      <c r="D307" s="2978">
        <v>0.15</v>
      </c>
      <c r="E307" s="2978">
        <v>0.15</v>
      </c>
      <c r="F307" s="2978">
        <v>0.12</v>
      </c>
      <c r="G307" s="2979">
        <v>0.15</v>
      </c>
    </row>
    <row r="308" spans="1:7">
      <c r="A308" s="2988" t="s">
        <v>306</v>
      </c>
      <c r="B308" s="2977" t="s">
        <v>2986</v>
      </c>
      <c r="C308" s="2978">
        <v>0.15</v>
      </c>
      <c r="D308" s="2978">
        <v>0.15</v>
      </c>
      <c r="E308" s="2978">
        <v>0.15</v>
      </c>
      <c r="F308" s="2978">
        <v>0.13</v>
      </c>
      <c r="G308" s="2979">
        <v>0.15</v>
      </c>
    </row>
    <row r="309" spans="1:7">
      <c r="A309" s="2988" t="s">
        <v>306</v>
      </c>
      <c r="B309" s="2977" t="s">
        <v>2990</v>
      </c>
      <c r="C309" s="2978">
        <v>0.15</v>
      </c>
      <c r="D309" s="2978">
        <v>0.15</v>
      </c>
      <c r="E309" s="2978">
        <v>0.15</v>
      </c>
      <c r="F309" s="2978">
        <v>0.14099999999999999</v>
      </c>
      <c r="G309" s="2979">
        <v>0.15</v>
      </c>
    </row>
    <row r="310" spans="1:7">
      <c r="A310" s="2988" t="s">
        <v>306</v>
      </c>
      <c r="B310" s="2977" t="s">
        <v>2995</v>
      </c>
      <c r="C310" s="2978">
        <v>0.15</v>
      </c>
      <c r="D310" s="2978">
        <v>0.15</v>
      </c>
      <c r="E310" s="2978">
        <v>0.15</v>
      </c>
      <c r="F310" s="2978">
        <v>0.15</v>
      </c>
      <c r="G310" s="2979">
        <v>0.15</v>
      </c>
    </row>
    <row r="311" spans="1:7">
      <c r="A311" s="2988" t="s">
        <v>306</v>
      </c>
      <c r="B311" s="2977" t="s">
        <v>3000</v>
      </c>
      <c r="C311" s="2978">
        <v>0.13200000000000001</v>
      </c>
      <c r="D311" s="2978">
        <v>0.13300000000000001</v>
      </c>
      <c r="E311" s="2978">
        <v>0.14499999999999999</v>
      </c>
      <c r="F311" s="2978">
        <v>0.14199999999999999</v>
      </c>
      <c r="G311" s="2979">
        <v>0.14000000000000001</v>
      </c>
    </row>
    <row r="312" spans="1:7">
      <c r="A312" s="2988" t="s">
        <v>306</v>
      </c>
      <c r="B312" s="2977" t="s">
        <v>3005</v>
      </c>
      <c r="C312" s="2978">
        <v>0.13800000000000001</v>
      </c>
      <c r="D312" s="2978">
        <v>0.14000000000000001</v>
      </c>
      <c r="E312" s="2978">
        <v>0.14599999999999999</v>
      </c>
      <c r="F312" s="2978">
        <v>0.14899999999999999</v>
      </c>
      <c r="G312" s="2979">
        <v>0.14199999999999999</v>
      </c>
    </row>
    <row r="313" spans="1:7">
      <c r="A313" s="2988" t="s">
        <v>306</v>
      </c>
      <c r="B313" s="2977" t="s">
        <v>3010</v>
      </c>
      <c r="C313" s="2978">
        <v>0.125</v>
      </c>
      <c r="D313" s="2978">
        <v>0.127</v>
      </c>
      <c r="E313" s="2978">
        <v>0.14399999999999999</v>
      </c>
      <c r="F313" s="2978">
        <v>0.115</v>
      </c>
      <c r="G313" s="2979">
        <v>0.13600000000000001</v>
      </c>
    </row>
    <row r="314" spans="1:7">
      <c r="A314" s="2988" t="s">
        <v>306</v>
      </c>
      <c r="B314" s="2977" t="s">
        <v>3219</v>
      </c>
      <c r="C314" s="2994"/>
      <c r="D314" s="2994"/>
      <c r="E314" s="2994"/>
      <c r="F314" s="2978">
        <v>0.05</v>
      </c>
      <c r="G314" s="2995"/>
    </row>
    <row r="315" spans="1:7">
      <c r="A315" s="2988" t="s">
        <v>306</v>
      </c>
      <c r="B315" s="2977" t="s">
        <v>3220</v>
      </c>
      <c r="C315" s="2994"/>
      <c r="D315" s="2994"/>
      <c r="E315" s="2994"/>
      <c r="F315" s="2978">
        <v>0.05</v>
      </c>
      <c r="G315" s="2995"/>
    </row>
    <row r="316" spans="1:7">
      <c r="A316" s="2988" t="s">
        <v>306</v>
      </c>
      <c r="B316" s="2977" t="s">
        <v>3221</v>
      </c>
      <c r="C316" s="2989"/>
      <c r="D316" s="2989"/>
      <c r="E316" s="2989"/>
      <c r="F316" s="2978">
        <v>0.05</v>
      </c>
      <c r="G316" s="2995"/>
    </row>
    <row r="317" spans="1:7">
      <c r="A317" s="2988" t="s">
        <v>306</v>
      </c>
      <c r="B317" s="2977" t="s">
        <v>3222</v>
      </c>
      <c r="C317" s="2989"/>
      <c r="D317" s="2989"/>
      <c r="E317" s="2989"/>
      <c r="F317" s="2978">
        <v>0.05</v>
      </c>
      <c r="G317" s="2995"/>
    </row>
    <row r="318" spans="1:7">
      <c r="A318" s="2988" t="s">
        <v>306</v>
      </c>
      <c r="B318" s="2977" t="s">
        <v>3223</v>
      </c>
      <c r="C318" s="2989"/>
      <c r="D318" s="2989"/>
      <c r="E318" s="2989"/>
      <c r="F318" s="2978">
        <v>0.05</v>
      </c>
      <c r="G318" s="2995"/>
    </row>
    <row r="319" spans="1:7">
      <c r="A319" s="2988" t="s">
        <v>306</v>
      </c>
      <c r="B319" s="2977" t="s">
        <v>3224</v>
      </c>
      <c r="C319" s="2989"/>
      <c r="D319" s="2989"/>
      <c r="E319" s="2989"/>
      <c r="F319" s="2978">
        <v>0.05</v>
      </c>
      <c r="G319" s="2995"/>
    </row>
    <row r="320" spans="1:7">
      <c r="A320" s="2988" t="s">
        <v>306</v>
      </c>
      <c r="B320" s="2977" t="s">
        <v>3225</v>
      </c>
      <c r="C320" s="2989"/>
      <c r="D320" s="2989"/>
      <c r="E320" s="2989"/>
      <c r="F320" s="2978">
        <v>0.05</v>
      </c>
      <c r="G320" s="2995"/>
    </row>
    <row r="321" spans="1:7">
      <c r="A321" s="2988" t="s">
        <v>306</v>
      </c>
      <c r="B321" s="2977" t="s">
        <v>3226</v>
      </c>
      <c r="C321" s="2989"/>
      <c r="D321" s="2989"/>
      <c r="E321" s="2989"/>
      <c r="F321" s="2978">
        <v>0.05</v>
      </c>
      <c r="G321" s="2995"/>
    </row>
    <row r="322" spans="1:7">
      <c r="A322" s="2988" t="s">
        <v>306</v>
      </c>
      <c r="B322" s="2977" t="s">
        <v>3227</v>
      </c>
      <c r="C322" s="2989"/>
      <c r="D322" s="2989"/>
      <c r="E322" s="2989"/>
      <c r="F322" s="2978">
        <v>0.05</v>
      </c>
      <c r="G322" s="2995"/>
    </row>
    <row r="323" spans="1:7">
      <c r="A323" s="2988" t="s">
        <v>306</v>
      </c>
      <c r="B323" s="2977" t="s">
        <v>3228</v>
      </c>
      <c r="C323" s="2989"/>
      <c r="D323" s="2989"/>
      <c r="E323" s="2989"/>
      <c r="F323" s="2978">
        <v>0.05</v>
      </c>
      <c r="G323" s="2995"/>
    </row>
    <row r="324" spans="1:7">
      <c r="A324" s="2988" t="s">
        <v>306</v>
      </c>
      <c r="B324" s="2977" t="s">
        <v>3229</v>
      </c>
      <c r="C324" s="2989"/>
      <c r="D324" s="2989"/>
      <c r="E324" s="2989"/>
      <c r="F324" s="2978">
        <v>0.05</v>
      </c>
      <c r="G324" s="2995"/>
    </row>
    <row r="325" spans="1:7">
      <c r="A325" s="2988" t="s">
        <v>306</v>
      </c>
      <c r="B325" s="2977" t="s">
        <v>3230</v>
      </c>
      <c r="C325" s="2989"/>
      <c r="D325" s="2989"/>
      <c r="E325" s="2989"/>
      <c r="F325" s="2978">
        <v>0.05</v>
      </c>
      <c r="G325" s="2995"/>
    </row>
    <row r="326" spans="1:7" ht="15" thickBot="1">
      <c r="A326" s="2991" t="s">
        <v>306</v>
      </c>
      <c r="B326" s="2981" t="s">
        <v>3231</v>
      </c>
      <c r="C326" s="2983"/>
      <c r="D326" s="2983"/>
      <c r="E326" s="2983"/>
      <c r="F326" s="2982">
        <v>0.05</v>
      </c>
      <c r="G326" s="2996"/>
    </row>
    <row r="327" spans="1:7">
      <c r="A327" s="2987" t="s">
        <v>307</v>
      </c>
      <c r="B327" s="2973" t="s">
        <v>2863</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2875</v>
      </c>
      <c r="C329" s="2978">
        <v>0.15</v>
      </c>
      <c r="D329" s="2978">
        <v>0.15</v>
      </c>
      <c r="E329" s="2978">
        <v>0.15</v>
      </c>
      <c r="F329" s="2978">
        <v>0.15</v>
      </c>
      <c r="G329" s="2979">
        <v>0.15</v>
      </c>
    </row>
    <row r="330" spans="1:7">
      <c r="A330" s="2988" t="s">
        <v>307</v>
      </c>
      <c r="B330" s="2977" t="s">
        <v>2879</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2887</v>
      </c>
      <c r="C332" s="2978">
        <v>0.15</v>
      </c>
      <c r="D332" s="2978">
        <v>0.15</v>
      </c>
      <c r="E332" s="2978">
        <v>0.15</v>
      </c>
      <c r="F332" s="2978">
        <v>0.15</v>
      </c>
      <c r="G332" s="2979">
        <v>0.15</v>
      </c>
    </row>
    <row r="333" spans="1:7">
      <c r="A333" s="2988" t="s">
        <v>307</v>
      </c>
      <c r="B333" s="2977" t="s">
        <v>2891</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2897</v>
      </c>
      <c r="C336" s="2978">
        <v>0.15</v>
      </c>
      <c r="D336" s="2978">
        <v>0.15</v>
      </c>
      <c r="E336" s="2978">
        <v>0.15</v>
      </c>
      <c r="F336" s="2978">
        <v>0.14199999999999999</v>
      </c>
      <c r="G336" s="2979">
        <v>0.15</v>
      </c>
    </row>
    <row r="337" spans="1:7">
      <c r="A337" s="2988" t="s">
        <v>307</v>
      </c>
      <c r="B337" s="2977" t="s">
        <v>2902</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2909</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2914</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2922</v>
      </c>
      <c r="C345" s="2978">
        <v>0.15</v>
      </c>
      <c r="D345" s="2978">
        <v>0.15</v>
      </c>
      <c r="E345" s="2978">
        <v>0.15</v>
      </c>
      <c r="F345" s="2978">
        <v>0.13800000000000001</v>
      </c>
      <c r="G345" s="2979">
        <v>0.15</v>
      </c>
    </row>
    <row r="346" spans="1:7">
      <c r="A346" s="2988" t="s">
        <v>307</v>
      </c>
      <c r="B346" s="2977" t="s">
        <v>2924</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2931</v>
      </c>
      <c r="C348" s="2978">
        <v>0.15</v>
      </c>
      <c r="D348" s="2978">
        <v>0.15</v>
      </c>
      <c r="E348" s="2978">
        <v>0.15</v>
      </c>
      <c r="F348" s="2978">
        <v>0.14399999999999999</v>
      </c>
      <c r="G348" s="2979">
        <v>0.15</v>
      </c>
    </row>
    <row r="349" spans="1:7">
      <c r="A349" s="2988" t="s">
        <v>307</v>
      </c>
      <c r="B349" s="2977" t="s">
        <v>2936</v>
      </c>
      <c r="C349" s="2978">
        <v>0.15</v>
      </c>
      <c r="D349" s="2978">
        <v>0.15</v>
      </c>
      <c r="E349" s="2978">
        <v>0.15</v>
      </c>
      <c r="F349" s="2978">
        <v>0.15</v>
      </c>
      <c r="G349" s="2979">
        <v>0.15</v>
      </c>
    </row>
    <row r="350" spans="1:7">
      <c r="A350" s="2988" t="s">
        <v>307</v>
      </c>
      <c r="B350" s="2977" t="s">
        <v>2939</v>
      </c>
      <c r="C350" s="2978">
        <v>0.15</v>
      </c>
      <c r="D350" s="2978">
        <v>0.15</v>
      </c>
      <c r="E350" s="2978">
        <v>0.15</v>
      </c>
      <c r="F350" s="2978">
        <v>0.14699999999999999</v>
      </c>
      <c r="G350" s="2979">
        <v>0.15</v>
      </c>
    </row>
    <row r="351" spans="1:7">
      <c r="A351" s="2988" t="s">
        <v>307</v>
      </c>
      <c r="B351" s="2977" t="s">
        <v>2944</v>
      </c>
      <c r="C351" s="2978">
        <v>0.15</v>
      </c>
      <c r="D351" s="2978">
        <v>0.15</v>
      </c>
      <c r="E351" s="2978">
        <v>0.15</v>
      </c>
      <c r="F351" s="2978">
        <v>0.13</v>
      </c>
      <c r="G351" s="2979">
        <v>0.15</v>
      </c>
    </row>
    <row r="352" spans="1:7">
      <c r="A352" s="2988" t="s">
        <v>307</v>
      </c>
      <c r="B352" s="2977" t="s">
        <v>2949</v>
      </c>
      <c r="C352" s="2978">
        <v>0.15</v>
      </c>
      <c r="D352" s="2978">
        <v>0.15</v>
      </c>
      <c r="E352" s="2978">
        <v>0.15</v>
      </c>
      <c r="F352" s="2978">
        <v>0.14599999999999999</v>
      </c>
      <c r="G352" s="2979">
        <v>0.15</v>
      </c>
    </row>
    <row r="353" spans="1:7">
      <c r="A353" s="2988" t="s">
        <v>307</v>
      </c>
      <c r="B353" s="2977" t="s">
        <v>2956</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2969</v>
      </c>
      <c r="C355" s="2978">
        <v>0.15</v>
      </c>
      <c r="D355" s="2978">
        <v>0.15</v>
      </c>
      <c r="E355" s="2978">
        <v>0.15</v>
      </c>
      <c r="F355" s="2978">
        <v>0.15</v>
      </c>
      <c r="G355" s="2979">
        <v>0.15</v>
      </c>
    </row>
    <row r="356" spans="1:7">
      <c r="A356" s="2988" t="s">
        <v>307</v>
      </c>
      <c r="B356" s="2977" t="s">
        <v>2976</v>
      </c>
      <c r="C356" s="2978">
        <v>0.15</v>
      </c>
      <c r="D356" s="2978">
        <v>0.15</v>
      </c>
      <c r="E356" s="2978">
        <v>0.15</v>
      </c>
      <c r="F356" s="2978">
        <v>0.15</v>
      </c>
      <c r="G356" s="2979">
        <v>0.15</v>
      </c>
    </row>
    <row r="357" spans="1:7" ht="15" thickBot="1">
      <c r="A357" s="2991" t="s">
        <v>307</v>
      </c>
      <c r="B357" s="2981" t="s">
        <v>2981</v>
      </c>
      <c r="C357" s="2982">
        <v>0.126</v>
      </c>
      <c r="D357" s="2982">
        <v>0.127</v>
      </c>
      <c r="E357" s="2982">
        <v>0.14299999999999999</v>
      </c>
      <c r="F357" s="2982">
        <v>0.125</v>
      </c>
      <c r="G357" s="2984">
        <v>0.129</v>
      </c>
    </row>
    <row r="358" spans="1:7">
      <c r="A358" s="2987" t="s">
        <v>2850</v>
      </c>
      <c r="B358" s="2973" t="s">
        <v>2864</v>
      </c>
      <c r="C358" s="2974">
        <v>0.15</v>
      </c>
      <c r="D358" s="2974">
        <v>0.15</v>
      </c>
      <c r="E358" s="2974">
        <v>0.15</v>
      </c>
      <c r="F358" s="2974">
        <v>0.15</v>
      </c>
      <c r="G358" s="2975">
        <v>0.15</v>
      </c>
    </row>
    <row r="359" spans="1:7">
      <c r="A359" s="2988" t="s">
        <v>2850</v>
      </c>
      <c r="B359" s="2977" t="s">
        <v>2870</v>
      </c>
      <c r="C359" s="2978">
        <v>0.1</v>
      </c>
      <c r="D359" s="2978">
        <v>0.1</v>
      </c>
      <c r="E359" s="2978">
        <v>0.1</v>
      </c>
      <c r="F359" s="2978">
        <v>0.1</v>
      </c>
      <c r="G359" s="2979">
        <v>0.1</v>
      </c>
    </row>
    <row r="360" spans="1:7">
      <c r="A360" s="2988" t="s">
        <v>2850</v>
      </c>
      <c r="B360" s="2977" t="s">
        <v>2876</v>
      </c>
      <c r="C360" s="2978">
        <v>0.15</v>
      </c>
      <c r="D360" s="2978">
        <v>0.15</v>
      </c>
      <c r="E360" s="2978">
        <v>0.15</v>
      </c>
      <c r="F360" s="2978">
        <v>0.14899999999999999</v>
      </c>
      <c r="G360" s="2979">
        <v>0.15</v>
      </c>
    </row>
    <row r="361" spans="1:7">
      <c r="A361" s="2988" t="s">
        <v>2850</v>
      </c>
      <c r="B361" s="2977" t="s">
        <v>153</v>
      </c>
      <c r="C361" s="2978">
        <v>0.15</v>
      </c>
      <c r="D361" s="2978">
        <v>0.15</v>
      </c>
      <c r="E361" s="2978">
        <v>0.15</v>
      </c>
      <c r="F361" s="2978">
        <v>0.115</v>
      </c>
      <c r="G361" s="2979">
        <v>0.15</v>
      </c>
    </row>
    <row r="362" spans="1:7">
      <c r="A362" s="2988" t="s">
        <v>2850</v>
      </c>
      <c r="B362" s="2977" t="s">
        <v>2883</v>
      </c>
      <c r="C362" s="2978">
        <v>0.15</v>
      </c>
      <c r="D362" s="2978">
        <v>0.15</v>
      </c>
      <c r="E362" s="2978">
        <v>0.15</v>
      </c>
      <c r="F362" s="2978">
        <v>0.106</v>
      </c>
      <c r="G362" s="2979">
        <v>0.15</v>
      </c>
    </row>
    <row r="363" spans="1:7">
      <c r="A363" s="2988" t="s">
        <v>2850</v>
      </c>
      <c r="B363" s="2977" t="s">
        <v>2888</v>
      </c>
      <c r="C363" s="2978">
        <v>0.15</v>
      </c>
      <c r="D363" s="2978">
        <v>0.15</v>
      </c>
      <c r="E363" s="2978">
        <v>0.15</v>
      </c>
      <c r="F363" s="2978">
        <v>0.14699999999999999</v>
      </c>
      <c r="G363" s="2979">
        <v>0.15</v>
      </c>
    </row>
    <row r="364" spans="1:7">
      <c r="A364" s="2988" t="s">
        <v>2850</v>
      </c>
      <c r="B364" s="2977" t="s">
        <v>2892</v>
      </c>
      <c r="C364" s="2978">
        <v>0.15</v>
      </c>
      <c r="D364" s="2978">
        <v>0.15</v>
      </c>
      <c r="E364" s="2978">
        <v>0.15</v>
      </c>
      <c r="F364" s="2978">
        <v>0.14799999999999999</v>
      </c>
      <c r="G364" s="2979">
        <v>0.15</v>
      </c>
    </row>
    <row r="365" spans="1:7">
      <c r="A365" s="2988" t="s">
        <v>2850</v>
      </c>
      <c r="B365" s="2977" t="s">
        <v>200</v>
      </c>
      <c r="C365" s="2978">
        <v>0.15</v>
      </c>
      <c r="D365" s="2978">
        <v>0.15</v>
      </c>
      <c r="E365" s="2978">
        <v>0.15</v>
      </c>
      <c r="F365" s="2978">
        <v>0.15</v>
      </c>
      <c r="G365" s="2979">
        <v>0.15</v>
      </c>
    </row>
    <row r="366" spans="1:7">
      <c r="A366" s="2988" t="s">
        <v>2850</v>
      </c>
      <c r="B366" s="2977" t="s">
        <v>2895</v>
      </c>
      <c r="C366" s="2978">
        <v>0.15</v>
      </c>
      <c r="D366" s="2978">
        <v>0.15</v>
      </c>
      <c r="E366" s="2978">
        <v>0.15</v>
      </c>
      <c r="F366" s="2978">
        <v>0.15</v>
      </c>
      <c r="G366" s="2979">
        <v>0.15</v>
      </c>
    </row>
    <row r="367" spans="1:7">
      <c r="A367" s="2988" t="s">
        <v>2850</v>
      </c>
      <c r="B367" s="2977" t="s">
        <v>2898</v>
      </c>
      <c r="C367" s="2978">
        <v>0.15</v>
      </c>
      <c r="D367" s="2978">
        <v>0.15</v>
      </c>
      <c r="E367" s="2978">
        <v>0.15</v>
      </c>
      <c r="F367" s="2978">
        <v>0.14699999999999999</v>
      </c>
      <c r="G367" s="2979">
        <v>0.15</v>
      </c>
    </row>
    <row r="368" spans="1:7">
      <c r="A368" s="2988" t="s">
        <v>2850</v>
      </c>
      <c r="B368" s="2977" t="s">
        <v>2903</v>
      </c>
      <c r="C368" s="2978">
        <v>0.15</v>
      </c>
      <c r="D368" s="2978">
        <v>0.15</v>
      </c>
      <c r="E368" s="2978">
        <v>0.15</v>
      </c>
      <c r="F368" s="2978">
        <v>0.13600000000000001</v>
      </c>
      <c r="G368" s="2979">
        <v>0.15</v>
      </c>
    </row>
    <row r="369" spans="1:7">
      <c r="A369" s="2988" t="s">
        <v>2850</v>
      </c>
      <c r="B369" s="2977" t="s">
        <v>214</v>
      </c>
      <c r="C369" s="2978">
        <v>0.15</v>
      </c>
      <c r="D369" s="2978">
        <v>0.15</v>
      </c>
      <c r="E369" s="2978">
        <v>0.15</v>
      </c>
      <c r="F369" s="2978">
        <v>0.14399999999999999</v>
      </c>
      <c r="G369" s="2979">
        <v>0.15</v>
      </c>
    </row>
    <row r="370" spans="1:7">
      <c r="A370" s="2988" t="s">
        <v>2850</v>
      </c>
      <c r="B370" s="2977" t="s">
        <v>221</v>
      </c>
      <c r="C370" s="2978">
        <v>0.15</v>
      </c>
      <c r="D370" s="2978">
        <v>0.15</v>
      </c>
      <c r="E370" s="2978">
        <v>0.15</v>
      </c>
      <c r="F370" s="2978">
        <v>0.14599999999999999</v>
      </c>
      <c r="G370" s="2979">
        <v>0.15</v>
      </c>
    </row>
    <row r="371" spans="1:7">
      <c r="A371" s="2988" t="s">
        <v>2850</v>
      </c>
      <c r="B371" s="2977" t="s">
        <v>229</v>
      </c>
      <c r="C371" s="2978">
        <v>0.15</v>
      </c>
      <c r="D371" s="2978">
        <v>0.15</v>
      </c>
      <c r="E371" s="2978">
        <v>0.15</v>
      </c>
      <c r="F371" s="2978">
        <v>0.12</v>
      </c>
      <c r="G371" s="2979">
        <v>0.15</v>
      </c>
    </row>
    <row r="372" spans="1:7">
      <c r="A372" s="2988" t="s">
        <v>2850</v>
      </c>
      <c r="B372" s="2977" t="s">
        <v>2911</v>
      </c>
      <c r="C372" s="2978">
        <v>0.15</v>
      </c>
      <c r="D372" s="2978">
        <v>0.15</v>
      </c>
      <c r="E372" s="2978">
        <v>0.15</v>
      </c>
      <c r="F372" s="2978">
        <v>0.14299999999999999</v>
      </c>
      <c r="G372" s="2979">
        <v>0.15</v>
      </c>
    </row>
    <row r="373" spans="1:7">
      <c r="A373" s="2988" t="s">
        <v>2850</v>
      </c>
      <c r="B373" s="2977" t="s">
        <v>258</v>
      </c>
      <c r="C373" s="2978">
        <v>0.15</v>
      </c>
      <c r="D373" s="2978">
        <v>0.15</v>
      </c>
      <c r="E373" s="2978">
        <v>0.15</v>
      </c>
      <c r="F373" s="2978">
        <v>0.14599999999999999</v>
      </c>
      <c r="G373" s="2979">
        <v>0.15</v>
      </c>
    </row>
    <row r="374" spans="1:7">
      <c r="A374" s="2988" t="s">
        <v>2850</v>
      </c>
      <c r="B374" s="2977" t="s">
        <v>266</v>
      </c>
      <c r="C374" s="2978">
        <v>0.15</v>
      </c>
      <c r="D374" s="2978">
        <v>0.15</v>
      </c>
      <c r="E374" s="2978">
        <v>0.15</v>
      </c>
      <c r="F374" s="2978">
        <v>0.14399999999999999</v>
      </c>
      <c r="G374" s="2979">
        <v>0.15</v>
      </c>
    </row>
    <row r="375" spans="1:7">
      <c r="A375" s="2988" t="s">
        <v>2850</v>
      </c>
      <c r="B375" s="2977" t="s">
        <v>2919</v>
      </c>
      <c r="C375" s="2978">
        <v>0.15</v>
      </c>
      <c r="D375" s="2978">
        <v>0.15</v>
      </c>
      <c r="E375" s="2978">
        <v>0.15</v>
      </c>
      <c r="F375" s="2978">
        <v>0.13</v>
      </c>
      <c r="G375" s="2979">
        <v>0.15</v>
      </c>
    </row>
    <row r="376" spans="1:7">
      <c r="A376" s="2988" t="s">
        <v>2850</v>
      </c>
      <c r="B376" s="2977" t="s">
        <v>277</v>
      </c>
      <c r="C376" s="2978">
        <v>0.15</v>
      </c>
      <c r="D376" s="2978">
        <v>0.15</v>
      </c>
      <c r="E376" s="2978">
        <v>0.15</v>
      </c>
      <c r="F376" s="2978">
        <v>0.14199999999999999</v>
      </c>
      <c r="G376" s="2979">
        <v>0.15</v>
      </c>
    </row>
    <row r="377" spans="1:7" ht="15" thickBot="1">
      <c r="A377" s="2991" t="s">
        <v>2850</v>
      </c>
      <c r="B377" s="2981" t="s">
        <v>2925</v>
      </c>
      <c r="C377" s="2982">
        <v>0.15</v>
      </c>
      <c r="D377" s="2982">
        <v>0.15</v>
      </c>
      <c r="E377" s="2982">
        <v>0.15</v>
      </c>
      <c r="F377" s="2982">
        <v>0.14000000000000001</v>
      </c>
      <c r="G377" s="2984">
        <v>0.15</v>
      </c>
    </row>
    <row r="378" spans="1:7">
      <c r="A378" s="2987" t="s">
        <v>2851</v>
      </c>
      <c r="B378" s="2973" t="s">
        <v>2865</v>
      </c>
      <c r="C378" s="2974">
        <v>0.15</v>
      </c>
      <c r="D378" s="2974">
        <v>0.15</v>
      </c>
      <c r="E378" s="2974">
        <v>0.15</v>
      </c>
      <c r="F378" s="2974">
        <v>0.107</v>
      </c>
      <c r="G378" s="2975">
        <v>0.15</v>
      </c>
    </row>
    <row r="379" spans="1:7">
      <c r="A379" s="2988" t="s">
        <v>2851</v>
      </c>
      <c r="B379" s="2977" t="s">
        <v>2871</v>
      </c>
      <c r="C379" s="2978">
        <v>0.15</v>
      </c>
      <c r="D379" s="2978">
        <v>0.15</v>
      </c>
      <c r="E379" s="2978">
        <v>0.15</v>
      </c>
      <c r="F379" s="2978">
        <v>0.115</v>
      </c>
      <c r="G379" s="2979">
        <v>0.14899999999999999</v>
      </c>
    </row>
    <row r="380" spans="1:7">
      <c r="A380" s="2988" t="s">
        <v>2851</v>
      </c>
      <c r="B380" s="2977" t="s">
        <v>2877</v>
      </c>
      <c r="C380" s="2978">
        <v>0.15</v>
      </c>
      <c r="D380" s="2978">
        <v>0.15</v>
      </c>
      <c r="E380" s="2978">
        <v>0.15</v>
      </c>
      <c r="F380" s="2978">
        <v>0.1</v>
      </c>
      <c r="G380" s="2979">
        <v>0.14799999999999999</v>
      </c>
    </row>
    <row r="381" spans="1:7">
      <c r="A381" s="2988" t="s">
        <v>2851</v>
      </c>
      <c r="B381" s="2977" t="s">
        <v>2880</v>
      </c>
      <c r="C381" s="2978">
        <v>0.15</v>
      </c>
      <c r="D381" s="2978">
        <v>0.15</v>
      </c>
      <c r="E381" s="2978">
        <v>0.15</v>
      </c>
      <c r="F381" s="2978">
        <v>0.126</v>
      </c>
      <c r="G381" s="2979">
        <v>0.15</v>
      </c>
    </row>
    <row r="382" spans="1:7">
      <c r="A382" s="2988" t="s">
        <v>2851</v>
      </c>
      <c r="B382" s="2977" t="s">
        <v>2884</v>
      </c>
      <c r="C382" s="2978">
        <v>0.15</v>
      </c>
      <c r="D382" s="2978">
        <v>0.15</v>
      </c>
      <c r="E382" s="2978">
        <v>0.15</v>
      </c>
      <c r="F382" s="2978">
        <v>0.15</v>
      </c>
      <c r="G382" s="2979">
        <v>0.15</v>
      </c>
    </row>
    <row r="383" spans="1:7">
      <c r="A383" s="2988" t="s">
        <v>2851</v>
      </c>
      <c r="B383" s="2977" t="s">
        <v>2889</v>
      </c>
      <c r="C383" s="2978">
        <v>0.15</v>
      </c>
      <c r="D383" s="2978">
        <v>0.15</v>
      </c>
      <c r="E383" s="2978">
        <v>0.15</v>
      </c>
      <c r="F383" s="2978">
        <v>0.14699999999999999</v>
      </c>
      <c r="G383" s="2979">
        <v>0.15</v>
      </c>
    </row>
    <row r="384" spans="1:7" ht="15" thickBot="1">
      <c r="A384" s="2998" t="s">
        <v>2851</v>
      </c>
      <c r="B384" s="2999" t="s">
        <v>2893</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1875" defaultRowHeight="14.4"/>
  <cols>
    <col min="1" max="16384" width="13.21875" style="2813"/>
  </cols>
  <sheetData>
    <row r="1" spans="1:6">
      <c r="A1" s="3477" t="s">
        <v>3232</v>
      </c>
      <c r="B1" s="3477"/>
      <c r="C1" s="3477"/>
      <c r="D1" s="3477"/>
      <c r="E1" s="3477"/>
      <c r="F1" s="3478"/>
    </row>
    <row r="2" spans="1:6">
      <c r="A2" s="3002" t="s">
        <v>3233</v>
      </c>
    </row>
    <row r="3" spans="1:6">
      <c r="A3" s="3002" t="s">
        <v>3234</v>
      </c>
      <c r="F3" s="3003" t="s">
        <v>3235</v>
      </c>
    </row>
    <row r="4" spans="1:6">
      <c r="A4" s="3004" t="s">
        <v>672</v>
      </c>
      <c r="B4" s="3004" t="s">
        <v>673</v>
      </c>
      <c r="C4" s="3004" t="s">
        <v>21</v>
      </c>
      <c r="D4" s="3004" t="s">
        <v>674</v>
      </c>
      <c r="E4" s="3004" t="s">
        <v>3</v>
      </c>
      <c r="F4" s="3004" t="s">
        <v>3236</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K122"/>
  <sheetViews>
    <sheetView view="pageBreakPreview" topLeftCell="A7" zoomScaleNormal="80" zoomScaleSheetLayoutView="100" workbookViewId="0">
      <selection activeCell="E40" sqref="E40"/>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8"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17457.32</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22982</v>
      </c>
      <c r="C2" s="1845" t="s">
        <v>1935</v>
      </c>
      <c r="D2" s="162" t="s">
        <v>1936</v>
      </c>
      <c r="E2" s="3120" t="s">
        <v>21</v>
      </c>
      <c r="F2" s="162" t="s">
        <v>1937</v>
      </c>
      <c r="G2" s="163" t="str">
        <f>IF(E2="商业",项目基本情况!B37,IF(E2="办公",项目基本情况!C37,IF(E2="住宅",项目基本情况!D37,IF(E2="工业",项目基本情况!E37,项目基本情况!F37))))</f>
        <v>三级</v>
      </c>
      <c r="H2" s="162" t="s">
        <v>1938</v>
      </c>
      <c r="I2" s="163" t="str">
        <f>IF(E2="商业",项目基本情况!B38,IF(E2="办公",项目基本情况!C38,IF(E2="住宅",项目基本情况!D38,IF(E2="工业",项目基本情况!E38,项目基本情况!F38))))</f>
        <v>Ⅲ—07</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3">
        <f>ROUND(SUMPRODUCT((B106:B110=R2)*(C105:N105=G2)*(C106:N110)),4)</f>
        <v>1.5019</v>
      </c>
      <c r="T2" s="3063">
        <f t="shared" ref="T2:T16" si="0">ROUND($C$5*$C$22*$C$23*$C$24*S2*$C$28,0)</f>
        <v>30091</v>
      </c>
      <c r="U2" s="1129"/>
      <c r="V2" s="3063">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13165</v>
      </c>
      <c r="C3" s="1845" t="s">
        <v>1941</v>
      </c>
      <c r="D3" s="162" t="s">
        <v>1942</v>
      </c>
      <c r="E3" s="3118" t="s">
        <v>3424</v>
      </c>
      <c r="F3" s="1847" t="s">
        <v>3462</v>
      </c>
      <c r="G3" s="708">
        <f>IF(F3="宗地容积率",'数据-汇总表'!I4,IF(F3="估价对象容积率",'数据-汇总表'!I6,'数据-汇总表'!I7))</f>
        <v>2.48</v>
      </c>
      <c r="H3" s="162" t="s">
        <v>1943</v>
      </c>
      <c r="I3" s="729"/>
      <c r="J3" s="1841" t="s">
        <v>1944</v>
      </c>
      <c r="K3" s="1056"/>
      <c r="L3" s="1846" t="s">
        <v>1945</v>
      </c>
      <c r="M3" s="811">
        <f>SUMPRODUCT((区片价!B30:B54=I2)*(区片价!C3:G3=E2)*(区片价!C30:G54))</f>
        <v>23020</v>
      </c>
      <c r="N3" s="813">
        <f>SUMPRODUCT((因素修正幅度!B30:B54=I2)*(因素修正幅度!C3:G3=E2)*(因素修正幅度!C30:G54))</f>
        <v>9.7000000000000003E-2</v>
      </c>
      <c r="O3" s="1056"/>
      <c r="P3" s="1056"/>
      <c r="Q3" s="1056"/>
      <c r="R3" s="1128">
        <v>2</v>
      </c>
      <c r="S3" s="3063">
        <f>ROUND(SUMPRODUCT((B106:B110=R3)*(C105:N105=G2)*(C106:N110)),4)</f>
        <v>1.1838</v>
      </c>
      <c r="T3" s="3063">
        <f t="shared" si="0"/>
        <v>23718</v>
      </c>
      <c r="U3" s="1129"/>
      <c r="V3" s="3063">
        <f t="shared" ref="V3:V16" si="1">ROUND(T3*U3/10000,0)</f>
        <v>0</v>
      </c>
      <c r="W3" s="1132"/>
      <c r="X3" s="1132"/>
      <c r="Y3" s="1132"/>
      <c r="Z3" s="1132"/>
      <c r="AA3" s="1132"/>
      <c r="AB3" s="1132"/>
      <c r="AC3" s="1133"/>
      <c r="AD3" s="1134"/>
      <c r="AE3" s="1134"/>
      <c r="AF3" s="1134"/>
      <c r="AG3" s="1134"/>
      <c r="AH3" s="1134"/>
      <c r="AI3" s="1134"/>
      <c r="AJ3" s="1135"/>
    </row>
    <row r="4" spans="1:36" ht="15.6">
      <c r="A4" s="3486"/>
      <c r="B4" s="3487"/>
      <c r="C4" s="3487"/>
      <c r="D4" s="3488"/>
      <c r="E4" s="3488"/>
      <c r="F4" s="3488"/>
      <c r="G4" s="3488"/>
      <c r="H4" s="3488"/>
      <c r="I4" s="3488"/>
      <c r="J4" s="3489"/>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3">
        <f>ROUND(SUMPRODUCT((B106:B110=R4)*(C105:N105=G2)*(C106:N110)),4)</f>
        <v>1.0004999999999999</v>
      </c>
      <c r="T4" s="3063">
        <f t="shared" si="0"/>
        <v>20046</v>
      </c>
      <c r="U4" s="1129"/>
      <c r="V4" s="3063">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9">
        <f>ROUND(IF(E2="商业",C6*C7*C17+C20,(IF(E2="住宅",C6*C13*C17+C20,IF(E2="办公",C6*C12*C17+C20,C6+C20)))),0)</f>
        <v>24171</v>
      </c>
      <c r="D5" s="1251">
        <f>ROUND(C6*C17+C20,0)</f>
        <v>23020</v>
      </c>
      <c r="E5" s="1251"/>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8">
        <v>4</v>
      </c>
      <c r="S5" s="3063">
        <f>ROUND(SUMPRODUCT((B106:B110=R5)*(C105:N105=G2)*(C106:N110)),4)</f>
        <v>0.88239999999999996</v>
      </c>
      <c r="T5" s="3063">
        <f t="shared" si="0"/>
        <v>17679</v>
      </c>
      <c r="U5" s="1129"/>
      <c r="V5" s="3063">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10">
        <f>SUMIF(L1:L12,G2,M1:M12)</f>
        <v>23020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3">
        <f>ROUND(SUMPRODUCT((B106:B110=R6)*(C105:N105=G2)*(C106:N110)),4)</f>
        <v>0.84799999999999998</v>
      </c>
      <c r="T6" s="3063">
        <f t="shared" si="0"/>
        <v>16990</v>
      </c>
      <c r="U6" s="1129"/>
      <c r="V6" s="3063">
        <f t="shared" si="1"/>
        <v>0</v>
      </c>
      <c r="W6" s="1132"/>
      <c r="X6" s="1132"/>
      <c r="Y6" s="1132"/>
      <c r="Z6" s="1132"/>
      <c r="AA6" s="1132"/>
      <c r="AB6" s="1132"/>
      <c r="AC6" s="1854"/>
      <c r="AD6" s="1855"/>
      <c r="AE6" s="1855"/>
      <c r="AF6" s="1855"/>
      <c r="AG6" s="1855"/>
      <c r="AH6" s="1855"/>
      <c r="AI6" s="1855"/>
      <c r="AJ6" s="1856"/>
    </row>
    <row r="7" spans="1:36" ht="24.6" thickBot="1">
      <c r="A7" s="3012" t="s">
        <v>3237</v>
      </c>
      <c r="B7" s="1864" t="s">
        <v>1952</v>
      </c>
      <c r="C7" s="711">
        <f>IF(C8="不临65条商业街",1,ROUND(1+(1.6*E8+1.2*E9+0.8*E10+0.4*E11)*C9,4))</f>
        <v>1</v>
      </c>
      <c r="D7" s="1865" t="s">
        <v>1953</v>
      </c>
      <c r="E7" s="730"/>
      <c r="F7" s="1866"/>
      <c r="G7" s="1867"/>
      <c r="H7" s="1867"/>
      <c r="I7" s="1867"/>
      <c r="J7" s="1868"/>
      <c r="K7" s="1291"/>
      <c r="L7" s="1846" t="s">
        <v>1954</v>
      </c>
      <c r="M7" s="811">
        <f>SUMPRODUCT((区片价!B190:B233=I2)*(区片价!C3:G3=E2)*(区片价!C190:G233))</f>
        <v>0</v>
      </c>
      <c r="N7" s="813">
        <f>SUMPRODUCT((因素修正幅度!B190:B233=I2)*(因素修正幅度!C3:G3=E2)*(因素修正幅度!C190:G233))</f>
        <v>0</v>
      </c>
      <c r="O7" s="1056"/>
      <c r="P7" s="1056"/>
      <c r="Q7" s="1056"/>
      <c r="R7" s="1128">
        <v>6</v>
      </c>
      <c r="S7" s="3117"/>
      <c r="T7" s="3063">
        <f t="shared" si="0"/>
        <v>0</v>
      </c>
      <c r="U7" s="1129"/>
      <c r="V7" s="3063">
        <f t="shared" si="1"/>
        <v>0</v>
      </c>
      <c r="W7" s="1266" t="s">
        <v>1955</v>
      </c>
      <c r="X7" s="1130" t="str">
        <f>G2</f>
        <v>三级</v>
      </c>
      <c r="Y7" s="1130" t="s">
        <v>1956</v>
      </c>
      <c r="Z7" s="1131">
        <f>G3</f>
        <v>2.48</v>
      </c>
      <c r="AA7" s="1132"/>
      <c r="AB7" s="1132"/>
      <c r="AC7" s="1133"/>
      <c r="AD7" s="1134"/>
      <c r="AE7" s="1134"/>
      <c r="AF7" s="1134"/>
      <c r="AG7" s="1134"/>
      <c r="AH7" s="1134"/>
      <c r="AI7" s="1134"/>
      <c r="AJ7" s="1135"/>
    </row>
    <row r="8" spans="1:36" ht="26.4">
      <c r="A8" s="3009"/>
      <c r="B8" s="162" t="s">
        <v>1957</v>
      </c>
      <c r="C8" s="1869" t="s">
        <v>3425</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3">
        <f t="shared" si="0"/>
        <v>0</v>
      </c>
      <c r="U8" s="1129"/>
      <c r="V8" s="3063">
        <f t="shared" si="1"/>
        <v>0</v>
      </c>
      <c r="W8" s="3483" t="s">
        <v>1960</v>
      </c>
      <c r="X8" s="3484"/>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3">
        <f t="shared" si="0"/>
        <v>0</v>
      </c>
      <c r="U9" s="1129"/>
      <c r="V9" s="3063">
        <f t="shared" si="1"/>
        <v>0</v>
      </c>
      <c r="W9" s="3485"/>
      <c r="X9" s="3064" t="s">
        <v>3268</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3">
        <f t="shared" si="0"/>
        <v>0</v>
      </c>
      <c r="U10" s="1129"/>
      <c r="V10" s="3063">
        <f t="shared" si="1"/>
        <v>0</v>
      </c>
      <c r="W10" s="3485"/>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6"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3">
        <f t="shared" si="0"/>
        <v>0</v>
      </c>
      <c r="U11" s="1129"/>
      <c r="V11" s="3063">
        <f t="shared" si="1"/>
        <v>0</v>
      </c>
      <c r="W11" s="1132"/>
      <c r="X11" s="1132"/>
      <c r="Y11" s="1132"/>
      <c r="Z11" s="1132"/>
      <c r="AA11" s="1132"/>
      <c r="AB11" s="1132"/>
      <c r="AC11" s="1133"/>
      <c r="AD11" s="2553"/>
      <c r="AE11" s="2553"/>
      <c r="AF11" s="2553"/>
      <c r="AG11" s="2553"/>
      <c r="AH11" s="2553"/>
      <c r="AI11" s="2553"/>
      <c r="AJ11" s="2554"/>
    </row>
    <row r="12" spans="1:36" ht="25.8" thickBot="1">
      <c r="A12" s="3012" t="s">
        <v>3238</v>
      </c>
      <c r="B12" s="3013" t="s">
        <v>3239</v>
      </c>
      <c r="C12" s="3014">
        <v>1.05</v>
      </c>
      <c r="D12" s="3015" t="s">
        <v>3240</v>
      </c>
      <c r="E12" s="3016" t="s">
        <v>3241</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3">
        <f t="shared" si="0"/>
        <v>0</v>
      </c>
      <c r="U12" s="1129"/>
      <c r="V12" s="3063">
        <f t="shared" si="1"/>
        <v>0</v>
      </c>
      <c r="W12" s="1132"/>
      <c r="X12" s="1132"/>
      <c r="Y12" s="1132"/>
      <c r="Z12" s="1132"/>
      <c r="AA12" s="1132"/>
      <c r="AB12" s="1132"/>
      <c r="AC12" s="1133"/>
      <c r="AD12" s="2553"/>
      <c r="AE12" s="2553"/>
      <c r="AF12" s="2553"/>
      <c r="AG12" s="2553"/>
      <c r="AH12" s="2553"/>
      <c r="AI12" s="2553"/>
      <c r="AJ12" s="2554"/>
    </row>
    <row r="13" spans="1:36" ht="24.6" thickBot="1">
      <c r="A13" s="3012" t="s">
        <v>3242</v>
      </c>
      <c r="B13" s="1877" t="s">
        <v>1982</v>
      </c>
      <c r="C13" s="711">
        <f>ROUND(C16*D16*E16*F16*G16*H16*I16*J16,4)</f>
        <v>0</v>
      </c>
      <c r="D13" s="1878" t="s">
        <v>1983</v>
      </c>
      <c r="E13" s="1879"/>
      <c r="F13" s="1879"/>
      <c r="G13" s="1880"/>
      <c r="H13" s="1880"/>
      <c r="I13" s="1880"/>
      <c r="J13" s="1881"/>
      <c r="K13" s="1056"/>
      <c r="L13" s="3"/>
      <c r="M13" s="4"/>
      <c r="N13" s="3010"/>
      <c r="O13" s="1056"/>
      <c r="P13" s="1056"/>
      <c r="Q13" s="1056"/>
      <c r="R13" s="1128">
        <v>12</v>
      </c>
      <c r="S13" s="1129"/>
      <c r="T13" s="3063">
        <f t="shared" si="0"/>
        <v>0</v>
      </c>
      <c r="U13" s="1129"/>
      <c r="V13" s="3063">
        <f t="shared" si="1"/>
        <v>0</v>
      </c>
      <c r="W13" s="1132"/>
      <c r="X13" s="1132"/>
      <c r="Y13" s="1132"/>
      <c r="Z13" s="1132"/>
      <c r="AA13" s="1132"/>
      <c r="AB13" s="1132"/>
      <c r="AC13" s="1133"/>
      <c r="AD13" s="2553"/>
      <c r="AE13" s="2553"/>
      <c r="AF13" s="2553"/>
      <c r="AG13" s="2553"/>
      <c r="AH13" s="2553"/>
      <c r="AI13" s="2553"/>
      <c r="AJ13" s="2554"/>
    </row>
    <row r="14" spans="1:36" ht="24">
      <c r="A14" s="3008"/>
      <c r="B14" s="1882" t="s">
        <v>1985</v>
      </c>
      <c r="C14" s="1883" t="s">
        <v>1986</v>
      </c>
      <c r="D14" s="1260" t="s">
        <v>1987</v>
      </c>
      <c r="E14" s="27" t="s">
        <v>1988</v>
      </c>
      <c r="F14" s="3020" t="s">
        <v>3243</v>
      </c>
      <c r="G14" s="3020" t="s">
        <v>3243</v>
      </c>
      <c r="H14" s="3020" t="s">
        <v>3243</v>
      </c>
      <c r="I14" s="3020" t="s">
        <v>3243</v>
      </c>
      <c r="J14" s="3020" t="s">
        <v>3243</v>
      </c>
      <c r="K14" s="1056"/>
      <c r="L14" s="1056"/>
      <c r="M14" s="1056"/>
      <c r="N14" s="1056"/>
      <c r="O14" s="1056"/>
      <c r="P14" s="1056"/>
      <c r="Q14" s="1056"/>
      <c r="R14" s="1128">
        <v>13</v>
      </c>
      <c r="S14" s="1129"/>
      <c r="T14" s="3063">
        <f t="shared" si="0"/>
        <v>0</v>
      </c>
      <c r="U14" s="1129"/>
      <c r="V14" s="3063">
        <f t="shared" si="1"/>
        <v>0</v>
      </c>
      <c r="W14" s="1132"/>
      <c r="X14" s="1132"/>
      <c r="Y14" s="1132"/>
      <c r="Z14" s="1132"/>
      <c r="AA14" s="1132"/>
      <c r="AB14" s="1132"/>
      <c r="AC14" s="1133"/>
      <c r="AD14" s="2553"/>
      <c r="AE14" s="2553"/>
      <c r="AF14" s="2553"/>
      <c r="AG14" s="2553"/>
      <c r="AH14" s="2553"/>
      <c r="AI14" s="2553"/>
      <c r="AJ14" s="2554"/>
    </row>
    <row r="15" spans="1:36" ht="15">
      <c r="A15" s="3008"/>
      <c r="B15" s="1884"/>
      <c r="C15" s="1885"/>
      <c r="D15" s="1886"/>
      <c r="E15" s="1887"/>
      <c r="F15" s="1469" t="s">
        <v>3244</v>
      </c>
      <c r="G15" s="1927"/>
      <c r="H15" s="3021"/>
      <c r="I15" s="3022"/>
      <c r="J15" s="3023"/>
      <c r="K15" s="1056"/>
      <c r="L15" s="1056"/>
      <c r="M15" s="1056"/>
      <c r="N15" s="1056"/>
      <c r="O15" s="1056"/>
      <c r="P15" s="1056"/>
      <c r="Q15" s="1056"/>
      <c r="R15" s="1128">
        <v>14</v>
      </c>
      <c r="S15" s="1129"/>
      <c r="T15" s="3063">
        <f t="shared" si="0"/>
        <v>0</v>
      </c>
      <c r="U15" s="1129"/>
      <c r="V15" s="3063">
        <f t="shared" si="1"/>
        <v>0</v>
      </c>
      <c r="W15" s="1132"/>
      <c r="X15" s="1132"/>
      <c r="Y15" s="1132"/>
      <c r="Z15" s="1132"/>
      <c r="AA15" s="1132"/>
      <c r="AB15" s="1132"/>
      <c r="AC15" s="1133"/>
      <c r="AD15" s="2553"/>
      <c r="AE15" s="2553"/>
      <c r="AF15" s="2553"/>
      <c r="AG15" s="2553"/>
      <c r="AH15" s="2553"/>
      <c r="AI15" s="2553"/>
      <c r="AJ15" s="2554"/>
    </row>
    <row r="16" spans="1:36" ht="15.6"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8">
        <v>15</v>
      </c>
      <c r="S16" s="1129"/>
      <c r="T16" s="3063">
        <f t="shared" si="0"/>
        <v>0</v>
      </c>
      <c r="U16" s="1129"/>
      <c r="V16" s="3063">
        <f t="shared" si="1"/>
        <v>0</v>
      </c>
      <c r="W16" s="1132"/>
      <c r="X16" s="1132"/>
      <c r="Y16" s="1132"/>
      <c r="Z16" s="1132"/>
      <c r="AA16" s="1132"/>
      <c r="AB16" s="1132"/>
      <c r="AC16" s="1133"/>
      <c r="AD16" s="2553"/>
      <c r="AE16" s="2553"/>
      <c r="AF16" s="2553"/>
      <c r="AG16" s="2553"/>
      <c r="AH16" s="2553"/>
      <c r="AI16" s="2553"/>
      <c r="AJ16" s="2554"/>
    </row>
    <row r="17" spans="1:37" ht="24">
      <c r="A17" s="3035" t="s">
        <v>3245</v>
      </c>
      <c r="B17" s="3027" t="s">
        <v>3246</v>
      </c>
      <c r="C17" s="3036">
        <f>ROUND(IF(OR(E2="工业",E2="公共服务"),1,IF(AND(E18=0,E19=0),1,IF(AND(E18=J24,E19=G19),0.8,IF(E19=0,1+E17*(-0.2),1+E17*G17*(-0.2))))),4)</f>
        <v>1</v>
      </c>
      <c r="D17" s="3028" t="s">
        <v>3247</v>
      </c>
      <c r="E17" s="3036">
        <f>ROUND(G18/I18,2)</f>
        <v>0</v>
      </c>
      <c r="F17" s="3028" t="s">
        <v>3250</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3.8">
      <c r="A18" s="3038"/>
      <c r="B18" s="2309"/>
      <c r="C18" s="3034"/>
      <c r="D18" s="3029" t="s">
        <v>3248</v>
      </c>
      <c r="E18" s="2356"/>
      <c r="F18" s="3030" t="s">
        <v>3251</v>
      </c>
      <c r="G18" s="3034">
        <f>ROUND(1-(1/(POWER(1+G24,E18))),4)</f>
        <v>0</v>
      </c>
      <c r="H18" s="3030" t="s">
        <v>3253</v>
      </c>
      <c r="I18" s="3034">
        <f>ROUND(1-(1/(POWER(1+G24,J24))),4)</f>
        <v>0.93120000000000003</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4.4" thickBot="1">
      <c r="A19" s="3040"/>
      <c r="B19" s="3041"/>
      <c r="C19" s="3042"/>
      <c r="D19" s="3042" t="s">
        <v>3249</v>
      </c>
      <c r="E19" s="3043"/>
      <c r="F19" s="3044" t="s">
        <v>3252</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3.8">
      <c r="A20" s="3490" t="s">
        <v>3254</v>
      </c>
      <c r="B20" s="159" t="s">
        <v>1994</v>
      </c>
      <c r="C20" s="3031">
        <f>ROUND(IF(F21="与级别开发程度一致",0,(G21-E21)/C21),0)</f>
        <v>0</v>
      </c>
      <c r="D20" s="3046" t="s">
        <v>1998</v>
      </c>
      <c r="E20" s="3047"/>
      <c r="F20" s="3496" t="s">
        <v>1995</v>
      </c>
      <c r="G20" s="3497"/>
      <c r="H20" s="3032" t="s">
        <v>3450</v>
      </c>
      <c r="I20" s="3032" t="s">
        <v>3451</v>
      </c>
      <c r="J20" s="3033" t="s">
        <v>3452</v>
      </c>
      <c r="K20" s="1888" t="s">
        <v>3453</v>
      </c>
      <c r="L20" s="1888" t="s">
        <v>3454</v>
      </c>
      <c r="M20" s="1888" t="s">
        <v>3455</v>
      </c>
      <c r="N20" s="1888" t="s">
        <v>3456</v>
      </c>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7" thickBot="1">
      <c r="A21" s="3491"/>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3464</v>
      </c>
      <c r="G21" s="1994">
        <f>SUM(H21:O21)</f>
        <v>265</v>
      </c>
      <c r="H21" s="2002">
        <f>SUMPRODUCT((七通一平=H20)*(修正!B1:M1=G2)*(修正!B8:M16))</f>
        <v>70</v>
      </c>
      <c r="I21" s="2002">
        <f>SUMPRODUCT((七通一平=I20)*(修正!B1:M1=G2)*(修正!B8:M16))</f>
        <v>60</v>
      </c>
      <c r="J21" s="2003">
        <f>SUMPRODUCT((七通一平=J20)*(修正!B1:M1=G2)*(修正!B8:M16))</f>
        <v>15</v>
      </c>
      <c r="K21" s="2002">
        <f>SUMPRODUCT((七通一平=K20)*(修正!B1:M1=G2)*(修正!B8:M16))</f>
        <v>25</v>
      </c>
      <c r="L21" s="2002">
        <f>SUMPRODUCT((七通一平=L20)*(修正!B1:M1=G2)*(修正!B8:M16))</f>
        <v>40</v>
      </c>
      <c r="M21" s="2002">
        <f>SUMPRODUCT((七通一平=M20)*(修正!B1:M1=G2)*(修正!B8:M16))</f>
        <v>40</v>
      </c>
      <c r="N21" s="2002">
        <f>SUMPRODUCT((七通一平=N20)*(修正!B1:M1=G2)*(修正!B8:M16))</f>
        <v>15</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7" thickBot="1">
      <c r="A23" s="1891" t="s">
        <v>364</v>
      </c>
      <c r="B23" s="1892"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1.0107999999999999</v>
      </c>
      <c r="D23" s="1895" t="s">
        <v>2002</v>
      </c>
      <c r="E23" s="717">
        <v>44197</v>
      </c>
      <c r="F23" s="1895" t="s">
        <v>2003</v>
      </c>
      <c r="G23" s="718">
        <f>'数据-取费表'!B2</f>
        <v>45526</v>
      </c>
      <c r="H23" s="3048" t="s">
        <v>3256</v>
      </c>
      <c r="I23" s="3049" t="str">
        <f>IF(H23="季度增幅（自定义）",SUMIF(N25:N28,E2,O25:O28),"")</f>
        <v/>
      </c>
      <c r="J23" s="3141" t="s">
        <v>3255</v>
      </c>
      <c r="K23" s="1061"/>
      <c r="L23" s="1896" t="s">
        <v>2004</v>
      </c>
      <c r="M23" s="1240">
        <f>ROUND(SUMIF(地价!B2:G2,E2,地价!B16:G16),0)</f>
        <v>350</v>
      </c>
      <c r="N23" s="1897" t="s">
        <v>2005</v>
      </c>
      <c r="O23" s="719">
        <f>ROUNDDOWN(DATEDIF(E23,G23,"M")/3,0)</f>
        <v>14</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6" thickBot="1">
      <c r="A24" s="1899" t="s">
        <v>365</v>
      </c>
      <c r="B24" s="1900" t="s">
        <v>2006</v>
      </c>
      <c r="C24" s="720">
        <f>ROUND(POWER(1+G24,J24-I24)*(POWER(1+G24,I24)-1)/(POWER(1+G24,J24)-1),4)</f>
        <v>0.78129999999999999</v>
      </c>
      <c r="D24" s="1901" t="s">
        <v>2007</v>
      </c>
      <c r="E24" s="1247">
        <f>存贷款利率!E26/100</f>
        <v>4.3499999999999997E-2</v>
      </c>
      <c r="F24" s="1901" t="s">
        <v>1999</v>
      </c>
      <c r="G24" s="724">
        <f>SUMIF(M30:Q30,E2,M33:Q33)</f>
        <v>5.5E-2</v>
      </c>
      <c r="H24" s="1901" t="s">
        <v>2008</v>
      </c>
      <c r="I24" s="725">
        <f>SUMIF('数据-取费表'!C6:C15,E2,'数据-取费表'!F6:F15)/COUNTIF('数据-取费表'!C6:C15,E2)</f>
        <v>24.29</v>
      </c>
      <c r="J24" s="726">
        <f>IF(E2="住宅",70,IF(E2="商业",40,50))</f>
        <v>50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4.4">
      <c r="A25" s="1906" t="s">
        <v>366</v>
      </c>
      <c r="B25" s="1907" t="s">
        <v>3335</v>
      </c>
      <c r="C25" s="461">
        <f>IF(B25="容积率修正",IF(G3&lt;10,D26,J26),C27)</f>
        <v>1.0018</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4">
      <c r="A26" s="1805" t="s">
        <v>2014</v>
      </c>
      <c r="B26" s="1911" t="s">
        <v>2015</v>
      </c>
      <c r="C26" s="1911" t="s">
        <v>3257</v>
      </c>
      <c r="D26" s="1262">
        <f>IF(E26=G26,F26,IF(G3&lt;10,ROUND(F26+(H26-F26)*(G3-E26)/(G26-E26),4),"——"))</f>
        <v>1.0018</v>
      </c>
      <c r="E26" s="708">
        <f>ROUNDDOWN(G3,1)</f>
        <v>2.4</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1.0089999999999999</v>
      </c>
      <c r="G26" s="708">
        <f>ROUNDUP(G3,1)</f>
        <v>2.5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3258</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 thickBot="1">
      <c r="A28" s="1899" t="s">
        <v>367</v>
      </c>
      <c r="B28" s="1892" t="s">
        <v>2020</v>
      </c>
      <c r="C28" s="716">
        <f>SUMIF(A47:A101,E2,B47:B101)</f>
        <v>1.0496000000000001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4.4">
      <c r="A30" s="1923"/>
      <c r="B30" s="1911" t="s">
        <v>2024</v>
      </c>
      <c r="C30" s="2144">
        <f>IF(B25="容积率修正",E33+SUM(E37:E42),SUM(V2:V16)+SUM(E37:E42))</f>
        <v>22982</v>
      </c>
      <c r="D30" s="1924"/>
      <c r="E30" s="1841"/>
      <c r="F30" s="1925"/>
      <c r="G30" s="1841"/>
      <c r="H30" s="1841"/>
      <c r="I30" s="1841"/>
      <c r="J30" s="1926"/>
      <c r="K30" s="1056"/>
      <c r="L30" s="3055" t="s">
        <v>1936</v>
      </c>
      <c r="M30" s="3056" t="s">
        <v>1990</v>
      </c>
      <c r="N30" s="3056" t="s">
        <v>1991</v>
      </c>
      <c r="O30" s="3056" t="s">
        <v>1992</v>
      </c>
      <c r="P30" s="3056" t="s">
        <v>1993</v>
      </c>
      <c r="Q30" s="3059" t="s">
        <v>3262</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 thickBot="1">
      <c r="A31" s="1923"/>
      <c r="B31" s="1927" t="s">
        <v>2025</v>
      </c>
      <c r="C31" s="722">
        <f>E34+SUM(I37:I42)</f>
        <v>940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3.8">
      <c r="A33" s="1937"/>
      <c r="B33" s="1938" t="s">
        <v>2030</v>
      </c>
      <c r="C33" s="167">
        <f>ROUND(C5*C22*C23*C24*C25*C28,0)</f>
        <v>20072</v>
      </c>
      <c r="D33" s="1939">
        <f>'数据-汇总表'!F19</f>
        <v>9577.27</v>
      </c>
      <c r="E33" s="727">
        <f>ROUND(C33*D33/10000,0)</f>
        <v>19223</v>
      </c>
      <c r="F33" s="3050" t="s">
        <v>3260</v>
      </c>
      <c r="G33" s="1940"/>
      <c r="H33" s="1940"/>
      <c r="I33" s="1940"/>
      <c r="J33" s="1941"/>
      <c r="K33" s="1056"/>
      <c r="L33" s="3053" t="s">
        <v>3263</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8" thickBot="1">
      <c r="A34" s="1942"/>
      <c r="B34" s="1943" t="s">
        <v>2031</v>
      </c>
      <c r="C34" s="179">
        <f>ROUND(IF(E2="工业",C33*M42,IF(B25="楼层修正",SUM(V2:V16)*M41*10000/D34,C33*M41)),0)</f>
        <v>5018</v>
      </c>
      <c r="D34" s="1944"/>
      <c r="E34" s="727">
        <f>ROUND(IF(B25="楼层修正",SUM(V2:V16)*M40,C34*D34/10000),0)</f>
        <v>0</v>
      </c>
      <c r="F34" s="1945" t="s">
        <v>2032</v>
      </c>
      <c r="G34" s="1946"/>
      <c r="H34" s="1946"/>
      <c r="I34" s="1946"/>
      <c r="J34" s="1947"/>
      <c r="K34" s="1056"/>
      <c r="L34" s="3053" t="s">
        <v>3264</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3261</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2">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6" thickBot="1">
      <c r="A37" s="3494"/>
      <c r="B37" s="1954" t="s">
        <v>2036</v>
      </c>
      <c r="C37" s="167">
        <f>ROUND(D5*C22*C23*C24*C28*F37,0)</f>
        <v>11449</v>
      </c>
      <c r="D37" s="1939"/>
      <c r="E37" s="163">
        <f>ROUND(C37*D37/10000,0)</f>
        <v>0</v>
      </c>
      <c r="F37" s="163">
        <f>SUMIF(修正!A57:A68,G2,修正!B57:B68)</f>
        <v>0.6</v>
      </c>
      <c r="G37" s="163">
        <f>ROUND(IF(E2="工业",C37*$M$42,C37*$M$41),0)</f>
        <v>2862</v>
      </c>
      <c r="H37" s="163">
        <f>D37</f>
        <v>0</v>
      </c>
      <c r="I37" s="163">
        <f>ROUND(G37*H37/10000,0)</f>
        <v>0</v>
      </c>
      <c r="J37" s="2754"/>
      <c r="K37" s="3061" t="s">
        <v>3266</v>
      </c>
      <c r="L37" s="1963">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95"/>
      <c r="B38" s="1883" t="s">
        <v>2037</v>
      </c>
      <c r="C38" s="167">
        <f>ROUND(D5*C22*C23*C24*C28*F38,0)</f>
        <v>5724</v>
      </c>
      <c r="D38" s="1939"/>
      <c r="E38" s="163">
        <f t="shared" ref="E38:E42" si="4">ROUND(C38*D38/10000,0)</f>
        <v>0</v>
      </c>
      <c r="F38" s="163">
        <f>SUMIF(修正!A57:A68,G2,修正!C57:C68)</f>
        <v>0.3</v>
      </c>
      <c r="G38" s="163">
        <f>ROUND(IF(E2="工业",C38*$M$42,C38*$M$41),0)</f>
        <v>1431</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8" thickBot="1">
      <c r="A39" s="3495"/>
      <c r="B39" s="1883" t="s">
        <v>3259</v>
      </c>
      <c r="C39" s="167">
        <f>ROUND(D5*C22*C23*C24*C28*F39,0)</f>
        <v>4770</v>
      </c>
      <c r="D39" s="1939"/>
      <c r="E39" s="163">
        <f t="shared" si="4"/>
        <v>0</v>
      </c>
      <c r="F39" s="163">
        <f>SUMIF(修正!A57:A68,G2,修正!D57:D68)</f>
        <v>0.25</v>
      </c>
      <c r="G39" s="163">
        <f>ROUND(IF(E2="工业",C39*$M$42,C39*$M$41),0)</f>
        <v>1193</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4770</v>
      </c>
      <c r="D40" s="1939">
        <f>面积取值!C27+面积取值!C28</f>
        <v>7880.05</v>
      </c>
      <c r="E40" s="163">
        <f t="shared" si="4"/>
        <v>3759</v>
      </c>
      <c r="F40" s="167">
        <f>SUMIF(修正!A57:A68,G2,修正!E57:E68)</f>
        <v>0.25</v>
      </c>
      <c r="G40" s="163">
        <f>ROUND(IF(E2="工业",C40*$M$42,C40*$M$41),0)</f>
        <v>1193</v>
      </c>
      <c r="H40" s="163">
        <f t="shared" si="5"/>
        <v>7880.05</v>
      </c>
      <c r="I40" s="163">
        <f t="shared" si="6"/>
        <v>940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4770</v>
      </c>
      <c r="D41" s="1939"/>
      <c r="E41" s="163">
        <f t="shared" si="4"/>
        <v>0</v>
      </c>
      <c r="F41" s="167">
        <f>SUMIF(修正!A57:A68,G2,修正!F57:F68)</f>
        <v>0.25</v>
      </c>
      <c r="G41" s="163">
        <f>ROUND(IF(E2="工业",C41*$M$42,C41*$M$41),0)</f>
        <v>1193</v>
      </c>
      <c r="H41" s="163">
        <f t="shared" si="5"/>
        <v>0</v>
      </c>
      <c r="I41" s="163">
        <f t="shared" si="6"/>
        <v>0</v>
      </c>
      <c r="J41" s="939"/>
      <c r="L41" s="3062" t="s">
        <v>3267</v>
      </c>
      <c r="M41" s="1958">
        <v>0.25</v>
      </c>
      <c r="Z41" s="1057"/>
      <c r="AA41" s="1057"/>
      <c r="AB41" s="1057"/>
      <c r="AC41" s="1057"/>
      <c r="AD41" s="1057"/>
      <c r="AE41" s="1057"/>
      <c r="AF41" s="1057"/>
      <c r="AG41" s="1057"/>
      <c r="AH41" s="1057"/>
      <c r="AI41" s="1057"/>
      <c r="AJ41" s="1057"/>
    </row>
    <row r="42" spans="1:37" s="1056" customFormat="1" ht="13.8" thickBot="1">
      <c r="A42" s="1942"/>
      <c r="B42" s="1959" t="s">
        <v>2041</v>
      </c>
      <c r="C42" s="179">
        <f>ROUND(D5*C22*C23*C44*C28*F42,0)</f>
        <v>2862</v>
      </c>
      <c r="D42" s="1944"/>
      <c r="E42" s="179">
        <f t="shared" si="4"/>
        <v>0</v>
      </c>
      <c r="F42" s="723">
        <f>SUMIF(修正!A57:A68,G2,修正!G57:G68)</f>
        <v>0.15</v>
      </c>
      <c r="G42" s="179">
        <f>ROUND(IF(E2="工业",C42*$M$42,C42*$M$41),0)</f>
        <v>716</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1" t="s">
        <v>2122</v>
      </c>
      <c r="C44" s="333">
        <f>ROUND(POWER(1+E44,H44-G44)*(POWER(1+E44,G44)-1)/(POWER(1+E44,H44)-1),4)</f>
        <v>0.78129999999999999</v>
      </c>
      <c r="D44" s="163" t="s">
        <v>1999</v>
      </c>
      <c r="E44" s="1990">
        <f>G24</f>
        <v>5.5E-2</v>
      </c>
      <c r="F44" s="163" t="s">
        <v>2008</v>
      </c>
      <c r="G44" s="175">
        <f>项目基本情况!E15</f>
        <v>24.29</v>
      </c>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4.4">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5.2">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5.2">
      <c r="A50" s="1969" t="s">
        <v>2052</v>
      </c>
      <c r="B50" s="1972">
        <f>估价对象房地状况!C4</f>
        <v>0</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0" t="s">
        <v>3269</v>
      </c>
      <c r="B52" s="1261">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1">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5" t="s">
        <v>2059</v>
      </c>
      <c r="B56" s="1239" t="str">
        <f>估价对象房地状况!C21</f>
        <v>估价对象所在区域公共配套设施齐备情况</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5" t="s">
        <v>2060</v>
      </c>
      <c r="B57" s="1261" t="str">
        <f>估价对象房地状况!C22</f>
        <v>估价对象所在区域基础设施水平</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6" t="s">
        <v>2062</v>
      </c>
      <c r="B59" s="1967">
        <f>1+E61</f>
        <v>1.0496000000000001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69" t="s">
        <v>2064</v>
      </c>
      <c r="B61" s="1972" t="str">
        <f>估价对象房地状况!C17</f>
        <v>估价对象位于XX商圈，周边办公楼项目较多，入驻率高，办公集聚程度较好</v>
      </c>
      <c r="C61" s="1886" t="s">
        <v>3457</v>
      </c>
      <c r="D61" s="1002">
        <f t="shared" ref="D61:D69" si="12">SUMIF($J$60:$N$60,C61,J61:N61)</f>
        <v>1.21E-2</v>
      </c>
      <c r="E61" s="702">
        <f>ROUND(SUM(D61:D69),4)</f>
        <v>4.9599999999999998E-2</v>
      </c>
      <c r="F61" s="1674">
        <f>IF(E2="办公",SUMIF(L1:L12,G2,N1:N12),"——")</f>
        <v>9.7000000000000003E-2</v>
      </c>
      <c r="G61" s="1000">
        <v>1.21E-2</v>
      </c>
      <c r="H61" s="1003">
        <f t="shared" ref="H61:H69" si="13">IFERROR(ROUNDDOWN($F$61*I61/2,4),"——")</f>
        <v>1.21E-2</v>
      </c>
      <c r="I61" s="3068">
        <v>0.25</v>
      </c>
      <c r="J61" s="1001">
        <f t="shared" ref="J61:J69" si="14">K61+$G61</f>
        <v>2.4199999999999999E-2</v>
      </c>
      <c r="K61" s="1001">
        <f t="shared" ref="K61:K69" si="15">$L61+$G61</f>
        <v>1.21E-2</v>
      </c>
      <c r="L61" s="1001">
        <v>0</v>
      </c>
      <c r="M61" s="1001">
        <f t="shared" ref="M61:N69" si="16">L61-$G61</f>
        <v>-1.21E-2</v>
      </c>
      <c r="N61" s="1001">
        <f t="shared" si="16"/>
        <v>-2.4199999999999999E-2</v>
      </c>
      <c r="AA61" s="1057"/>
      <c r="AB61" s="1057"/>
      <c r="AC61" s="1057"/>
      <c r="AD61" s="1057"/>
      <c r="AE61" s="1057"/>
      <c r="AF61" s="1057"/>
      <c r="AG61" s="1057"/>
      <c r="AH61" s="1057"/>
      <c r="AI61" s="1057"/>
      <c r="AJ61" s="1057"/>
      <c r="AK61" s="1057"/>
    </row>
    <row r="62" spans="1:37" s="1056" customFormat="1" ht="52.8">
      <c r="A62" s="1969" t="s">
        <v>2053</v>
      </c>
      <c r="B62" s="1261" t="str">
        <f>估价对象房地状况!C18</f>
        <v>估价对象周边道路状况、公共交通通达情况、停车便捷程度，综合评价交通便捷度较好</v>
      </c>
      <c r="C62" s="1886" t="s">
        <v>3457</v>
      </c>
      <c r="D62" s="1002">
        <f t="shared" si="12"/>
        <v>1.26E-2</v>
      </c>
      <c r="E62" s="703"/>
      <c r="F62" s="1674"/>
      <c r="G62" s="1000">
        <v>1.26E-2</v>
      </c>
      <c r="H62" s="1003">
        <f t="shared" si="13"/>
        <v>1.26E-2</v>
      </c>
      <c r="I62" s="3068">
        <v>0.26</v>
      </c>
      <c r="J62" s="1001">
        <f t="shared" si="14"/>
        <v>2.52E-2</v>
      </c>
      <c r="K62" s="1001">
        <f t="shared" si="15"/>
        <v>1.26E-2</v>
      </c>
      <c r="L62" s="1001">
        <v>0</v>
      </c>
      <c r="M62" s="1001">
        <f t="shared" si="16"/>
        <v>-1.26E-2</v>
      </c>
      <c r="N62" s="1001">
        <f t="shared" si="16"/>
        <v>-2.52E-2</v>
      </c>
      <c r="AA62" s="1057"/>
      <c r="AB62" s="1057"/>
      <c r="AC62" s="1057"/>
      <c r="AD62" s="1057"/>
      <c r="AE62" s="1057"/>
      <c r="AF62" s="1057"/>
      <c r="AG62" s="1057"/>
      <c r="AH62" s="1057"/>
      <c r="AI62" s="1057"/>
      <c r="AJ62" s="1057"/>
      <c r="AK62" s="1057"/>
    </row>
    <row r="63" spans="1:37" s="1056" customFormat="1" ht="48">
      <c r="A63" s="3070" t="s">
        <v>3269</v>
      </c>
      <c r="B63" s="1261">
        <f>估价对象房地状况!C19</f>
        <v>0</v>
      </c>
      <c r="C63" s="1886" t="s">
        <v>3457</v>
      </c>
      <c r="D63" s="1002">
        <f t="shared" si="12"/>
        <v>5.3E-3</v>
      </c>
      <c r="E63" s="703"/>
      <c r="F63" s="1674"/>
      <c r="G63" s="1000">
        <v>5.3E-3</v>
      </c>
      <c r="H63" s="1003">
        <f t="shared" si="13"/>
        <v>5.3E-3</v>
      </c>
      <c r="I63" s="3068">
        <v>0.11</v>
      </c>
      <c r="J63" s="1001">
        <f t="shared" si="14"/>
        <v>1.06E-2</v>
      </c>
      <c r="K63" s="1001">
        <f t="shared" si="15"/>
        <v>5.3E-3</v>
      </c>
      <c r="L63" s="1001">
        <v>0</v>
      </c>
      <c r="M63" s="1001">
        <f t="shared" si="16"/>
        <v>-5.3E-3</v>
      </c>
      <c r="N63" s="1001">
        <f t="shared" si="16"/>
        <v>-1.06E-2</v>
      </c>
      <c r="AA63" s="1057"/>
      <c r="AB63" s="1057"/>
      <c r="AC63" s="1057"/>
      <c r="AD63" s="1057"/>
      <c r="AE63" s="1057"/>
      <c r="AF63" s="1057"/>
      <c r="AG63" s="1057"/>
      <c r="AH63" s="1057"/>
      <c r="AI63" s="1057"/>
      <c r="AJ63" s="1057"/>
      <c r="AK63" s="1057"/>
    </row>
    <row r="64" spans="1:37" s="1056" customFormat="1" ht="37.200000000000003">
      <c r="A64" s="1969" t="s">
        <v>2054</v>
      </c>
      <c r="B64" s="1973" t="s">
        <v>2055</v>
      </c>
      <c r="C64" s="1886" t="s">
        <v>3457</v>
      </c>
      <c r="D64" s="1002">
        <f t="shared" si="12"/>
        <v>2.3999999999999998E-3</v>
      </c>
      <c r="E64" s="703"/>
      <c r="F64" s="1674"/>
      <c r="G64" s="1000">
        <v>2.3999999999999998E-3</v>
      </c>
      <c r="H64" s="1003">
        <f t="shared" si="13"/>
        <v>2.3999999999999998E-3</v>
      </c>
      <c r="I64" s="3068">
        <v>0.05</v>
      </c>
      <c r="J64" s="1001">
        <f t="shared" si="14"/>
        <v>4.7999999999999996E-3</v>
      </c>
      <c r="K64" s="1001">
        <f t="shared" si="15"/>
        <v>2.3999999999999998E-3</v>
      </c>
      <c r="L64" s="1001">
        <v>0</v>
      </c>
      <c r="M64" s="1001">
        <f t="shared" si="16"/>
        <v>-2.3999999999999998E-3</v>
      </c>
      <c r="N64" s="1001">
        <f t="shared" si="16"/>
        <v>-4.7999999999999996E-3</v>
      </c>
      <c r="AA64" s="1057"/>
      <c r="AB64" s="1057"/>
      <c r="AC64" s="1057"/>
      <c r="AD64" s="1057"/>
      <c r="AE64" s="1057"/>
      <c r="AF64" s="1057"/>
      <c r="AG64" s="1057"/>
      <c r="AH64" s="1057"/>
      <c r="AI64" s="1057"/>
      <c r="AJ64" s="1057"/>
      <c r="AK64" s="1057"/>
    </row>
    <row r="65" spans="1:37" s="1056" customFormat="1" ht="24">
      <c r="A65" s="1969" t="s">
        <v>2056</v>
      </c>
      <c r="B65" s="1261">
        <f>估价对象房地状况!C24</f>
        <v>0</v>
      </c>
      <c r="C65" s="1886" t="s">
        <v>3457</v>
      </c>
      <c r="D65" s="1002">
        <f t="shared" si="12"/>
        <v>2.3999999999999998E-3</v>
      </c>
      <c r="E65" s="703"/>
      <c r="F65" s="1674"/>
      <c r="G65" s="1000">
        <v>2.3999999999999998E-3</v>
      </c>
      <c r="H65" s="1003">
        <f t="shared" si="13"/>
        <v>2.3999999999999998E-3</v>
      </c>
      <c r="I65" s="3068">
        <v>0.05</v>
      </c>
      <c r="J65" s="1001">
        <f t="shared" si="14"/>
        <v>4.7999999999999996E-3</v>
      </c>
      <c r="K65" s="1001">
        <f t="shared" si="15"/>
        <v>2.3999999999999998E-3</v>
      </c>
      <c r="L65" s="1001">
        <v>0</v>
      </c>
      <c r="M65" s="1001">
        <f t="shared" si="16"/>
        <v>-2.3999999999999998E-3</v>
      </c>
      <c r="N65" s="1001">
        <f t="shared" si="16"/>
        <v>-4.7999999999999996E-3</v>
      </c>
      <c r="AA65" s="1057"/>
      <c r="AB65" s="1057"/>
      <c r="AC65" s="1057"/>
      <c r="AD65" s="1057"/>
      <c r="AE65" s="1057"/>
      <c r="AF65" s="1057"/>
      <c r="AG65" s="1057"/>
      <c r="AH65" s="1057"/>
      <c r="AI65" s="1057"/>
      <c r="AJ65" s="1057"/>
      <c r="AK65" s="1057"/>
    </row>
    <row r="66" spans="1:37" s="1056" customFormat="1" ht="36">
      <c r="A66" s="1969" t="s">
        <v>2057</v>
      </c>
      <c r="B66" s="1974" t="s">
        <v>2058</v>
      </c>
      <c r="C66" s="1886" t="s">
        <v>3458</v>
      </c>
      <c r="D66" s="1002">
        <f t="shared" si="12"/>
        <v>0</v>
      </c>
      <c r="E66" s="703"/>
      <c r="F66" s="1674"/>
      <c r="G66" s="1000">
        <v>2.8999999999999998E-3</v>
      </c>
      <c r="H66" s="1003">
        <f t="shared" si="13"/>
        <v>2.8999999999999998E-3</v>
      </c>
      <c r="I66" s="3068">
        <v>0.06</v>
      </c>
      <c r="J66" s="1001">
        <f t="shared" si="14"/>
        <v>5.7999999999999996E-3</v>
      </c>
      <c r="K66" s="1001">
        <f t="shared" si="15"/>
        <v>2.8999999999999998E-3</v>
      </c>
      <c r="L66" s="1001">
        <v>0</v>
      </c>
      <c r="M66" s="1001">
        <f t="shared" si="16"/>
        <v>-2.8999999999999998E-3</v>
      </c>
      <c r="N66" s="1001">
        <f t="shared" si="16"/>
        <v>-5.7999999999999996E-3</v>
      </c>
      <c r="AA66" s="1057"/>
      <c r="AB66" s="1057"/>
      <c r="AC66" s="1057"/>
      <c r="AD66" s="1057"/>
      <c r="AE66" s="1057"/>
      <c r="AF66" s="1057"/>
      <c r="AG66" s="1057"/>
      <c r="AH66" s="1057"/>
      <c r="AI66" s="1057"/>
      <c r="AJ66" s="1057"/>
      <c r="AK66" s="1057"/>
    </row>
    <row r="67" spans="1:37" s="1056" customFormat="1" ht="26.4">
      <c r="A67" s="1969" t="s">
        <v>2059</v>
      </c>
      <c r="B67" s="1239" t="str">
        <f>估价对象房地状况!C21</f>
        <v>估价对象所在区域公共配套设施齐备情况</v>
      </c>
      <c r="C67" s="1886" t="s">
        <v>3457</v>
      </c>
      <c r="D67" s="1002">
        <f t="shared" si="12"/>
        <v>2.8999999999999998E-3</v>
      </c>
      <c r="E67" s="703"/>
      <c r="F67" s="1674"/>
      <c r="G67" s="1000">
        <v>2.8999999999999998E-3</v>
      </c>
      <c r="H67" s="1003">
        <f t="shared" si="13"/>
        <v>2.8999999999999998E-3</v>
      </c>
      <c r="I67" s="3068">
        <v>0.06</v>
      </c>
      <c r="J67" s="1001">
        <f t="shared" si="14"/>
        <v>5.7999999999999996E-3</v>
      </c>
      <c r="K67" s="1001">
        <f t="shared" si="15"/>
        <v>2.8999999999999998E-3</v>
      </c>
      <c r="L67" s="1001">
        <v>0</v>
      </c>
      <c r="M67" s="1001">
        <f t="shared" si="16"/>
        <v>-2.8999999999999998E-3</v>
      </c>
      <c r="N67" s="1001">
        <f t="shared" si="16"/>
        <v>-5.7999999999999996E-3</v>
      </c>
      <c r="AA67" s="1057"/>
      <c r="AB67" s="1057"/>
      <c r="AC67" s="1057"/>
      <c r="AD67" s="1057"/>
      <c r="AE67" s="1057"/>
      <c r="AF67" s="1057"/>
      <c r="AG67" s="1057"/>
      <c r="AH67" s="1057"/>
      <c r="AI67" s="1057"/>
      <c r="AJ67" s="1057"/>
      <c r="AK67" s="1057"/>
    </row>
    <row r="68" spans="1:37" s="1056" customFormat="1" ht="26.4">
      <c r="A68" s="1969" t="s">
        <v>2060</v>
      </c>
      <c r="B68" s="1239" t="str">
        <f>估价对象房地状况!C22</f>
        <v>估价对象所在区域基础设施水平</v>
      </c>
      <c r="C68" s="3166" t="s">
        <v>3463</v>
      </c>
      <c r="D68" s="1002">
        <f t="shared" si="12"/>
        <v>8.6E-3</v>
      </c>
      <c r="E68" s="703"/>
      <c r="F68" s="1674"/>
      <c r="G68" s="1000">
        <v>4.3E-3</v>
      </c>
      <c r="H68" s="1003">
        <f t="shared" si="13"/>
        <v>4.3E-3</v>
      </c>
      <c r="I68" s="3068">
        <v>0.09</v>
      </c>
      <c r="J68" s="1001">
        <f t="shared" si="14"/>
        <v>8.6E-3</v>
      </c>
      <c r="K68" s="1001">
        <f t="shared" si="15"/>
        <v>4.3E-3</v>
      </c>
      <c r="L68" s="1001">
        <v>0</v>
      </c>
      <c r="M68" s="1001">
        <f t="shared" si="16"/>
        <v>-4.3E-3</v>
      </c>
      <c r="N68" s="1001">
        <f t="shared" si="16"/>
        <v>-8.6E-3</v>
      </c>
      <c r="AA68" s="1057"/>
      <c r="AB68" s="1057"/>
      <c r="AC68" s="1057"/>
      <c r="AD68" s="1057"/>
      <c r="AE68" s="1057"/>
      <c r="AF68" s="1057"/>
      <c r="AG68" s="1057"/>
      <c r="AH68" s="1057"/>
      <c r="AI68" s="1057"/>
      <c r="AJ68" s="1057"/>
      <c r="AK68" s="1057"/>
    </row>
    <row r="69" spans="1:37" s="1056" customFormat="1" ht="40.200000000000003" thickBot="1">
      <c r="A69" s="1976" t="s">
        <v>2061</v>
      </c>
      <c r="B69" s="1978" t="str">
        <f>估价对象房地状况!C20</f>
        <v>区域自然环境：；人文环境；综合评价环境状况一般</v>
      </c>
      <c r="C69" s="1886" t="s">
        <v>3457</v>
      </c>
      <c r="D69" s="1002">
        <f t="shared" si="12"/>
        <v>3.3E-3</v>
      </c>
      <c r="E69" s="704"/>
      <c r="F69" s="1674"/>
      <c r="G69" s="1000">
        <v>3.3E-3</v>
      </c>
      <c r="H69" s="1003">
        <f t="shared" si="13"/>
        <v>3.3E-3</v>
      </c>
      <c r="I69" s="3069">
        <v>7.0000000000000007E-2</v>
      </c>
      <c r="J69" s="1001">
        <f t="shared" si="14"/>
        <v>6.6E-3</v>
      </c>
      <c r="K69" s="1001">
        <f t="shared" si="15"/>
        <v>3.3E-3</v>
      </c>
      <c r="L69" s="1001">
        <v>0</v>
      </c>
      <c r="M69" s="1001">
        <f t="shared" si="16"/>
        <v>-3.3E-3</v>
      </c>
      <c r="N69" s="1001">
        <f t="shared" si="16"/>
        <v>-6.6E-3</v>
      </c>
      <c r="AA69" s="1057"/>
      <c r="AB69" s="1057"/>
      <c r="AC69" s="1057"/>
      <c r="AD69" s="1057"/>
      <c r="AE69" s="1057"/>
      <c r="AF69" s="1057"/>
      <c r="AG69" s="1057"/>
      <c r="AH69" s="1057"/>
      <c r="AI69" s="1057"/>
      <c r="AJ69" s="1057"/>
      <c r="AK69" s="1057"/>
    </row>
    <row r="70" spans="1:37" s="1056" customFormat="1" ht="14.4">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69" t="s">
        <v>2066</v>
      </c>
      <c r="B72" s="1972">
        <f>估价对象房地状况!C15</f>
        <v>0</v>
      </c>
      <c r="C72" s="1886"/>
      <c r="D72" s="1002">
        <f t="shared" ref="D72:D80" si="17">SUMIF($J$71:$N$71,C72,J72:N72)</f>
        <v>0</v>
      </c>
      <c r="E72" s="702">
        <f>ROUND(SUM(D72:D80),4)</f>
        <v>0</v>
      </c>
      <c r="F72" s="1674"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69" t="s">
        <v>2053</v>
      </c>
      <c r="B73" s="1261" t="str">
        <f>估价对象房地状况!C18</f>
        <v>估价对象周边道路状况、公共交通通达情况、停车便捷程度，综合评价交通便捷度较好</v>
      </c>
      <c r="C73" s="1886"/>
      <c r="D73" s="1002">
        <f t="shared" si="17"/>
        <v>0</v>
      </c>
      <c r="E73" s="705"/>
      <c r="F73" s="1674"/>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48">
      <c r="A74" s="3070" t="s">
        <v>3269</v>
      </c>
      <c r="B74" s="1261">
        <f>估价对象房地状况!C19</f>
        <v>0</v>
      </c>
      <c r="C74" s="1886"/>
      <c r="D74" s="1002">
        <f t="shared" si="17"/>
        <v>0</v>
      </c>
      <c r="E74" s="705"/>
      <c r="F74" s="1674"/>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3.8">
      <c r="A75" s="1969" t="s">
        <v>2067</v>
      </c>
      <c r="B75" s="1261">
        <f>估价对象房地状况!C24</f>
        <v>0</v>
      </c>
      <c r="C75" s="1886"/>
      <c r="D75" s="1002">
        <f t="shared" si="17"/>
        <v>0</v>
      </c>
      <c r="E75" s="705"/>
      <c r="F75" s="1674"/>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6.4">
      <c r="A76" s="1969" t="s">
        <v>2059</v>
      </c>
      <c r="B76" s="1239" t="str">
        <f>估价对象房地状况!C21</f>
        <v>估价对象所在区域公共配套设施齐备情况</v>
      </c>
      <c r="C76" s="1886"/>
      <c r="D76" s="1002">
        <f t="shared" si="17"/>
        <v>0</v>
      </c>
      <c r="E76" s="705"/>
      <c r="F76" s="1674"/>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6.4">
      <c r="A77" s="1969" t="s">
        <v>2060</v>
      </c>
      <c r="B77" s="1239" t="str">
        <f>估价对象房地状况!C22</f>
        <v>估价对象所在区域基础设施水平</v>
      </c>
      <c r="C77" s="1886"/>
      <c r="D77" s="1002">
        <f t="shared" si="17"/>
        <v>0</v>
      </c>
      <c r="E77" s="705"/>
      <c r="F77" s="1674"/>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36">
      <c r="A78" s="1969" t="s">
        <v>2057</v>
      </c>
      <c r="B78" s="1974" t="s">
        <v>2058</v>
      </c>
      <c r="C78" s="1886"/>
      <c r="D78" s="1002">
        <f t="shared" si="17"/>
        <v>0</v>
      </c>
      <c r="E78" s="705"/>
      <c r="F78" s="1674"/>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39.6">
      <c r="A79" s="1969" t="s">
        <v>2061</v>
      </c>
      <c r="B79" s="1972" t="str">
        <f>估价对象房地状况!C20</f>
        <v>区域自然环境：；人文环境；综合评价环境状况一般</v>
      </c>
      <c r="C79" s="1886"/>
      <c r="D79" s="1002">
        <f t="shared" si="17"/>
        <v>0</v>
      </c>
      <c r="E79" s="705"/>
      <c r="F79" s="1674"/>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36.6" thickBot="1">
      <c r="A80" s="1976" t="s">
        <v>2068</v>
      </c>
      <c r="B80" s="1980"/>
      <c r="C80" s="1886"/>
      <c r="D80" s="1002">
        <f t="shared" si="17"/>
        <v>0</v>
      </c>
      <c r="E80" s="706"/>
      <c r="F80" s="1674"/>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4.4">
      <c r="A81" s="1966" t="s">
        <v>2069</v>
      </c>
      <c r="B81" s="1967">
        <f>1+E83</f>
        <v>1</v>
      </c>
      <c r="C81" s="699"/>
      <c r="D81" s="699"/>
      <c r="E81" s="700"/>
      <c r="F81" s="1968"/>
      <c r="G81" s="3"/>
      <c r="H81" s="3"/>
      <c r="I81" s="3"/>
      <c r="J81" s="4"/>
      <c r="K81" s="4"/>
      <c r="L81" s="4"/>
      <c r="M81" s="4"/>
      <c r="N81" s="4"/>
      <c r="Z81" s="1844"/>
      <c r="AA81" s="1894"/>
      <c r="AG81" s="1058"/>
      <c r="AK81" s="1894"/>
    </row>
    <row r="82" spans="1:37" ht="25.2">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9.6">
      <c r="A83" s="1969" t="s">
        <v>2070</v>
      </c>
      <c r="B83" s="1261" t="str">
        <f>估价对象房地状况!G15</f>
        <v>估价对象位于XX开发区，园区建设成熟度XX，产业集聚程度XX</v>
      </c>
      <c r="C83" s="1886"/>
      <c r="D83" s="1002">
        <f t="shared" ref="D83:D90" si="22">SUMIF($J$82:$N$82,C83,J83:N83)</f>
        <v>0</v>
      </c>
      <c r="E83" s="702">
        <f>ROUND(SUM(D83:D90),4)</f>
        <v>0</v>
      </c>
      <c r="F83" s="1674"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52.8">
      <c r="A84" s="1969" t="s">
        <v>2053</v>
      </c>
      <c r="B84" s="1261" t="str">
        <f>估价对象房地状况!G16</f>
        <v>估价对象周边道路状况、公共交通通达情况、停车便捷程度，综合评价交通便捷度较好</v>
      </c>
      <c r="C84" s="1886"/>
      <c r="D84" s="1002">
        <f t="shared" si="22"/>
        <v>0</v>
      </c>
      <c r="E84" s="705"/>
      <c r="F84" s="1674"/>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48">
      <c r="A85" s="3070" t="s">
        <v>3270</v>
      </c>
      <c r="B85" s="1261">
        <f>估价对象房地状况!G17</f>
        <v>0</v>
      </c>
      <c r="C85" s="1886"/>
      <c r="D85" s="1002">
        <f t="shared" si="22"/>
        <v>0</v>
      </c>
      <c r="E85" s="705"/>
      <c r="F85" s="1674"/>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3.8">
      <c r="A86" s="1969" t="s">
        <v>2067</v>
      </c>
      <c r="B86" s="1261">
        <f>估价对象房地状况!G22</f>
        <v>0</v>
      </c>
      <c r="C86" s="1886"/>
      <c r="D86" s="1002">
        <f t="shared" si="22"/>
        <v>0</v>
      </c>
      <c r="E86" s="705"/>
      <c r="F86" s="1674"/>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6.4">
      <c r="A87" s="1969" t="s">
        <v>2059</v>
      </c>
      <c r="B87" s="1239" t="str">
        <f>估价对象房地状况!G19</f>
        <v>估价对象所在区域公共配套设施齐备情况</v>
      </c>
      <c r="C87" s="1886"/>
      <c r="D87" s="1002">
        <f t="shared" si="22"/>
        <v>0</v>
      </c>
      <c r="E87" s="705"/>
      <c r="F87" s="1674"/>
      <c r="G87" s="1000"/>
      <c r="H87" s="1003" t="str">
        <f t="shared" si="23"/>
        <v>——</v>
      </c>
      <c r="I87" s="3068">
        <v>0.06</v>
      </c>
      <c r="J87" s="1001">
        <f t="shared" si="24"/>
        <v>0</v>
      </c>
      <c r="K87" s="1001">
        <f t="shared" si="25"/>
        <v>0</v>
      </c>
      <c r="L87" s="1001">
        <v>0</v>
      </c>
      <c r="M87" s="1001">
        <f t="shared" si="26"/>
        <v>0</v>
      </c>
      <c r="N87" s="1001">
        <f t="shared" si="26"/>
        <v>0</v>
      </c>
    </row>
    <row r="88" spans="1:37" ht="26.4">
      <c r="A88" s="1969" t="s">
        <v>2060</v>
      </c>
      <c r="B88" s="1239" t="str">
        <f>估价对象房地状况!G20</f>
        <v>估价对象所在区域基础设施水平</v>
      </c>
      <c r="C88" s="1886"/>
      <c r="D88" s="1002">
        <f t="shared" si="22"/>
        <v>0</v>
      </c>
      <c r="E88" s="705"/>
      <c r="F88" s="1674"/>
      <c r="G88" s="1000"/>
      <c r="H88" s="1003" t="str">
        <f t="shared" si="23"/>
        <v>——</v>
      </c>
      <c r="I88" s="3068">
        <v>0.12</v>
      </c>
      <c r="J88" s="1001">
        <f t="shared" si="24"/>
        <v>0</v>
      </c>
      <c r="K88" s="1001">
        <f t="shared" si="25"/>
        <v>0</v>
      </c>
      <c r="L88" s="1001">
        <v>0</v>
      </c>
      <c r="M88" s="1001">
        <f t="shared" si="26"/>
        <v>0</v>
      </c>
      <c r="N88" s="1001">
        <f t="shared" si="26"/>
        <v>0</v>
      </c>
    </row>
    <row r="89" spans="1:37" ht="36">
      <c r="A89" s="1969" t="s">
        <v>2057</v>
      </c>
      <c r="B89" s="1974" t="s">
        <v>2071</v>
      </c>
      <c r="C89" s="1886"/>
      <c r="D89" s="1002">
        <f t="shared" si="22"/>
        <v>0</v>
      </c>
      <c r="E89" s="705"/>
      <c r="F89" s="1674"/>
      <c r="G89" s="1000"/>
      <c r="H89" s="1003" t="str">
        <f t="shared" si="23"/>
        <v>——</v>
      </c>
      <c r="I89" s="3068">
        <v>0.06</v>
      </c>
      <c r="J89" s="1001">
        <f t="shared" si="24"/>
        <v>0</v>
      </c>
      <c r="K89" s="1001">
        <f t="shared" si="25"/>
        <v>0</v>
      </c>
      <c r="L89" s="1001">
        <v>0</v>
      </c>
      <c r="M89" s="1001">
        <f t="shared" si="26"/>
        <v>0</v>
      </c>
      <c r="N89" s="1001">
        <f t="shared" si="26"/>
        <v>0</v>
      </c>
    </row>
    <row r="90" spans="1:37" ht="40.200000000000003" thickBot="1">
      <c r="A90" s="1976" t="s">
        <v>2072</v>
      </c>
      <c r="B90" s="1981" t="str">
        <f>估价对象房地状况!G18</f>
        <v>该园区内是否有污染型企业，绿化情况，卫生条件，整体环境状况判断</v>
      </c>
      <c r="C90" s="1886"/>
      <c r="D90" s="1002">
        <f t="shared" si="22"/>
        <v>0</v>
      </c>
      <c r="E90" s="706"/>
      <c r="F90" s="1674"/>
      <c r="G90" s="1000"/>
      <c r="H90" s="1003" t="str">
        <f t="shared" si="23"/>
        <v>——</v>
      </c>
      <c r="I90" s="3069">
        <v>0.05</v>
      </c>
      <c r="J90" s="1001">
        <f t="shared" si="24"/>
        <v>0</v>
      </c>
      <c r="K90" s="1001">
        <f t="shared" si="25"/>
        <v>0</v>
      </c>
      <c r="L90" s="1001">
        <v>0</v>
      </c>
      <c r="M90" s="1001">
        <f t="shared" si="26"/>
        <v>0</v>
      </c>
      <c r="N90" s="1001">
        <f t="shared" si="26"/>
        <v>0</v>
      </c>
    </row>
    <row r="91" spans="1:37" ht="13.8">
      <c r="A91" s="3078" t="s">
        <v>2612</v>
      </c>
      <c r="B91" s="3079">
        <f>1+E93</f>
        <v>1</v>
      </c>
      <c r="C91" s="3072"/>
      <c r="D91" s="3073"/>
      <c r="E91" s="1674"/>
      <c r="F91" s="1674"/>
      <c r="G91" s="3074"/>
      <c r="H91" s="3075"/>
      <c r="I91" s="3076"/>
      <c r="J91" s="3077"/>
      <c r="K91" s="3077"/>
      <c r="L91" s="3077"/>
      <c r="M91" s="3077"/>
      <c r="N91" s="3077"/>
    </row>
    <row r="92" spans="1:37" ht="25.2">
      <c r="A92" s="3080" t="s">
        <v>3271</v>
      </c>
      <c r="B92" s="2309"/>
      <c r="C92" s="2309" t="s">
        <v>3280</v>
      </c>
      <c r="D92" s="2309" t="s">
        <v>3281</v>
      </c>
      <c r="E92" s="3052" t="s">
        <v>3282</v>
      </c>
      <c r="F92" s="3082" t="s">
        <v>3283</v>
      </c>
      <c r="G92" s="2309" t="s">
        <v>3284</v>
      </c>
      <c r="H92" s="3089" t="s">
        <v>3287</v>
      </c>
      <c r="I92" s="2309" t="s">
        <v>3288</v>
      </c>
      <c r="J92" s="2149" t="s">
        <v>3289</v>
      </c>
      <c r="K92" s="2149" t="s">
        <v>3290</v>
      </c>
      <c r="L92" s="2149" t="s">
        <v>3291</v>
      </c>
      <c r="M92" s="2149" t="s">
        <v>3292</v>
      </c>
      <c r="N92" s="2149" t="s">
        <v>3293</v>
      </c>
    </row>
    <row r="93" spans="1:37" ht="24">
      <c r="A93" s="3070" t="s">
        <v>3272</v>
      </c>
      <c r="B93" s="1220"/>
      <c r="C93" s="1886"/>
      <c r="D93" s="2309">
        <f>SUMIF($J$92:$N$92,C93,J93:N93)</f>
        <v>0</v>
      </c>
      <c r="E93" s="3083">
        <f>ROUND(SUM(D93:D101),4)</f>
        <v>0</v>
      </c>
      <c r="F93" s="1674"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52.8">
      <c r="A94" s="3080" t="s">
        <v>3273</v>
      </c>
      <c r="B94" s="3071" t="str">
        <f>估价对象房地状况!C18</f>
        <v>估价对象周边道路状况、公共交通通达情况、停车便捷程度，综合评价交通便捷度较好</v>
      </c>
      <c r="C94" s="1886"/>
      <c r="D94" s="2309">
        <f t="shared" ref="D94:D101" si="30">SUMIF($J$60:$N$60,C94,J94:N94)</f>
        <v>0</v>
      </c>
      <c r="E94" s="3084"/>
      <c r="F94" s="1674"/>
      <c r="G94" s="3074"/>
      <c r="H94" s="3119" t="str">
        <f>IFERROR(ROUNDDOWN($F$93*I94/2,4),"——")</f>
        <v>——</v>
      </c>
      <c r="I94" s="3068">
        <v>0.26</v>
      </c>
      <c r="J94" s="1911">
        <f t="shared" si="27"/>
        <v>0</v>
      </c>
      <c r="K94" s="1911">
        <f t="shared" si="28"/>
        <v>0</v>
      </c>
      <c r="L94" s="1911">
        <v>0</v>
      </c>
      <c r="M94" s="1911">
        <f t="shared" si="29"/>
        <v>0</v>
      </c>
      <c r="N94" s="1911">
        <f t="shared" si="29"/>
        <v>0</v>
      </c>
    </row>
    <row r="95" spans="1:37" ht="48">
      <c r="A95" s="3070" t="s">
        <v>3269</v>
      </c>
      <c r="B95" s="3071">
        <f>估价对象房地状况!C19</f>
        <v>0</v>
      </c>
      <c r="C95" s="1886"/>
      <c r="D95" s="2309">
        <f t="shared" si="30"/>
        <v>0</v>
      </c>
      <c r="E95" s="3084"/>
      <c r="F95" s="1674"/>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7.200000000000003">
      <c r="A96" s="3080" t="s">
        <v>3274</v>
      </c>
      <c r="B96" s="3086" t="s">
        <v>3285</v>
      </c>
      <c r="C96" s="1886"/>
      <c r="D96" s="2309">
        <f t="shared" si="30"/>
        <v>0</v>
      </c>
      <c r="E96" s="3084"/>
      <c r="F96" s="1674"/>
      <c r="G96" s="3074"/>
      <c r="H96" s="3119" t="str">
        <f t="shared" si="31"/>
        <v>——</v>
      </c>
      <c r="I96" s="3068">
        <v>0.05</v>
      </c>
      <c r="J96" s="1911">
        <f t="shared" si="27"/>
        <v>0</v>
      </c>
      <c r="K96" s="1911">
        <f t="shared" si="28"/>
        <v>0</v>
      </c>
      <c r="L96" s="1911">
        <v>0</v>
      </c>
      <c r="M96" s="1911">
        <f t="shared" si="29"/>
        <v>0</v>
      </c>
      <c r="N96" s="1911">
        <f t="shared" si="29"/>
        <v>0</v>
      </c>
    </row>
    <row r="97" spans="1:14" ht="24">
      <c r="A97" s="3080" t="s">
        <v>3275</v>
      </c>
      <c r="B97" s="3071">
        <f>估价对象房地状况!C24</f>
        <v>0</v>
      </c>
      <c r="C97" s="1886"/>
      <c r="D97" s="2309">
        <f t="shared" si="30"/>
        <v>0</v>
      </c>
      <c r="E97" s="3084"/>
      <c r="F97" s="1674"/>
      <c r="G97" s="3074"/>
      <c r="H97" s="3119" t="str">
        <f t="shared" si="31"/>
        <v>——</v>
      </c>
      <c r="I97" s="3068">
        <v>0.05</v>
      </c>
      <c r="J97" s="1911">
        <f t="shared" si="27"/>
        <v>0</v>
      </c>
      <c r="K97" s="1911">
        <f t="shared" si="28"/>
        <v>0</v>
      </c>
      <c r="L97" s="1911">
        <v>0</v>
      </c>
      <c r="M97" s="1911">
        <f t="shared" si="29"/>
        <v>0</v>
      </c>
      <c r="N97" s="1911">
        <f t="shared" si="29"/>
        <v>0</v>
      </c>
    </row>
    <row r="98" spans="1:14" ht="36">
      <c r="A98" s="3080" t="s">
        <v>3276</v>
      </c>
      <c r="B98" s="3087" t="s">
        <v>3286</v>
      </c>
      <c r="C98" s="1886"/>
      <c r="D98" s="2309">
        <f t="shared" si="30"/>
        <v>0</v>
      </c>
      <c r="E98" s="3084"/>
      <c r="F98" s="1674"/>
      <c r="G98" s="3074"/>
      <c r="H98" s="3119" t="str">
        <f t="shared" si="31"/>
        <v>——</v>
      </c>
      <c r="I98" s="3068">
        <v>0.06</v>
      </c>
      <c r="J98" s="1911">
        <f t="shared" si="27"/>
        <v>0</v>
      </c>
      <c r="K98" s="1911">
        <f t="shared" si="28"/>
        <v>0</v>
      </c>
      <c r="L98" s="1911">
        <v>0</v>
      </c>
      <c r="M98" s="1911">
        <f t="shared" si="29"/>
        <v>0</v>
      </c>
      <c r="N98" s="1911">
        <f t="shared" si="29"/>
        <v>0</v>
      </c>
    </row>
    <row r="99" spans="1:14" ht="26.4">
      <c r="A99" s="3080" t="s">
        <v>3277</v>
      </c>
      <c r="B99" s="3071" t="str">
        <f>估价对象房地状况!C21</f>
        <v>估价对象所在区域公共配套设施齐备情况</v>
      </c>
      <c r="C99" s="1886"/>
      <c r="D99" s="2309">
        <f t="shared" si="30"/>
        <v>0</v>
      </c>
      <c r="E99" s="3084"/>
      <c r="F99" s="1674"/>
      <c r="G99" s="3074"/>
      <c r="H99" s="3119" t="str">
        <f t="shared" si="31"/>
        <v>——</v>
      </c>
      <c r="I99" s="3068">
        <v>0.06</v>
      </c>
      <c r="J99" s="1911">
        <f t="shared" si="27"/>
        <v>0</v>
      </c>
      <c r="K99" s="1911">
        <f t="shared" si="28"/>
        <v>0</v>
      </c>
      <c r="L99" s="1911">
        <v>0</v>
      </c>
      <c r="M99" s="1911">
        <f t="shared" si="29"/>
        <v>0</v>
      </c>
      <c r="N99" s="1911">
        <f t="shared" si="29"/>
        <v>0</v>
      </c>
    </row>
    <row r="100" spans="1:14" ht="26.4">
      <c r="A100" s="3080" t="s">
        <v>3278</v>
      </c>
      <c r="B100" s="3071" t="str">
        <f>估价对象房地状况!C22</f>
        <v>估价对象所在区域基础设施水平</v>
      </c>
      <c r="C100" s="1886"/>
      <c r="D100" s="2309">
        <f t="shared" si="30"/>
        <v>0</v>
      </c>
      <c r="E100" s="3084"/>
      <c r="F100" s="1674"/>
      <c r="G100" s="3074"/>
      <c r="H100" s="3119" t="str">
        <f t="shared" si="31"/>
        <v>——</v>
      </c>
      <c r="I100" s="3068">
        <v>0.09</v>
      </c>
      <c r="J100" s="1911">
        <f t="shared" si="27"/>
        <v>0</v>
      </c>
      <c r="K100" s="1911">
        <f t="shared" si="28"/>
        <v>0</v>
      </c>
      <c r="L100" s="1911">
        <v>0</v>
      </c>
      <c r="M100" s="1911">
        <f t="shared" si="29"/>
        <v>0</v>
      </c>
      <c r="N100" s="1911">
        <f t="shared" si="29"/>
        <v>0</v>
      </c>
    </row>
    <row r="101" spans="1:14" ht="40.200000000000003" thickBot="1">
      <c r="A101" s="3081" t="s">
        <v>3279</v>
      </c>
      <c r="B101" s="3088" t="str">
        <f>估价对象房地状况!C20</f>
        <v>区域自然环境：；人文环境；综合评价环境状况一般</v>
      </c>
      <c r="C101" s="1886"/>
      <c r="D101" s="2309">
        <f t="shared" si="30"/>
        <v>0</v>
      </c>
      <c r="E101" s="3085"/>
      <c r="F101" s="1674"/>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92" t="s">
        <v>3294</v>
      </c>
      <c r="B103" s="3492"/>
      <c r="C103" s="3492"/>
      <c r="D103" s="3492"/>
      <c r="E103" s="3492"/>
      <c r="F103" s="3492"/>
      <c r="G103" s="3492"/>
      <c r="H103" s="3492"/>
      <c r="I103" s="3492"/>
      <c r="J103" s="3492"/>
      <c r="K103" s="1666"/>
      <c r="L103" s="1666"/>
      <c r="M103" s="1666"/>
      <c r="N103" s="1666"/>
    </row>
    <row r="104" spans="1:14">
      <c r="A104" s="3493" t="s">
        <v>3295</v>
      </c>
      <c r="B104" s="3493" t="s">
        <v>3296</v>
      </c>
      <c r="C104" s="3090" t="s">
        <v>3297</v>
      </c>
      <c r="D104" s="3091"/>
      <c r="E104" s="3091"/>
      <c r="F104" s="3091"/>
      <c r="G104" s="3091"/>
      <c r="H104" s="3091"/>
      <c r="I104" s="3091"/>
      <c r="J104" s="3092"/>
      <c r="K104" s="3093"/>
      <c r="L104" s="3093"/>
      <c r="M104" s="3093"/>
      <c r="N104" s="3093"/>
    </row>
    <row r="105" spans="1:14">
      <c r="A105" s="3493"/>
      <c r="B105" s="3493"/>
      <c r="C105" s="3094" t="s">
        <v>3298</v>
      </c>
      <c r="D105" s="3094" t="s">
        <v>3299</v>
      </c>
      <c r="E105" s="3094" t="s">
        <v>3300</v>
      </c>
      <c r="F105" s="3094" t="s">
        <v>3301</v>
      </c>
      <c r="G105" s="3094" t="s">
        <v>3302</v>
      </c>
      <c r="H105" s="3094" t="s">
        <v>3303</v>
      </c>
      <c r="I105" s="3094" t="s">
        <v>3304</v>
      </c>
      <c r="J105" s="3094" t="s">
        <v>3305</v>
      </c>
      <c r="K105" s="3094" t="s">
        <v>3306</v>
      </c>
      <c r="L105" s="3094" t="s">
        <v>3307</v>
      </c>
      <c r="M105" s="3094" t="s">
        <v>3308</v>
      </c>
      <c r="N105" s="3094" t="s">
        <v>3309</v>
      </c>
    </row>
    <row r="106" spans="1:14">
      <c r="A106" s="3479" t="s">
        <v>3310</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80"/>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80"/>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80"/>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80"/>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80"/>
      <c r="B111" s="3094" t="s">
        <v>3268</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81"/>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82" t="s">
        <v>3311</v>
      </c>
      <c r="B113" s="3482"/>
      <c r="C113" s="3482"/>
      <c r="D113" s="3482"/>
      <c r="E113" s="3482"/>
      <c r="F113" s="3482"/>
      <c r="G113" s="3482"/>
      <c r="H113" s="3482"/>
      <c r="I113" s="3482"/>
      <c r="J113" s="3482"/>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8" thickBot="1">
      <c r="A115" s="3097"/>
      <c r="B115" s="3097"/>
      <c r="C115" s="3097"/>
      <c r="D115" s="3097"/>
      <c r="E115" s="3097"/>
      <c r="F115" s="3097"/>
      <c r="G115" s="3097"/>
      <c r="H115" s="3097"/>
      <c r="I115" s="3097"/>
      <c r="J115" s="3097"/>
      <c r="K115" s="1963"/>
      <c r="L115" s="3097"/>
      <c r="M115" s="3097"/>
      <c r="N115" s="3097"/>
    </row>
    <row r="116" spans="1:14" ht="25.8" thickBot="1">
      <c r="A116" s="3098" t="s">
        <v>3312</v>
      </c>
      <c r="B116" s="3114">
        <f>G3</f>
        <v>2.48</v>
      </c>
      <c r="C116" s="3099" t="s">
        <v>3313</v>
      </c>
      <c r="D116" s="3100">
        <f>SUMPRODUCT((A118:A122=F116)*(B117:M117=H116)*B118:M122)</f>
        <v>0.90629999999999999</v>
      </c>
      <c r="E116" s="162" t="s">
        <v>3314</v>
      </c>
      <c r="F116" s="3101" t="str">
        <f>E2</f>
        <v>办公</v>
      </c>
      <c r="G116" s="162" t="s">
        <v>3315</v>
      </c>
      <c r="H116" s="3101" t="str">
        <f>G2</f>
        <v>三级</v>
      </c>
      <c r="I116" s="162"/>
      <c r="J116" s="3102"/>
      <c r="K116" s="3102"/>
      <c r="L116" s="3102"/>
      <c r="M116" s="3102"/>
      <c r="N116" s="3097"/>
    </row>
    <row r="117" spans="1:14">
      <c r="A117" s="3103"/>
      <c r="B117" s="3104" t="s">
        <v>3316</v>
      </c>
      <c r="C117" s="3104" t="s">
        <v>3317</v>
      </c>
      <c r="D117" s="3104" t="s">
        <v>3318</v>
      </c>
      <c r="E117" s="3105" t="s">
        <v>3319</v>
      </c>
      <c r="F117" s="3105" t="s">
        <v>3320</v>
      </c>
      <c r="G117" s="3105" t="s">
        <v>3321</v>
      </c>
      <c r="H117" s="3106" t="s">
        <v>3322</v>
      </c>
      <c r="I117" s="3106" t="s">
        <v>3323</v>
      </c>
      <c r="J117" s="3107" t="s">
        <v>3324</v>
      </c>
      <c r="K117" s="3107" t="s">
        <v>3325</v>
      </c>
      <c r="L117" s="3107" t="s">
        <v>3326</v>
      </c>
      <c r="M117" s="3108" t="s">
        <v>3327</v>
      </c>
      <c r="N117" s="3097"/>
    </row>
    <row r="118" spans="1:14">
      <c r="A118" s="3057" t="s">
        <v>3328</v>
      </c>
      <c r="B118" s="3089">
        <f>ROUND(0.9968-0.011*B116,4)</f>
        <v>0.96950000000000003</v>
      </c>
      <c r="C118" s="3089">
        <f>B118</f>
        <v>0.96950000000000003</v>
      </c>
      <c r="D118" s="3089">
        <f>ROUND(0.949-0.014*B116,4)</f>
        <v>0.9143</v>
      </c>
      <c r="E118" s="3089">
        <f>D118</f>
        <v>0.9143</v>
      </c>
      <c r="F118" s="3089">
        <f>E118</f>
        <v>0.9143</v>
      </c>
      <c r="G118" s="3089">
        <f>F118</f>
        <v>0.9143</v>
      </c>
      <c r="H118" s="3089">
        <f>G118</f>
        <v>0.9143</v>
      </c>
      <c r="I118" s="3089">
        <f>ROUND(0.8486-0.018*B116,4)</f>
        <v>0.80400000000000005</v>
      </c>
      <c r="J118" s="3089">
        <f t="shared" ref="J118:M122" si="35">I118</f>
        <v>0.80400000000000005</v>
      </c>
      <c r="K118" s="3089">
        <f t="shared" si="35"/>
        <v>0.80400000000000005</v>
      </c>
      <c r="L118" s="3089">
        <f t="shared" si="35"/>
        <v>0.80400000000000005</v>
      </c>
      <c r="M118" s="3109">
        <f t="shared" si="35"/>
        <v>0.80400000000000005</v>
      </c>
      <c r="N118" s="3097"/>
    </row>
    <row r="119" spans="1:14">
      <c r="A119" s="3057" t="s">
        <v>3329</v>
      </c>
      <c r="B119" s="3089">
        <f>ROUND(0.993-0.0112*B116,4)</f>
        <v>0.96519999999999995</v>
      </c>
      <c r="C119" s="3089">
        <f>B119</f>
        <v>0.96519999999999995</v>
      </c>
      <c r="D119" s="3089">
        <f>ROUND(0.9415-0.0142*B116,4)</f>
        <v>0.90629999999999999</v>
      </c>
      <c r="E119" s="3089">
        <f t="shared" ref="E119:H120" si="36">D119</f>
        <v>0.90629999999999999</v>
      </c>
      <c r="F119" s="3089">
        <f t="shared" si="36"/>
        <v>0.90629999999999999</v>
      </c>
      <c r="G119" s="3089">
        <f t="shared" si="36"/>
        <v>0.90629999999999999</v>
      </c>
      <c r="H119" s="3089">
        <f t="shared" si="36"/>
        <v>0.90629999999999999</v>
      </c>
      <c r="I119" s="3089">
        <f>ROUND(0.838-0.0182*B116,4)</f>
        <v>0.79290000000000005</v>
      </c>
      <c r="J119" s="3089">
        <f t="shared" si="35"/>
        <v>0.79290000000000005</v>
      </c>
      <c r="K119" s="3089">
        <f t="shared" si="35"/>
        <v>0.79290000000000005</v>
      </c>
      <c r="L119" s="3089">
        <f t="shared" si="35"/>
        <v>0.79290000000000005</v>
      </c>
      <c r="M119" s="3109">
        <f t="shared" si="35"/>
        <v>0.79290000000000005</v>
      </c>
      <c r="N119" s="3097"/>
    </row>
    <row r="120" spans="1:14">
      <c r="A120" s="3057" t="s">
        <v>3330</v>
      </c>
      <c r="B120" s="3089">
        <f>ROUND(0.9448-0.0115*B116,4)</f>
        <v>0.9163</v>
      </c>
      <c r="C120" s="3089">
        <f>B120</f>
        <v>0.9163</v>
      </c>
      <c r="D120" s="3089">
        <f>ROUND(0.937-0.0145*B116,4)</f>
        <v>0.90100000000000002</v>
      </c>
      <c r="E120" s="3089">
        <f t="shared" si="36"/>
        <v>0.90100000000000002</v>
      </c>
      <c r="F120" s="3089">
        <f t="shared" si="36"/>
        <v>0.90100000000000002</v>
      </c>
      <c r="G120" s="3089">
        <f t="shared" si="36"/>
        <v>0.90100000000000002</v>
      </c>
      <c r="H120" s="3089">
        <f t="shared" si="36"/>
        <v>0.90100000000000002</v>
      </c>
      <c r="I120" s="3089">
        <f>ROUND(0.7965-0.0185*B116,4)</f>
        <v>0.75060000000000004</v>
      </c>
      <c r="J120" s="3089">
        <f t="shared" si="35"/>
        <v>0.75060000000000004</v>
      </c>
      <c r="K120" s="3089">
        <f t="shared" si="35"/>
        <v>0.75060000000000004</v>
      </c>
      <c r="L120" s="3089">
        <f t="shared" si="35"/>
        <v>0.75060000000000004</v>
      </c>
      <c r="M120" s="3109">
        <f t="shared" si="35"/>
        <v>0.75060000000000004</v>
      </c>
      <c r="N120" s="3097"/>
    </row>
    <row r="121" spans="1:14" ht="13.8" thickBot="1">
      <c r="A121" s="3110" t="s">
        <v>3331</v>
      </c>
      <c r="B121" s="3111">
        <f>ROUND(0.7836-0.012*B116,4)</f>
        <v>0.75380000000000003</v>
      </c>
      <c r="C121" s="3111">
        <f>B121</f>
        <v>0.75380000000000003</v>
      </c>
      <c r="D121" s="3111">
        <f>ROUND(0.753-0.015*B116,4)</f>
        <v>0.71579999999999999</v>
      </c>
      <c r="E121" s="3111">
        <f>D121</f>
        <v>0.71579999999999999</v>
      </c>
      <c r="F121" s="3111">
        <f>E121</f>
        <v>0.71579999999999999</v>
      </c>
      <c r="G121" s="3111">
        <f>ROUND(0.6612-0.018*B116,4)</f>
        <v>0.61660000000000004</v>
      </c>
      <c r="H121" s="3111">
        <f>G121</f>
        <v>0.61660000000000004</v>
      </c>
      <c r="I121" s="3111">
        <f>ROUND(0.5905-0.019*B116,4)</f>
        <v>0.54339999999999999</v>
      </c>
      <c r="J121" s="3111">
        <f t="shared" si="35"/>
        <v>0.54339999999999999</v>
      </c>
      <c r="K121" s="3111">
        <f t="shared" si="35"/>
        <v>0.54339999999999999</v>
      </c>
      <c r="L121" s="3111">
        <f t="shared" si="35"/>
        <v>0.54339999999999999</v>
      </c>
      <c r="M121" s="3112">
        <f t="shared" si="35"/>
        <v>0.54339999999999999</v>
      </c>
      <c r="N121" s="3097"/>
    </row>
    <row r="122" spans="1:14">
      <c r="A122" s="3113" t="s">
        <v>2612</v>
      </c>
      <c r="B122" s="3089">
        <f>ROUND(0.9404-0.0106*B116,4)</f>
        <v>0.91410000000000002</v>
      </c>
      <c r="C122" s="3089">
        <f>B122</f>
        <v>0.91410000000000002</v>
      </c>
      <c r="D122" s="3089">
        <f>ROUND(0.8955-0.0135*B116,4)</f>
        <v>0.86199999999999999</v>
      </c>
      <c r="E122" s="3089">
        <f t="shared" ref="E122:H122" si="37">D122</f>
        <v>0.86199999999999999</v>
      </c>
      <c r="F122" s="3089">
        <f t="shared" si="37"/>
        <v>0.86199999999999999</v>
      </c>
      <c r="G122" s="3089">
        <f t="shared" si="37"/>
        <v>0.86199999999999999</v>
      </c>
      <c r="H122" s="3089">
        <f t="shared" si="37"/>
        <v>0.86199999999999999</v>
      </c>
      <c r="I122" s="3089">
        <f>ROUND(0.7632-0.0166*B116,4)</f>
        <v>0.72199999999999998</v>
      </c>
      <c r="J122" s="3089">
        <f t="shared" si="35"/>
        <v>0.72199999999999998</v>
      </c>
      <c r="K122" s="3089">
        <f t="shared" si="35"/>
        <v>0.72199999999999998</v>
      </c>
      <c r="L122" s="3089">
        <f t="shared" si="35"/>
        <v>0.72199999999999998</v>
      </c>
      <c r="M122" s="3109">
        <f t="shared" si="35"/>
        <v>0.72199999999999998</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B00-000000000000}">
      <formula1>"500米范围内,500-1000米,1000米以外"</formula1>
    </dataValidation>
    <dataValidation type="list" allowBlank="1" showInputMessage="1" showErrorMessage="1" sqref="C15:D15" xr:uid="{00000000-0002-0000-2B00-000001000000}">
      <formula1>"有,无"</formula1>
    </dataValidation>
    <dataValidation type="list" allowBlank="1" showInputMessage="1" showErrorMessage="1" sqref="B25" xr:uid="{00000000-0002-0000-2B00-000002000000}">
      <formula1>"容积率修正,楼层修正"</formula1>
    </dataValidation>
    <dataValidation type="list" allowBlank="1" showInputMessage="1" showErrorMessage="1" sqref="F21" xr:uid="{00000000-0002-0000-2B00-000003000000}">
      <formula1>"与级别开发程度一致,与级别开发程度不一致"</formula1>
    </dataValidation>
    <dataValidation type="list" allowBlank="1" showInputMessage="1" showErrorMessage="1" sqref="E2" xr:uid="{00000000-0002-0000-2B00-000004000000}">
      <formula1>"商业,办公,住宅,工业,公共服务"</formula1>
    </dataValidation>
    <dataValidation type="list" allowBlank="1" showInputMessage="1" showErrorMessage="1" sqref="F3" xr:uid="{00000000-0002-0000-2B00-000005000000}">
      <formula1>"宗地容积率,估价对象容积率,自定义容积率"</formula1>
    </dataValidation>
    <dataValidation type="list" allowBlank="1" showInputMessage="1" showErrorMessage="1" sqref="C8" xr:uid="{00000000-0002-0000-2B00-000006000000}">
      <formula1>商业街名称</formula1>
    </dataValidation>
    <dataValidation type="list" allowBlank="1" showInputMessage="1" showErrorMessage="1" sqref="E3" xr:uid="{00000000-0002-0000-2B00-000007000000}">
      <formula1>二级分类</formula1>
    </dataValidation>
    <dataValidation type="list" allowBlank="1" showInputMessage="1" showErrorMessage="1" sqref="C61:C69 C72:C80 C50:C58 C83:C91 C93:C101" xr:uid="{00000000-0002-0000-2B00-000008000000}">
      <formula1>五等判定</formula1>
    </dataValidation>
    <dataValidation type="list" allowBlank="1" showInputMessage="1" showErrorMessage="1" sqref="H23" xr:uid="{00000000-0002-0000-2B00-000009000000}">
      <formula1>"地价指数,季度增幅（自定义）,按公示增长率计算"</formula1>
    </dataValidation>
    <dataValidation type="list" allowBlank="1" showInputMessage="1" showErrorMessage="1" sqref="H20:O20" xr:uid="{00000000-0002-0000-2B00-00000A000000}">
      <formula1>七通一平</formula1>
    </dataValidation>
    <dataValidation type="list" allowBlank="1" showInputMessage="1" showErrorMessage="1" sqref="J23" xr:uid="{00000000-0002-0000-2B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2937">
        <f>基准地价修正!G23</f>
        <v>45526</v>
      </c>
      <c r="B1" s="2929" t="s">
        <v>3371</v>
      </c>
      <c r="C1" s="2930"/>
      <c r="D1" s="2930"/>
      <c r="E1" s="2930"/>
      <c r="F1" s="2930"/>
      <c r="G1" s="2930"/>
      <c r="H1" s="2930"/>
      <c r="I1" s="2930"/>
      <c r="J1" s="2896"/>
      <c r="K1" s="2930" t="s">
        <v>454</v>
      </c>
      <c r="L1" s="2930"/>
      <c r="M1" s="2930"/>
      <c r="N1" s="2930"/>
      <c r="O1" s="2930"/>
      <c r="P1" s="2930"/>
      <c r="Q1" s="2896"/>
      <c r="R1" s="3498" t="s">
        <v>456</v>
      </c>
      <c r="S1" s="3499"/>
      <c r="T1" s="3499"/>
      <c r="U1" s="3499"/>
      <c r="V1" s="3499"/>
      <c r="W1" s="3499"/>
      <c r="X1" s="2896"/>
      <c r="Y1" s="3498" t="s">
        <v>457</v>
      </c>
      <c r="Z1" s="3499"/>
      <c r="AA1" s="3499"/>
      <c r="AB1" s="3499"/>
      <c r="AC1" s="3499"/>
      <c r="AD1" s="3499"/>
    </row>
    <row r="2" spans="1:30" s="2009" customFormat="1" ht="15" thickBot="1">
      <c r="B2" s="2881"/>
      <c r="C2" s="2882"/>
      <c r="D2" s="2010" t="s">
        <v>2810</v>
      </c>
      <c r="E2" s="2011" t="s">
        <v>2811</v>
      </c>
      <c r="F2" s="2011" t="s">
        <v>2812</v>
      </c>
      <c r="G2" s="2011" t="s">
        <v>2813</v>
      </c>
      <c r="H2" s="2011" t="s">
        <v>2814</v>
      </c>
      <c r="I2" s="2011" t="s">
        <v>2631</v>
      </c>
      <c r="J2" s="2883"/>
      <c r="K2" s="2010" t="s">
        <v>2810</v>
      </c>
      <c r="L2" s="2011" t="s">
        <v>2811</v>
      </c>
      <c r="M2" s="2011" t="s">
        <v>2812</v>
      </c>
      <c r="N2" s="2011" t="s">
        <v>2813</v>
      </c>
      <c r="O2" s="2011" t="s">
        <v>2815</v>
      </c>
      <c r="P2" s="2011" t="s">
        <v>2631</v>
      </c>
      <c r="Q2" s="2883"/>
      <c r="R2" s="2010" t="s">
        <v>2810</v>
      </c>
      <c r="S2" s="2011" t="s">
        <v>2811</v>
      </c>
      <c r="T2" s="2011" t="s">
        <v>2812</v>
      </c>
      <c r="U2" s="2011" t="s">
        <v>2816</v>
      </c>
      <c r="V2" s="2011" t="s">
        <v>2817</v>
      </c>
      <c r="W2" s="2011" t="s">
        <v>2631</v>
      </c>
      <c r="X2" s="2883"/>
      <c r="Y2" s="2010" t="s">
        <v>2810</v>
      </c>
      <c r="Z2" s="2011" t="s">
        <v>2811</v>
      </c>
      <c r="AA2" s="2011" t="s">
        <v>2812</v>
      </c>
      <c r="AB2" s="2011" t="s">
        <v>2818</v>
      </c>
      <c r="AC2" s="2011" t="s">
        <v>2817</v>
      </c>
      <c r="AD2" s="2011" t="s">
        <v>2631</v>
      </c>
    </row>
    <row r="3" spans="1:30" s="2886" customFormat="1" ht="13.2">
      <c r="A3" s="2884" t="s">
        <v>2819</v>
      </c>
      <c r="B3" s="2885"/>
      <c r="D3" s="2886">
        <f>ROUND(AVERAGEIF(D4:D19,"&lt;&gt;0"),2)</f>
        <v>0.59</v>
      </c>
      <c r="E3" s="2886">
        <f t="shared" ref="E3:H3" si="0">ROUND(AVERAGEIF(E4:E19,"&lt;&gt;0"),2)</f>
        <v>0.36</v>
      </c>
      <c r="F3" s="2886">
        <f t="shared" si="0"/>
        <v>0.06</v>
      </c>
      <c r="G3" s="2886">
        <f t="shared" si="0"/>
        <v>0.6</v>
      </c>
      <c r="H3" s="2886">
        <f t="shared" si="0"/>
        <v>0.6</v>
      </c>
      <c r="I3" s="2886">
        <f>F3</f>
        <v>0.06</v>
      </c>
      <c r="J3" s="2887"/>
      <c r="K3" s="2888">
        <f>ROUND(AVERAGEIF(K4:K19,"&lt;&gt;0"),4)</f>
        <v>5.8999999999999999E-3</v>
      </c>
      <c r="L3" s="2889">
        <f t="shared" ref="L3:O3" si="1">ROUND(AVERAGEIF(L4:L19,"&lt;&gt;0"),4)</f>
        <v>3.5999999999999999E-3</v>
      </c>
      <c r="M3" s="2889">
        <f t="shared" si="1"/>
        <v>5.9999999999999995E-4</v>
      </c>
      <c r="N3" s="2889">
        <f t="shared" si="1"/>
        <v>6.0000000000000001E-3</v>
      </c>
      <c r="O3" s="2889">
        <f t="shared" si="1"/>
        <v>6.0000000000000001E-3</v>
      </c>
      <c r="P3" s="2889">
        <f>M3</f>
        <v>5.9999999999999995E-4</v>
      </c>
      <c r="Q3" s="2887"/>
      <c r="R3" s="2890">
        <f>ROUND(SUMPRODUCT(PRODUCT(1+K4:K19)),4)</f>
        <v>1.0852999999999999</v>
      </c>
      <c r="S3" s="2891">
        <f t="shared" ref="S3:V3" si="2">ROUND(SUMPRODUCT(PRODUCT(1+L4:L19)),4)</f>
        <v>1.0513999999999999</v>
      </c>
      <c r="T3" s="2891">
        <f t="shared" si="2"/>
        <v>1.0083</v>
      </c>
      <c r="U3" s="2891">
        <f t="shared" si="2"/>
        <v>1.0871999999999999</v>
      </c>
      <c r="V3" s="2891">
        <f t="shared" si="2"/>
        <v>1.0880000000000001</v>
      </c>
      <c r="W3" s="2890">
        <f>T3</f>
        <v>1.0083</v>
      </c>
      <c r="X3" s="2887"/>
      <c r="Y3" s="2892">
        <f>ROUND(AVERAGEIF(Y6:Y19,"&lt;&gt;0"),4)</f>
        <v>8.3999999999999995E-3</v>
      </c>
      <c r="Z3" s="2893">
        <f t="shared" ref="Z3:AC3" si="3">ROUND(AVERAGEIF(Z6:Z19,"&lt;&gt;0"),4)</f>
        <v>3.5000000000000001E-3</v>
      </c>
      <c r="AA3" s="2894">
        <f t="shared" si="3"/>
        <v>8.0000000000000004E-4</v>
      </c>
      <c r="AB3" s="2892">
        <f t="shared" si="3"/>
        <v>9.1000000000000004E-3</v>
      </c>
      <c r="AC3" s="2895">
        <f t="shared" si="3"/>
        <v>6.1000000000000004E-3</v>
      </c>
      <c r="AD3" s="2892">
        <f>AA3</f>
        <v>8.0000000000000004E-4</v>
      </c>
    </row>
    <row r="4" spans="1:30" s="2008" customFormat="1" ht="13.2">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3.2">
      <c r="A5" s="2039" t="s">
        <v>3377</v>
      </c>
      <c r="B5" s="2030">
        <v>2024</v>
      </c>
      <c r="C5" s="2041">
        <v>3</v>
      </c>
      <c r="D5" s="2006">
        <v>0</v>
      </c>
      <c r="E5" s="2006">
        <v>0</v>
      </c>
      <c r="F5" s="2006">
        <v>0</v>
      </c>
      <c r="G5" s="2006">
        <v>0</v>
      </c>
      <c r="H5" s="2006">
        <v>0</v>
      </c>
      <c r="I5" s="2007">
        <f t="shared" ref="I5" si="4">F5</f>
        <v>0</v>
      </c>
      <c r="J5" s="2906"/>
      <c r="K5" s="2042">
        <f t="shared" ref="K5" si="5">D5/100</f>
        <v>0</v>
      </c>
      <c r="L5" s="2027">
        <f t="shared" ref="L5" si="6">E5/100</f>
        <v>0</v>
      </c>
      <c r="M5" s="2027">
        <f t="shared" ref="M5" si="7">F5/100</f>
        <v>0</v>
      </c>
      <c r="N5" s="2027">
        <f t="shared" ref="N5" si="8">G5/100</f>
        <v>0</v>
      </c>
      <c r="O5" s="2027">
        <f t="shared" ref="O5" si="9">H5/100</f>
        <v>0</v>
      </c>
      <c r="P5" s="2027">
        <f>M5</f>
        <v>0</v>
      </c>
      <c r="Q5" s="2906"/>
      <c r="R5" s="2026">
        <f>ROUND(IF(项目基本情况!$B$8="出让",SUMPRODUCT(PRODUCT(1+K5:$K$19)),SUMPRODUCT(PRODUCT(1+K5:$K$18))),4)</f>
        <v>1.0748</v>
      </c>
      <c r="S5" s="2026">
        <f>ROUND(IF(项目基本情况!$B$8="出让",SUMPRODUCT(PRODUCT(1+L5:$L$19)),SUMPRODUCT(PRODUCT(1+L5:$L$18))),4)</f>
        <v>1.0498000000000001</v>
      </c>
      <c r="T5" s="2026">
        <f>ROUND(IF(项目基本情况!$B$8="出让",SUMPRODUCT(PRODUCT(1+M5:$M$19)),SUMPRODUCT(PRODUCT(1+M5:$M$18))),4)</f>
        <v>1.0107999999999999</v>
      </c>
      <c r="U5" s="2026">
        <f>ROUND(IF(项目基本情况!$B$8="出让",SUMPRODUCT(PRODUCT(1+N5:$N$19)),SUMPRODUCT(PRODUCT(1+N5:$N$18))),4)</f>
        <v>1.0752999999999999</v>
      </c>
      <c r="V5" s="2026">
        <f>ROUND(IF(项目基本情况!$B$8="出让",SUMPRODUCT(PRODUCT(1+O5:$O$19)),SUMPRODUCT(PRODUCT(1+O5:$O$18))),4)</f>
        <v>1.0841000000000001</v>
      </c>
      <c r="W5" s="2026">
        <f>T5</f>
        <v>1.0107999999999999</v>
      </c>
      <c r="X5" s="2906"/>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6" customFormat="1" ht="13.2">
      <c r="A6" s="2907" t="s">
        <v>3378</v>
      </c>
      <c r="B6" s="2908">
        <v>2024</v>
      </c>
      <c r="C6" s="2909">
        <v>2</v>
      </c>
      <c r="D6" s="2910">
        <v>-0.59</v>
      </c>
      <c r="E6" s="2910">
        <v>-0.21</v>
      </c>
      <c r="F6" s="2910">
        <v>-1.38</v>
      </c>
      <c r="G6" s="2910">
        <v>-1.24</v>
      </c>
      <c r="H6" s="2911">
        <v>0.34</v>
      </c>
      <c r="I6" s="2912">
        <f t="shared" ref="I6:I19" si="15">F6</f>
        <v>-1.38</v>
      </c>
      <c r="J6" s="2913"/>
      <c r="K6" s="2914">
        <f t="shared" ref="K6:O19" si="16">D6/100</f>
        <v>-5.8999999999999999E-3</v>
      </c>
      <c r="L6" s="2915">
        <f t="shared" si="16"/>
        <v>-2.0999999999999999E-3</v>
      </c>
      <c r="M6" s="2915">
        <f t="shared" si="16"/>
        <v>-1.38E-2</v>
      </c>
      <c r="N6" s="2915">
        <f t="shared" si="16"/>
        <v>-1.24E-2</v>
      </c>
      <c r="O6" s="2915">
        <f t="shared" si="16"/>
        <v>3.4000000000000002E-3</v>
      </c>
      <c r="P6" s="2915">
        <f>M6</f>
        <v>-1.38E-2</v>
      </c>
      <c r="Q6" s="2913"/>
      <c r="R6" s="2913">
        <f>ROUND(IF(项目基本情况!$B$8="出让",SUMPRODUCT(PRODUCT(1+K6:$K$19)),SUMPRODUCT(PRODUCT(1+K6:$K$18))),4)</f>
        <v>1.0748</v>
      </c>
      <c r="S6" s="2913">
        <f>ROUND(IF(项目基本情况!$B$8="出让",SUMPRODUCT(PRODUCT(1+L6:$L$19)),SUMPRODUCT(PRODUCT(1+L6:$L$18))),4)</f>
        <v>1.0498000000000001</v>
      </c>
      <c r="T6" s="2913">
        <f>ROUND(IF(项目基本情况!$B$8="出让",SUMPRODUCT(PRODUCT(1+M6:$M$19)),SUMPRODUCT(PRODUCT(1+M6:$M$18))),4)</f>
        <v>1.0107999999999999</v>
      </c>
      <c r="U6" s="2913">
        <f>ROUND(IF(项目基本情况!$B$8="出让",SUMPRODUCT(PRODUCT(1+N6:$N$19)),SUMPRODUCT(PRODUCT(1+N6:$N$18))),4)</f>
        <v>1.0752999999999999</v>
      </c>
      <c r="V6" s="2913">
        <f>ROUND(IF(项目基本情况!$B$8="出让",SUMPRODUCT(PRODUCT(1+O6:$O$19)),SUMPRODUCT(PRODUCT(1+O6:$O$18))),4)</f>
        <v>1.0841000000000001</v>
      </c>
      <c r="W6" s="2913">
        <f>T6</f>
        <v>1.0107999999999999</v>
      </c>
      <c r="X6" s="2913"/>
      <c r="Y6" s="2915">
        <f>IF(D6=0,0,ROUND(AVERAGE(D6:D19)/100,4))</f>
        <v>5.8999999999999999E-3</v>
      </c>
      <c r="Z6" s="2915">
        <f t="shared" ref="Z6:AC6" si="17">IF(E6=0,0,ROUND(AVERAGE(E6:E19)/100,4))</f>
        <v>3.5999999999999999E-3</v>
      </c>
      <c r="AA6" s="2915">
        <f t="shared" si="17"/>
        <v>5.9999999999999995E-4</v>
      </c>
      <c r="AB6" s="2915">
        <f t="shared" si="17"/>
        <v>6.0000000000000001E-3</v>
      </c>
      <c r="AC6" s="2915">
        <f t="shared" si="17"/>
        <v>6.0000000000000001E-3</v>
      </c>
      <c r="AD6" s="2915">
        <f t="shared" ref="AD6:AD18" si="18">AA6</f>
        <v>5.9999999999999995E-4</v>
      </c>
    </row>
    <row r="7" spans="1:30" s="2044" customFormat="1" ht="13.2">
      <c r="A7" s="2905" t="s">
        <v>3380</v>
      </c>
      <c r="B7" s="2030">
        <v>2024</v>
      </c>
      <c r="C7" s="2041">
        <v>1</v>
      </c>
      <c r="D7" s="2006">
        <v>0.08</v>
      </c>
      <c r="E7" s="2006">
        <v>0.46</v>
      </c>
      <c r="F7" s="2006">
        <v>-0.16</v>
      </c>
      <c r="G7" s="2006">
        <v>0.26</v>
      </c>
      <c r="H7" s="2917">
        <v>0.59</v>
      </c>
      <c r="I7" s="2007">
        <v>0</v>
      </c>
      <c r="J7" s="2906"/>
      <c r="K7" s="2042">
        <f t="shared" ref="K7" si="19">D7/100</f>
        <v>8.0000000000000004E-4</v>
      </c>
      <c r="L7" s="2027">
        <f t="shared" ref="L7" si="20">E7/100</f>
        <v>4.5999999999999999E-3</v>
      </c>
      <c r="M7" s="2027">
        <f t="shared" ref="M7" si="21">F7/100</f>
        <v>-1.6000000000000001E-3</v>
      </c>
      <c r="N7" s="2027">
        <f t="shared" ref="N7" si="22">G7/100</f>
        <v>2.5999999999999999E-3</v>
      </c>
      <c r="O7" s="2027">
        <f t="shared" ref="O7" si="23">H7/100</f>
        <v>5.8999999999999999E-3</v>
      </c>
      <c r="P7" s="2027">
        <f t="shared" ref="P7" si="24">M7</f>
        <v>-1.6000000000000001E-3</v>
      </c>
      <c r="Q7" s="2906"/>
      <c r="R7" s="2026">
        <f>ROUND(IF(项目基本情况!$B$8="出让",SUMPRODUCT(PRODUCT(1+K7:$K$19)),SUMPRODUCT(PRODUCT(1+K7:$K$18))),4)</f>
        <v>1.0811999999999999</v>
      </c>
      <c r="S7" s="2026">
        <f>ROUND(IF(项目基本情况!$B$8="出让",SUMPRODUCT(PRODUCT(1+L7:$L$19)),SUMPRODUCT(PRODUCT(1+L7:$L$18))),4)</f>
        <v>1.052</v>
      </c>
      <c r="T7" s="2026">
        <f>ROUND(IF(项目基本情况!$B$8="出让",SUMPRODUCT(PRODUCT(1+M7:$M$19)),SUMPRODUCT(PRODUCT(1+M7:$M$18))),4)</f>
        <v>1.0249999999999999</v>
      </c>
      <c r="U7" s="2026">
        <f>ROUND(IF(项目基本情况!$B$8="出让",SUMPRODUCT(PRODUCT(1+N7:$N$19)),SUMPRODUCT(PRODUCT(1+N7:$N$18))),4)</f>
        <v>1.0888</v>
      </c>
      <c r="V7" s="2026">
        <f>ROUND(IF(项目基本情况!$B$8="出让",SUMPRODUCT(PRODUCT(1+O7:$O$19)),SUMPRODUCT(PRODUCT(1+O7:$O$18))),4)</f>
        <v>1.0804</v>
      </c>
      <c r="W7" s="2026">
        <f t="shared" ref="W7" si="25">T7</f>
        <v>1.0249999999999999</v>
      </c>
      <c r="X7" s="2906"/>
      <c r="Y7" s="2027"/>
      <c r="Z7" s="2027"/>
      <c r="AA7" s="2027"/>
      <c r="AB7" s="2027"/>
      <c r="AC7" s="2027"/>
      <c r="AD7" s="2027"/>
    </row>
    <row r="8" spans="1:30" s="2044" customFormat="1" ht="13.2">
      <c r="A8" s="2905" t="s">
        <v>3375</v>
      </c>
      <c r="B8" s="2030">
        <v>2023</v>
      </c>
      <c r="C8" s="2041">
        <v>4</v>
      </c>
      <c r="D8" s="2006">
        <v>0.19</v>
      </c>
      <c r="E8" s="2006">
        <v>0.24</v>
      </c>
      <c r="F8" s="2006">
        <v>-0.16</v>
      </c>
      <c r="G8" s="2006">
        <v>0.17</v>
      </c>
      <c r="H8" s="2917">
        <v>0.61</v>
      </c>
      <c r="I8" s="2007">
        <f>F8</f>
        <v>-0.16</v>
      </c>
      <c r="J8" s="2906"/>
      <c r="K8" s="2042">
        <f t="shared" si="16"/>
        <v>1.9E-3</v>
      </c>
      <c r="L8" s="2027">
        <f t="shared" si="16"/>
        <v>2.3999999999999998E-3</v>
      </c>
      <c r="M8" s="2027">
        <f t="shared" si="16"/>
        <v>-1.6000000000000001E-3</v>
      </c>
      <c r="N8" s="2027">
        <f t="shared" si="16"/>
        <v>1.7000000000000001E-3</v>
      </c>
      <c r="O8" s="2027">
        <f t="shared" si="16"/>
        <v>6.0999999999999995E-3</v>
      </c>
      <c r="P8" s="2027">
        <f t="shared" ref="P8" si="26">M8</f>
        <v>-1.6000000000000001E-3</v>
      </c>
      <c r="Q8" s="2906"/>
      <c r="R8" s="2026">
        <f>ROUND(IF(项目基本情况!$B$8="出让",SUMPRODUCT(PRODUCT(1+K8:$K$19)),SUMPRODUCT(PRODUCT(1+K8:$K$18))),4)</f>
        <v>1.0804</v>
      </c>
      <c r="S8" s="2026">
        <f>ROUND(IF(项目基本情况!$B$8="出让",SUMPRODUCT(PRODUCT(1+L8:$L$19)),SUMPRODUCT(PRODUCT(1+L8:$L$18))),4)</f>
        <v>1.0471999999999999</v>
      </c>
      <c r="T8" s="2026">
        <f>ROUND(IF(项目基本情况!$B$8="出让",SUMPRODUCT(PRODUCT(1+M8:$M$19)),SUMPRODUCT(PRODUCT(1+M8:$M$18))),4)</f>
        <v>1.0266</v>
      </c>
      <c r="U8" s="2026">
        <f>ROUND(IF(项目基本情况!$B$8="出让",SUMPRODUCT(PRODUCT(1+N8:$N$19)),SUMPRODUCT(PRODUCT(1+N8:$N$18))),4)</f>
        <v>1.0859000000000001</v>
      </c>
      <c r="V8" s="2026">
        <f>ROUND(IF(项目基本情况!$B$8="出让",SUMPRODUCT(PRODUCT(1+O8:$O$19)),SUMPRODUCT(PRODUCT(1+O8:$O$18))),4)</f>
        <v>1.0741000000000001</v>
      </c>
      <c r="W8" s="2026">
        <f t="shared" ref="W8" si="27">T8</f>
        <v>1.0266</v>
      </c>
      <c r="X8" s="2906"/>
      <c r="Y8" s="2027"/>
      <c r="Z8" s="2027"/>
      <c r="AA8" s="2027"/>
      <c r="AB8" s="2027"/>
      <c r="AC8" s="2027"/>
      <c r="AD8" s="2027"/>
    </row>
    <row r="9" spans="1:30" s="2044" customFormat="1" ht="13.2">
      <c r="A9" s="2905" t="s">
        <v>3374</v>
      </c>
      <c r="B9" s="2030">
        <v>2023</v>
      </c>
      <c r="C9" s="2041">
        <v>3</v>
      </c>
      <c r="D9" s="2006">
        <v>0.25</v>
      </c>
      <c r="E9" s="2006">
        <v>0.5</v>
      </c>
      <c r="F9" s="2006">
        <v>0.31</v>
      </c>
      <c r="G9" s="2006">
        <v>0.21</v>
      </c>
      <c r="H9" s="2917">
        <v>0.43</v>
      </c>
      <c r="I9" s="2007">
        <f t="shared" si="15"/>
        <v>0.31</v>
      </c>
      <c r="J9" s="2906"/>
      <c r="K9" s="2042">
        <f t="shared" ref="K9:K11" si="28">D9/100</f>
        <v>2.5000000000000001E-3</v>
      </c>
      <c r="L9" s="2027">
        <f t="shared" ref="L9:L11" si="29">E9/100</f>
        <v>5.0000000000000001E-3</v>
      </c>
      <c r="M9" s="2027">
        <f t="shared" ref="M9:M11" si="30">F9/100</f>
        <v>3.0999999999999999E-3</v>
      </c>
      <c r="N9" s="2027">
        <f t="shared" ref="N9:N11" si="31">G9/100</f>
        <v>2.0999999999999999E-3</v>
      </c>
      <c r="O9" s="2027">
        <f t="shared" ref="O9:O11" si="32">H9/100</f>
        <v>4.3E-3</v>
      </c>
      <c r="P9" s="2027">
        <f t="shared" ref="P9:P11" si="33">M9</f>
        <v>3.0999999999999999E-3</v>
      </c>
      <c r="Q9" s="2906"/>
      <c r="R9" s="2026">
        <f>ROUND(IF(项目基本情况!$B$8="出让",SUMPRODUCT(PRODUCT(1+K9:$K$19)),SUMPRODUCT(PRODUCT(1+K9:$K$18))),4)</f>
        <v>1.0783</v>
      </c>
      <c r="S9" s="2026">
        <f>ROUND(IF(项目基本情况!$B$8="出让",SUMPRODUCT(PRODUCT(1+L9:$L$19)),SUMPRODUCT(PRODUCT(1+L9:$L$18))),4)</f>
        <v>1.0447</v>
      </c>
      <c r="T9" s="2026">
        <f>ROUND(IF(项目基本情况!$B$8="出让",SUMPRODUCT(PRODUCT(1+M9:$M$19)),SUMPRODUCT(PRODUCT(1+M9:$M$18))),4)</f>
        <v>1.0282</v>
      </c>
      <c r="U9" s="2026">
        <f>ROUND(IF(项目基本情况!$B$8="出让",SUMPRODUCT(PRODUCT(1+N9:$N$19)),SUMPRODUCT(PRODUCT(1+N9:$N$18))),4)</f>
        <v>1.0841000000000001</v>
      </c>
      <c r="V9" s="2026">
        <f>ROUND(IF(项目基本情况!$B$8="出让",SUMPRODUCT(PRODUCT(1+O9:$O$19)),SUMPRODUCT(PRODUCT(1+O9:$O$18))),4)</f>
        <v>1.0674999999999999</v>
      </c>
      <c r="W9" s="2026">
        <f t="shared" ref="W9:W10" si="34">T9</f>
        <v>1.0282</v>
      </c>
      <c r="X9" s="2906"/>
      <c r="Y9" s="2027"/>
      <c r="Z9" s="2027"/>
      <c r="AA9" s="2027"/>
      <c r="AB9" s="2027"/>
      <c r="AC9" s="2027"/>
      <c r="AD9" s="2027"/>
    </row>
    <row r="10" spans="1:30" s="2044" customFormat="1" ht="13.2">
      <c r="A10" s="2905" t="s">
        <v>3370</v>
      </c>
      <c r="B10" s="2030">
        <v>2023</v>
      </c>
      <c r="C10" s="2041">
        <v>2</v>
      </c>
      <c r="D10" s="2006">
        <v>0.91</v>
      </c>
      <c r="E10" s="2006">
        <v>0.66</v>
      </c>
      <c r="F10" s="2006">
        <v>0.47</v>
      </c>
      <c r="G10" s="2006">
        <v>0.96</v>
      </c>
      <c r="H10" s="2917">
        <v>0.71</v>
      </c>
      <c r="I10" s="2007">
        <f t="shared" si="15"/>
        <v>0.47</v>
      </c>
      <c r="J10" s="2906"/>
      <c r="K10" s="2042">
        <f t="shared" si="28"/>
        <v>9.1000000000000004E-3</v>
      </c>
      <c r="L10" s="2027">
        <f t="shared" si="29"/>
        <v>6.6E-3</v>
      </c>
      <c r="M10" s="2027">
        <f t="shared" si="30"/>
        <v>4.6999999999999993E-3</v>
      </c>
      <c r="N10" s="2027">
        <f t="shared" si="31"/>
        <v>9.5999999999999992E-3</v>
      </c>
      <c r="O10" s="2027">
        <f t="shared" si="32"/>
        <v>7.0999999999999995E-3</v>
      </c>
      <c r="P10" s="2027">
        <f t="shared" si="33"/>
        <v>4.6999999999999993E-3</v>
      </c>
      <c r="Q10" s="2906"/>
      <c r="R10" s="2026">
        <f>ROUND(IF(项目基本情况!$B$8="出让",SUMPRODUCT(PRODUCT(1+K10:$K$19)),SUMPRODUCT(PRODUCT(1+K10:$K$18))),4)</f>
        <v>1.0755999999999999</v>
      </c>
      <c r="S10" s="2026">
        <f>ROUND(IF(项目基本情况!$B$8="出让",SUMPRODUCT(PRODUCT(1+L10:$L$19)),SUMPRODUCT(PRODUCT(1+L10:$L$18))),4)</f>
        <v>1.0395000000000001</v>
      </c>
      <c r="T10" s="2026">
        <f>ROUND(IF(项目基本情况!$B$8="出让",SUMPRODUCT(PRODUCT(1+M10:$M$19)),SUMPRODUCT(PRODUCT(1+M10:$M$18))),4)</f>
        <v>1.0250999999999999</v>
      </c>
      <c r="U10" s="2026">
        <f>ROUND(IF(项目基本情况!$B$8="出让",SUMPRODUCT(PRODUCT(1+N10:$N$19)),SUMPRODUCT(PRODUCT(1+N10:$N$18))),4)</f>
        <v>1.0818000000000001</v>
      </c>
      <c r="V10" s="2026">
        <f>ROUND(IF(项目基本情况!$B$8="出让",SUMPRODUCT(PRODUCT(1+O10:$O$19)),SUMPRODUCT(PRODUCT(1+O10:$O$18))),4)</f>
        <v>1.0629999999999999</v>
      </c>
      <c r="W10" s="2026">
        <f t="shared" si="34"/>
        <v>1.0250999999999999</v>
      </c>
      <c r="X10" s="2906"/>
      <c r="Y10" s="2027"/>
      <c r="Z10" s="2027"/>
      <c r="AA10" s="2027"/>
      <c r="AB10" s="2027"/>
      <c r="AC10" s="2027"/>
      <c r="AD10" s="2027"/>
    </row>
    <row r="11" spans="1:30" s="2044" customFormat="1" ht="13.2">
      <c r="A11" s="2905" t="s">
        <v>3369</v>
      </c>
      <c r="B11" s="2030">
        <v>2023</v>
      </c>
      <c r="C11" s="2041">
        <v>1</v>
      </c>
      <c r="D11" s="2006">
        <v>0.89</v>
      </c>
      <c r="E11" s="2006">
        <v>0.74</v>
      </c>
      <c r="F11" s="2006">
        <v>0.56999999999999995</v>
      </c>
      <c r="G11" s="2006">
        <v>0.92</v>
      </c>
      <c r="H11" s="2917">
        <v>0.5</v>
      </c>
      <c r="I11" s="2007">
        <f t="shared" si="15"/>
        <v>0.56999999999999995</v>
      </c>
      <c r="J11" s="2906"/>
      <c r="K11" s="2042">
        <f t="shared" si="28"/>
        <v>8.8999999999999999E-3</v>
      </c>
      <c r="L11" s="2027">
        <f t="shared" si="29"/>
        <v>7.4000000000000003E-3</v>
      </c>
      <c r="M11" s="2027">
        <f t="shared" si="30"/>
        <v>5.6999999999999993E-3</v>
      </c>
      <c r="N11" s="2027">
        <f t="shared" si="31"/>
        <v>9.1999999999999998E-3</v>
      </c>
      <c r="O11" s="2027">
        <f t="shared" si="32"/>
        <v>5.0000000000000001E-3</v>
      </c>
      <c r="P11" s="2027">
        <f t="shared" si="33"/>
        <v>5.6999999999999993E-3</v>
      </c>
      <c r="Q11" s="2906"/>
      <c r="R11" s="2026">
        <f>ROUND(IF(项目基本情况!$B$8="出让",SUMPRODUCT(PRODUCT(1+K11:$K$19)),SUMPRODUCT(PRODUCT(1+K11:$K$18))),4)</f>
        <v>1.0659000000000001</v>
      </c>
      <c r="S11" s="2026">
        <f>ROUND(IF(项目基本情况!$B$8="出让",SUMPRODUCT(PRODUCT(1+L11:$L$19)),SUMPRODUCT(PRODUCT(1+L11:$L$18))),4)</f>
        <v>1.0326</v>
      </c>
      <c r="T11" s="2026">
        <f>ROUND(IF(项目基本情况!$B$8="出让",SUMPRODUCT(PRODUCT(1+M11:$M$19)),SUMPRODUCT(PRODUCT(1+M11:$M$18))),4)</f>
        <v>1.0203</v>
      </c>
      <c r="U11" s="2026">
        <f>ROUND(IF(项目基本情况!$B$8="出让",SUMPRODUCT(PRODUCT(1+N11:$N$19)),SUMPRODUCT(PRODUCT(1+N11:$N$18))),4)</f>
        <v>1.0714999999999999</v>
      </c>
      <c r="V11" s="2026">
        <f>ROUND(IF(项目基本情况!$B$8="出让",SUMPRODUCT(PRODUCT(1+O11:$O$19)),SUMPRODUCT(PRODUCT(1+O11:$O$18))),4)</f>
        <v>1.0555000000000001</v>
      </c>
      <c r="W11" s="2026">
        <f t="shared" ref="W11:W18" si="35">T11</f>
        <v>1.0203</v>
      </c>
      <c r="X11" s="2906"/>
      <c r="Y11" s="2027"/>
      <c r="Z11" s="2027"/>
      <c r="AA11" s="2027"/>
      <c r="AB11" s="2027"/>
      <c r="AC11" s="2027"/>
      <c r="AD11" s="2027"/>
    </row>
    <row r="12" spans="1:30" s="2044" customFormat="1" ht="13.2">
      <c r="A12" s="2905" t="s">
        <v>3368</v>
      </c>
      <c r="B12" s="2030">
        <v>2022</v>
      </c>
      <c r="C12" s="2041">
        <v>4</v>
      </c>
      <c r="D12" s="2006">
        <v>0.62</v>
      </c>
      <c r="E12" s="2006">
        <v>0.2</v>
      </c>
      <c r="F12" s="2006">
        <v>0.11</v>
      </c>
      <c r="G12" s="2006">
        <v>0.69</v>
      </c>
      <c r="H12" s="2917">
        <v>0.53</v>
      </c>
      <c r="I12" s="2007">
        <f t="shared" si="15"/>
        <v>0.11</v>
      </c>
      <c r="J12" s="2906"/>
      <c r="K12" s="2042">
        <f t="shared" si="16"/>
        <v>6.1999999999999998E-3</v>
      </c>
      <c r="L12" s="2027">
        <f t="shared" si="16"/>
        <v>2E-3</v>
      </c>
      <c r="M12" s="2027">
        <f t="shared" si="16"/>
        <v>1.1000000000000001E-3</v>
      </c>
      <c r="N12" s="2027">
        <f t="shared" si="16"/>
        <v>6.8999999999999999E-3</v>
      </c>
      <c r="O12" s="2027">
        <f t="shared" si="16"/>
        <v>5.3E-3</v>
      </c>
      <c r="P12" s="2027">
        <f t="shared" ref="P12:P19" si="36">M12</f>
        <v>1.1000000000000001E-3</v>
      </c>
      <c r="Q12" s="2906"/>
      <c r="R12" s="2026">
        <f>ROUND(IF(项目基本情况!$B$8="出让",SUMPRODUCT(PRODUCT(1+K12:$K$19)),SUMPRODUCT(PRODUCT(1+K12:$K$18))),4)</f>
        <v>1.0565</v>
      </c>
      <c r="S12" s="2026">
        <f>ROUND(IF(项目基本情况!$B$8="出让",SUMPRODUCT(PRODUCT(1+L12:$L$19)),SUMPRODUCT(PRODUCT(1+L12:$L$18))),4)</f>
        <v>1.0250999999999999</v>
      </c>
      <c r="T12" s="2026">
        <f>ROUND(IF(项目基本情况!$B$8="出让",SUMPRODUCT(PRODUCT(1+M12:$M$19)),SUMPRODUCT(PRODUCT(1+M12:$M$18))),4)</f>
        <v>1.0145</v>
      </c>
      <c r="U12" s="2026">
        <f>ROUND(IF(项目基本情况!$B$8="出让",SUMPRODUCT(PRODUCT(1+N12:$N$19)),SUMPRODUCT(PRODUCT(1+N12:$N$18))),4)</f>
        <v>1.0618000000000001</v>
      </c>
      <c r="V12" s="2026">
        <f>ROUND(IF(项目基本情况!$B$8="出让",SUMPRODUCT(PRODUCT(1+O12:$O$19)),SUMPRODUCT(PRODUCT(1+O12:$O$18))),4)</f>
        <v>1.0502</v>
      </c>
      <c r="W12" s="2026">
        <f t="shared" si="35"/>
        <v>1.0145</v>
      </c>
      <c r="X12" s="2906"/>
      <c r="Y12" s="2027">
        <f>IF(D12=0,0,ROUND(AVERAGE(D12:D20)/100,4))</f>
        <v>8.0999999999999996E-3</v>
      </c>
      <c r="Z12" s="2027">
        <f t="shared" ref="Z12:AC12" si="37">IF(E12=0,0,ROUND(AVERAGE(E12:E19)/100,4))</f>
        <v>3.3E-3</v>
      </c>
      <c r="AA12" s="2027">
        <f t="shared" si="37"/>
        <v>1.5E-3</v>
      </c>
      <c r="AB12" s="2027">
        <f t="shared" si="37"/>
        <v>8.8999999999999999E-3</v>
      </c>
      <c r="AC12" s="2027">
        <f t="shared" si="37"/>
        <v>6.6E-3</v>
      </c>
      <c r="AD12" s="2027">
        <f t="shared" si="18"/>
        <v>1.5E-3</v>
      </c>
    </row>
    <row r="13" spans="1:30" s="2044" customFormat="1" ht="13.2">
      <c r="A13" s="2905" t="s">
        <v>3364</v>
      </c>
      <c r="B13" s="2030">
        <v>2022</v>
      </c>
      <c r="C13" s="2041">
        <v>3</v>
      </c>
      <c r="D13" s="2006">
        <v>0.66</v>
      </c>
      <c r="E13" s="2006">
        <v>0.32</v>
      </c>
      <c r="F13" s="2006">
        <v>0.23</v>
      </c>
      <c r="G13" s="2006">
        <v>0.72</v>
      </c>
      <c r="H13" s="2917">
        <v>0.63</v>
      </c>
      <c r="I13" s="2007">
        <f t="shared" si="15"/>
        <v>0.23</v>
      </c>
      <c r="J13" s="2906"/>
      <c r="K13" s="2042">
        <f t="shared" si="16"/>
        <v>6.6E-3</v>
      </c>
      <c r="L13" s="2027">
        <f t="shared" si="16"/>
        <v>3.2000000000000002E-3</v>
      </c>
      <c r="M13" s="2027">
        <f t="shared" si="16"/>
        <v>2.3E-3</v>
      </c>
      <c r="N13" s="2027">
        <f t="shared" si="16"/>
        <v>7.1999999999999998E-3</v>
      </c>
      <c r="O13" s="2027">
        <f t="shared" si="16"/>
        <v>6.3E-3</v>
      </c>
      <c r="P13" s="2027">
        <f t="shared" si="36"/>
        <v>2.3E-3</v>
      </c>
      <c r="Q13" s="2906"/>
      <c r="R13" s="2026">
        <f>ROUND(IF(项目基本情况!$B$8="出让",SUMPRODUCT(PRODUCT(1+K13:$K$19)),SUMPRODUCT(PRODUCT(1+K13:$K$18))),4)</f>
        <v>1.05</v>
      </c>
      <c r="S13" s="2026">
        <f>ROUND(IF(项目基本情况!$B$8="出让",SUMPRODUCT(PRODUCT(1+L13:$L$19)),SUMPRODUCT(PRODUCT(1+L13:$L$18))),4)</f>
        <v>1.0229999999999999</v>
      </c>
      <c r="T13" s="2026">
        <f>ROUND(IF(项目基本情况!$B$8="出让",SUMPRODUCT(PRODUCT(1+M13:$M$19)),SUMPRODUCT(PRODUCT(1+M13:$M$18))),4)</f>
        <v>1.0134000000000001</v>
      </c>
      <c r="U13" s="2026">
        <f>ROUND(IF(项目基本情况!$B$8="出让",SUMPRODUCT(PRODUCT(1+N13:$N$19)),SUMPRODUCT(PRODUCT(1+N13:$N$18))),4)</f>
        <v>1.0545</v>
      </c>
      <c r="V13" s="2026">
        <f>ROUND(IF(项目基本情况!$B$8="出让",SUMPRODUCT(PRODUCT(1+O13:$O$19)),SUMPRODUCT(PRODUCT(1+O13:$O$18))),4)</f>
        <v>1.0447</v>
      </c>
      <c r="W13" s="2026">
        <f t="shared" si="35"/>
        <v>1.0134000000000001</v>
      </c>
      <c r="X13" s="2906"/>
      <c r="Y13" s="2027">
        <f>IF(D13=0,0,ROUND(AVERAGE(D13:D19)/100,4))</f>
        <v>8.3999999999999995E-3</v>
      </c>
      <c r="Z13" s="2027">
        <f t="shared" ref="Z13:AC13" si="38">IF(E13=0,0,ROUND(AVERAGE(E13:E19)/100,4))</f>
        <v>3.5000000000000001E-3</v>
      </c>
      <c r="AA13" s="2027">
        <f t="shared" si="38"/>
        <v>1.5E-3</v>
      </c>
      <c r="AB13" s="2027">
        <f t="shared" si="38"/>
        <v>9.1999999999999998E-3</v>
      </c>
      <c r="AC13" s="2027">
        <f t="shared" si="38"/>
        <v>6.7999999999999996E-3</v>
      </c>
      <c r="AD13" s="2027">
        <f t="shared" si="18"/>
        <v>1.5E-3</v>
      </c>
    </row>
    <row r="14" spans="1:30" s="2044" customFormat="1" ht="13.2">
      <c r="A14" s="2905" t="s">
        <v>3355</v>
      </c>
      <c r="B14" s="2030">
        <v>2022</v>
      </c>
      <c r="C14" s="2041">
        <v>2</v>
      </c>
      <c r="D14" s="2006">
        <v>0.93</v>
      </c>
      <c r="E14" s="2006">
        <v>0.15</v>
      </c>
      <c r="F14" s="2006">
        <v>0.01</v>
      </c>
      <c r="G14" s="2006">
        <v>1.05</v>
      </c>
      <c r="H14" s="2917">
        <v>1.08</v>
      </c>
      <c r="I14" s="2007">
        <f t="shared" si="15"/>
        <v>0.01</v>
      </c>
      <c r="J14" s="2906"/>
      <c r="K14" s="2042">
        <f t="shared" si="16"/>
        <v>9.300000000000001E-3</v>
      </c>
      <c r="L14" s="2027">
        <f t="shared" si="16"/>
        <v>1.5E-3</v>
      </c>
      <c r="M14" s="2027">
        <f t="shared" si="16"/>
        <v>1E-4</v>
      </c>
      <c r="N14" s="2027">
        <f t="shared" si="16"/>
        <v>1.0500000000000001E-2</v>
      </c>
      <c r="O14" s="2027">
        <f t="shared" si="16"/>
        <v>1.0800000000000001E-2</v>
      </c>
      <c r="P14" s="2027">
        <f t="shared" si="36"/>
        <v>1E-4</v>
      </c>
      <c r="Q14" s="2906"/>
      <c r="R14" s="2026">
        <f>ROUND(IF(项目基本情况!$B$8="出让",SUMPRODUCT(PRODUCT(1+K14:$K$19)),SUMPRODUCT(PRODUCT(1+K14:$K$18))),4)</f>
        <v>1.0430999999999999</v>
      </c>
      <c r="S14" s="2026">
        <f>ROUND(IF(项目基本情况!$B$8="出让",SUMPRODUCT(PRODUCT(1+L14:$L$19)),SUMPRODUCT(PRODUCT(1+L14:$L$18))),4)</f>
        <v>1.0197000000000001</v>
      </c>
      <c r="T14" s="2026">
        <f>ROUND(IF(项目基本情况!$B$8="出让",SUMPRODUCT(PRODUCT(1+M14:$M$19)),SUMPRODUCT(PRODUCT(1+M14:$M$18))),4)</f>
        <v>1.0109999999999999</v>
      </c>
      <c r="U14" s="2026">
        <f>ROUND(IF(项目基本情况!$B$8="出让",SUMPRODUCT(PRODUCT(1+N14:$N$19)),SUMPRODUCT(PRODUCT(1+N14:$N$18))),4)</f>
        <v>1.0468999999999999</v>
      </c>
      <c r="V14" s="2026">
        <f>ROUND(IF(项目基本情况!$B$8="出让",SUMPRODUCT(PRODUCT(1+O14:$O$19)),SUMPRODUCT(PRODUCT(1+O14:$O$18))),4)</f>
        <v>1.0382</v>
      </c>
      <c r="W14" s="2026">
        <f t="shared" si="35"/>
        <v>1.0109999999999999</v>
      </c>
      <c r="X14" s="2906"/>
      <c r="Y14" s="2027">
        <f>IF(D14=0,0,ROUND(AVERAGE(D14:D19)/100,4))</f>
        <v>8.6999999999999994E-3</v>
      </c>
      <c r="Z14" s="2027">
        <f t="shared" ref="Z14:AC14" si="39">IF(E14=0,0,ROUND(AVERAGE(E14:E19)/100,4))</f>
        <v>3.5000000000000001E-3</v>
      </c>
      <c r="AA14" s="2027">
        <f t="shared" si="39"/>
        <v>1.4E-3</v>
      </c>
      <c r="AB14" s="2027">
        <f t="shared" si="39"/>
        <v>9.4999999999999998E-3</v>
      </c>
      <c r="AC14" s="2027">
        <f t="shared" si="39"/>
        <v>6.8999999999999999E-3</v>
      </c>
      <c r="AD14" s="2027">
        <f t="shared" si="18"/>
        <v>1.4E-3</v>
      </c>
    </row>
    <row r="15" spans="1:30" s="2044" customFormat="1" ht="13.2">
      <c r="A15" s="2905" t="s">
        <v>2820</v>
      </c>
      <c r="B15" s="2030">
        <v>2022</v>
      </c>
      <c r="C15" s="2041">
        <v>1</v>
      </c>
      <c r="D15" s="2006">
        <v>0.89</v>
      </c>
      <c r="E15" s="2006">
        <v>0.44</v>
      </c>
      <c r="F15" s="2006">
        <v>0.37</v>
      </c>
      <c r="G15" s="2006">
        <v>0.96</v>
      </c>
      <c r="H15" s="2917">
        <v>0.64</v>
      </c>
      <c r="I15" s="2007">
        <f t="shared" si="15"/>
        <v>0.37</v>
      </c>
      <c r="J15" s="2906"/>
      <c r="K15" s="2042">
        <f t="shared" si="16"/>
        <v>8.8999999999999999E-3</v>
      </c>
      <c r="L15" s="2027">
        <f t="shared" si="16"/>
        <v>4.4000000000000003E-3</v>
      </c>
      <c r="M15" s="2027">
        <f t="shared" si="16"/>
        <v>3.7000000000000002E-3</v>
      </c>
      <c r="N15" s="2027">
        <f t="shared" si="16"/>
        <v>9.5999999999999992E-3</v>
      </c>
      <c r="O15" s="2027">
        <f t="shared" si="16"/>
        <v>6.4000000000000003E-3</v>
      </c>
      <c r="P15" s="2027">
        <f t="shared" si="36"/>
        <v>3.7000000000000002E-3</v>
      </c>
      <c r="Q15" s="2906"/>
      <c r="R15" s="2026">
        <f>ROUND(IF(项目基本情况!$B$8="出让",SUMPRODUCT(PRODUCT(1+K15:$K$19)),SUMPRODUCT(PRODUCT(1+K15:$K$18))),4)</f>
        <v>1.0335000000000001</v>
      </c>
      <c r="S15" s="2026">
        <f>ROUND(IF(项目基本情况!$B$8="出让",SUMPRODUCT(PRODUCT(1+L15:$L$19)),SUMPRODUCT(PRODUCT(1+L15:$L$18))),4)</f>
        <v>1.0182</v>
      </c>
      <c r="T15" s="2026">
        <f>ROUND(IF(项目基本情况!$B$8="出让",SUMPRODUCT(PRODUCT(1+M15:$M$19)),SUMPRODUCT(PRODUCT(1+M15:$M$18))),4)</f>
        <v>1.0108999999999999</v>
      </c>
      <c r="U15" s="2026">
        <f>ROUND(IF(项目基本情况!$B$8="出让",SUMPRODUCT(PRODUCT(1+N15:$N$19)),SUMPRODUCT(PRODUCT(1+N15:$N$18))),4)</f>
        <v>1.0361</v>
      </c>
      <c r="V15" s="2026">
        <f>ROUND(IF(项目基本情况!$B$8="出让",SUMPRODUCT(PRODUCT(1+O15:$O$19)),SUMPRODUCT(PRODUCT(1+O15:$O$18))),4)</f>
        <v>1.0270999999999999</v>
      </c>
      <c r="W15" s="2026">
        <f t="shared" si="35"/>
        <v>1.0108999999999999</v>
      </c>
      <c r="X15" s="2906"/>
      <c r="Y15" s="2027">
        <f>IF(D15=0,0,ROUND(AVERAGE(D15:D19)/100,4))</f>
        <v>8.6E-3</v>
      </c>
      <c r="Z15" s="2027">
        <f t="shared" ref="Z15:AC15" si="40">IF(E15=0,0,ROUND(AVERAGE(E15:E19)/100,4))</f>
        <v>3.8999999999999998E-3</v>
      </c>
      <c r="AA15" s="2027">
        <f t="shared" si="40"/>
        <v>1.6999999999999999E-3</v>
      </c>
      <c r="AB15" s="2027">
        <f t="shared" si="40"/>
        <v>9.2999999999999992E-3</v>
      </c>
      <c r="AC15" s="2027">
        <f t="shared" si="40"/>
        <v>6.1000000000000004E-3</v>
      </c>
      <c r="AD15" s="2027">
        <f t="shared" si="18"/>
        <v>1.6999999999999999E-3</v>
      </c>
    </row>
    <row r="16" spans="1:30" s="2044" customFormat="1" ht="13.2">
      <c r="A16" s="2905" t="s">
        <v>2821</v>
      </c>
      <c r="B16" s="2030">
        <v>2021</v>
      </c>
      <c r="C16" s="2041">
        <v>4</v>
      </c>
      <c r="D16" s="2006">
        <v>1.03</v>
      </c>
      <c r="E16" s="2006">
        <v>0.24</v>
      </c>
      <c r="F16" s="2006">
        <v>7.0000000000000007E-2</v>
      </c>
      <c r="G16" s="2006">
        <v>1.17</v>
      </c>
      <c r="H16" s="2917">
        <v>0.55000000000000004</v>
      </c>
      <c r="I16" s="2007">
        <f t="shared" si="15"/>
        <v>7.0000000000000007E-2</v>
      </c>
      <c r="J16" s="2906"/>
      <c r="K16" s="2042">
        <f t="shared" si="16"/>
        <v>1.03E-2</v>
      </c>
      <c r="L16" s="2027">
        <f t="shared" si="16"/>
        <v>2.3999999999999998E-3</v>
      </c>
      <c r="M16" s="2027">
        <f t="shared" si="16"/>
        <v>7.000000000000001E-4</v>
      </c>
      <c r="N16" s="2027">
        <f t="shared" si="16"/>
        <v>1.1699999999999999E-2</v>
      </c>
      <c r="O16" s="2027">
        <f t="shared" si="16"/>
        <v>5.5000000000000005E-3</v>
      </c>
      <c r="P16" s="2027">
        <f t="shared" si="36"/>
        <v>7.000000000000001E-4</v>
      </c>
      <c r="Q16" s="2906"/>
      <c r="R16" s="2026">
        <f>ROUND(IF(项目基本情况!$B$8="出让",SUMPRODUCT(PRODUCT(1+K16:$K$19)),SUMPRODUCT(PRODUCT(1+K16:$K$18))),4)</f>
        <v>1.0244</v>
      </c>
      <c r="S16" s="2026">
        <f>ROUND(IF(项目基本情况!$B$8="出让",SUMPRODUCT(PRODUCT(1+L16:$L$19)),SUMPRODUCT(PRODUCT(1+L16:$L$18))),4)</f>
        <v>1.0138</v>
      </c>
      <c r="T16" s="2026">
        <f>ROUND(IF(项目基本情况!$B$8="出让",SUMPRODUCT(PRODUCT(1+M16:$M$19)),SUMPRODUCT(PRODUCT(1+M16:$M$18))),4)</f>
        <v>1.0072000000000001</v>
      </c>
      <c r="U16" s="2026">
        <f>ROUND(IF(项目基本情况!$B$8="出让",SUMPRODUCT(PRODUCT(1+N16:$N$19)),SUMPRODUCT(PRODUCT(1+N16:$N$18))),4)</f>
        <v>1.0262</v>
      </c>
      <c r="V16" s="2026">
        <f>ROUND(IF(项目基本情况!$B$8="出让",SUMPRODUCT(PRODUCT(1+O16:$O$19)),SUMPRODUCT(PRODUCT(1+O16:$O$18))),4)</f>
        <v>1.0205</v>
      </c>
      <c r="W16" s="2026">
        <f t="shared" si="35"/>
        <v>1.0072000000000001</v>
      </c>
      <c r="X16" s="2906"/>
      <c r="Y16" s="2027">
        <f>IF(D16=0,0,ROUND(AVERAGE(D16:D19)/100,4))</f>
        <v>8.5000000000000006E-3</v>
      </c>
      <c r="Z16" s="2027">
        <f t="shared" ref="Z16:AC16" si="41">IF(E16=0,0,ROUND(AVERAGE(E16:E19)/100,4))</f>
        <v>3.8E-3</v>
      </c>
      <c r="AA16" s="2027">
        <f t="shared" si="41"/>
        <v>1.1999999999999999E-3</v>
      </c>
      <c r="AB16" s="2027">
        <f t="shared" si="41"/>
        <v>9.2999999999999992E-3</v>
      </c>
      <c r="AC16" s="2027">
        <f t="shared" si="41"/>
        <v>6.0000000000000001E-3</v>
      </c>
      <c r="AD16" s="2027">
        <f t="shared" si="18"/>
        <v>1.1999999999999999E-3</v>
      </c>
    </row>
    <row r="17" spans="1:30" s="2044" customFormat="1" ht="13.2">
      <c r="A17" s="2905" t="s">
        <v>2822</v>
      </c>
      <c r="B17" s="2030">
        <v>2021</v>
      </c>
      <c r="C17" s="2041">
        <v>3</v>
      </c>
      <c r="D17" s="2006">
        <v>0.47</v>
      </c>
      <c r="E17" s="2006">
        <v>0.41</v>
      </c>
      <c r="F17" s="2006">
        <v>0.24</v>
      </c>
      <c r="G17" s="2006">
        <v>0.48</v>
      </c>
      <c r="H17" s="2917">
        <v>0.48</v>
      </c>
      <c r="I17" s="2007">
        <f t="shared" si="15"/>
        <v>0.24</v>
      </c>
      <c r="J17" s="2906"/>
      <c r="K17" s="2042">
        <f t="shared" si="16"/>
        <v>4.6999999999999993E-3</v>
      </c>
      <c r="L17" s="2027">
        <f t="shared" si="16"/>
        <v>4.0999999999999995E-3</v>
      </c>
      <c r="M17" s="2027">
        <f t="shared" si="16"/>
        <v>2.3999999999999998E-3</v>
      </c>
      <c r="N17" s="2027">
        <f t="shared" si="16"/>
        <v>4.7999999999999996E-3</v>
      </c>
      <c r="O17" s="2027">
        <f t="shared" si="16"/>
        <v>4.7999999999999996E-3</v>
      </c>
      <c r="P17" s="2027">
        <f t="shared" si="36"/>
        <v>2.3999999999999998E-3</v>
      </c>
      <c r="Q17" s="2906"/>
      <c r="R17" s="2026">
        <f>ROUND(IF(项目基本情况!$B$8="出让",SUMPRODUCT(PRODUCT(1+K17:$K$19)),SUMPRODUCT(PRODUCT(1+K17:$K$18))),4)</f>
        <v>1.0139</v>
      </c>
      <c r="S17" s="2026">
        <f>ROUND(IF(项目基本情况!$B$8="出让",SUMPRODUCT(PRODUCT(1+L17:$L$19)),SUMPRODUCT(PRODUCT(1+L17:$L$18))),4)</f>
        <v>1.0113000000000001</v>
      </c>
      <c r="T17" s="2026">
        <f>ROUND(IF(项目基本情况!$B$8="出让",SUMPRODUCT(PRODUCT(1+M17:$M$19)),SUMPRODUCT(PRODUCT(1+M17:$M$18))),4)</f>
        <v>1.0065</v>
      </c>
      <c r="U17" s="2026">
        <f>ROUND(IF(项目基本情况!$B$8="出让",SUMPRODUCT(PRODUCT(1+N17:$N$19)),SUMPRODUCT(PRODUCT(1+N17:$N$18))),4)</f>
        <v>1.0143</v>
      </c>
      <c r="V17" s="2026">
        <f>ROUND(IF(项目基本情况!$B$8="出让",SUMPRODUCT(PRODUCT(1+O17:$O$19)),SUMPRODUCT(PRODUCT(1+O17:$O$18))),4)</f>
        <v>1.0148999999999999</v>
      </c>
      <c r="W17" s="2026">
        <f t="shared" si="35"/>
        <v>1.0065</v>
      </c>
      <c r="X17" s="2906"/>
      <c r="Y17" s="2027">
        <f>IF(D17=0,0,ROUND(AVERAGE(D17:D19)/100,4))</f>
        <v>7.9000000000000008E-3</v>
      </c>
      <c r="Z17" s="2027">
        <f>IF(E17=0,0,ROUND(AVERAGE(E17:E19)/100,4))</f>
        <v>4.3E-3</v>
      </c>
      <c r="AA17" s="2027">
        <f>IF(F17=0,0,ROUND(AVERAGE(F17:F19)/100,4))</f>
        <v>1.2999999999999999E-3</v>
      </c>
      <c r="AB17" s="2027">
        <f>IF(G17=0,0,ROUND(AVERAGE(G17:G19)/100,4))</f>
        <v>8.5000000000000006E-3</v>
      </c>
      <c r="AC17" s="2027">
        <f>IF(H17=0,0,ROUND(AVERAGE(H17:H19)/100,4))</f>
        <v>6.1999999999999998E-3</v>
      </c>
      <c r="AD17" s="2027">
        <f t="shared" si="18"/>
        <v>1.2999999999999999E-3</v>
      </c>
    </row>
    <row r="18" spans="1:30" s="2044" customFormat="1" ht="13.2">
      <c r="A18" s="2905" t="s">
        <v>2823</v>
      </c>
      <c r="B18" s="2030">
        <v>2021</v>
      </c>
      <c r="C18" s="2041">
        <v>2</v>
      </c>
      <c r="D18" s="2006">
        <v>0.92</v>
      </c>
      <c r="E18" s="2006">
        <v>0.72</v>
      </c>
      <c r="F18" s="2006">
        <v>0.41</v>
      </c>
      <c r="G18" s="2006">
        <v>0.95</v>
      </c>
      <c r="H18" s="2917">
        <v>1.01</v>
      </c>
      <c r="I18" s="2007">
        <f t="shared" si="15"/>
        <v>0.41</v>
      </c>
      <c r="J18" s="2906"/>
      <c r="K18" s="2042">
        <f t="shared" si="16"/>
        <v>9.1999999999999998E-3</v>
      </c>
      <c r="L18" s="2027">
        <f t="shared" si="16"/>
        <v>7.1999999999999998E-3</v>
      </c>
      <c r="M18" s="2027">
        <f t="shared" si="16"/>
        <v>4.0999999999999995E-3</v>
      </c>
      <c r="N18" s="2027">
        <f t="shared" si="16"/>
        <v>9.4999999999999998E-3</v>
      </c>
      <c r="O18" s="2027">
        <f t="shared" si="16"/>
        <v>1.01E-2</v>
      </c>
      <c r="P18" s="2027">
        <f t="shared" si="36"/>
        <v>4.0999999999999995E-3</v>
      </c>
      <c r="Q18" s="2906"/>
      <c r="R18" s="2026">
        <f>ROUND(IF(项目基本情况!$B$8="出让",SUMPRODUCT(PRODUCT(1+K18:$K$19)),SUMPRODUCT(PRODUCT(1+K18:$K$18))),4)</f>
        <v>1.0092000000000001</v>
      </c>
      <c r="S18" s="2026">
        <f>ROUND(IF(项目基本情况!$B$8="出让",SUMPRODUCT(PRODUCT(1+L18:$L$19)),SUMPRODUCT(PRODUCT(1+L18:$L$18))),4)</f>
        <v>1.0072000000000001</v>
      </c>
      <c r="T18" s="2026">
        <f>ROUND(IF(项目基本情况!$B$8="出让",SUMPRODUCT(PRODUCT(1+M18:$M$19)),SUMPRODUCT(PRODUCT(1+M18:$M$18))),4)</f>
        <v>1.0041</v>
      </c>
      <c r="U18" s="2026">
        <f>ROUND(IF(项目基本情况!$B$8="出让",SUMPRODUCT(PRODUCT(1+N18:$N$19)),SUMPRODUCT(PRODUCT(1+N18:$N$18))),4)</f>
        <v>1.0095000000000001</v>
      </c>
      <c r="V18" s="2026">
        <f>ROUND(IF(项目基本情况!$B$8="出让",SUMPRODUCT(PRODUCT(1+O18:$O$19)),SUMPRODUCT(PRODUCT(1+O18:$O$18))),4)</f>
        <v>1.0101</v>
      </c>
      <c r="W18" s="2026">
        <f t="shared" si="35"/>
        <v>1.0041</v>
      </c>
      <c r="X18" s="2906"/>
      <c r="Y18" s="2027">
        <f>IF(D18=0,0,ROUND(AVERAGE(D18:D19)/100,4))</f>
        <v>9.4999999999999998E-3</v>
      </c>
      <c r="Z18" s="2027">
        <f>IF(E18=0,0,ROUND(AVERAGE(E18:E19)/100,4))</f>
        <v>4.4000000000000003E-3</v>
      </c>
      <c r="AA18" s="2027">
        <f>IF(F18=0,0,ROUND(AVERAGE(F18:F19)/100,4))</f>
        <v>8.0000000000000004E-4</v>
      </c>
      <c r="AB18" s="2027">
        <f>IF(G18=0,0,ROUND(AVERAGE(G18:G19)/100,4))</f>
        <v>1.03E-2</v>
      </c>
      <c r="AC18" s="2027">
        <f>IF(H18=0,0,ROUND(AVERAGE(H18:H19)/100,4))</f>
        <v>6.8999999999999999E-3</v>
      </c>
      <c r="AD18" s="2027">
        <f t="shared" si="18"/>
        <v>8.0000000000000004E-4</v>
      </c>
    </row>
    <row r="19" spans="1:30" s="2928" customFormat="1" ht="13.8" thickBot="1">
      <c r="A19" s="2918" t="s">
        <v>2824</v>
      </c>
      <c r="B19" s="2919">
        <v>2021</v>
      </c>
      <c r="C19" s="2920">
        <v>1</v>
      </c>
      <c r="D19" s="2921">
        <v>0.97</v>
      </c>
      <c r="E19" s="2921">
        <v>0.16</v>
      </c>
      <c r="F19" s="2921">
        <v>-0.25</v>
      </c>
      <c r="G19" s="2921">
        <v>1.1100000000000001</v>
      </c>
      <c r="H19" s="2922">
        <v>0.36</v>
      </c>
      <c r="I19" s="2923">
        <f t="shared" si="15"/>
        <v>-0.25</v>
      </c>
      <c r="J19" s="2924"/>
      <c r="K19" s="2925">
        <f t="shared" si="16"/>
        <v>9.7000000000000003E-3</v>
      </c>
      <c r="L19" s="2926">
        <f t="shared" si="16"/>
        <v>1.6000000000000001E-3</v>
      </c>
      <c r="M19" s="2926">
        <f>F19/100</f>
        <v>-2.5000000000000001E-3</v>
      </c>
      <c r="N19" s="2926">
        <f t="shared" si="16"/>
        <v>1.11E-2</v>
      </c>
      <c r="O19" s="2926">
        <f t="shared" si="16"/>
        <v>3.5999999999999999E-3</v>
      </c>
      <c r="P19" s="2926">
        <f t="shared" si="36"/>
        <v>-2.5000000000000001E-3</v>
      </c>
      <c r="Q19" s="2924"/>
      <c r="R19" s="2927">
        <v>1</v>
      </c>
      <c r="S19" s="2927">
        <v>1</v>
      </c>
      <c r="T19" s="2927">
        <v>1</v>
      </c>
      <c r="U19" s="2927">
        <v>1</v>
      </c>
      <c r="V19" s="2927">
        <v>1</v>
      </c>
      <c r="W19" s="2927">
        <f t="shared" ref="W19" si="42">T19</f>
        <v>1</v>
      </c>
      <c r="X19" s="2924"/>
      <c r="Y19" s="2926">
        <f>IF(D19=0,0,ROUND(AVERAGE(D19:D19)/100,4))</f>
        <v>9.7000000000000003E-3</v>
      </c>
      <c r="Z19" s="2926">
        <f>IF(E19=0,0,ROUND(AVERAGE(E19:E19)/100,4))</f>
        <v>1.6000000000000001E-3</v>
      </c>
      <c r="AA19" s="2926">
        <f>IF(F19=0,0,ROUND(AVERAGE(F19:F19)/100,4))</f>
        <v>-2.5000000000000001E-3</v>
      </c>
      <c r="AB19" s="2926">
        <f>IF(G19=0,0,ROUND(AVERAGE(G19:G19)/100,4))</f>
        <v>1.11E-2</v>
      </c>
      <c r="AC19" s="2926">
        <f>IF(H19=0,0,ROUND(AVERAGE(H19:H19)/100,4))</f>
        <v>3.5999999999999999E-3</v>
      </c>
      <c r="AD19" s="2926">
        <f>AA19</f>
        <v>-2.5000000000000001E-3</v>
      </c>
    </row>
    <row r="20" spans="1:30" ht="15" thickTop="1"/>
    <row r="21" spans="1:30">
      <c r="A21" s="3143" t="s">
        <v>3366</v>
      </c>
    </row>
    <row r="22" spans="1:30">
      <c r="I22" s="1404" t="s">
        <v>2825</v>
      </c>
    </row>
    <row r="24" spans="1:30" s="2008" customFormat="1" ht="13.2">
      <c r="B24" s="2929" t="s">
        <v>3372</v>
      </c>
      <c r="C24" s="2930"/>
      <c r="D24" s="2930"/>
      <c r="E24" s="2930"/>
      <c r="F24" s="2930"/>
      <c r="G24" s="2930"/>
      <c r="H24" s="2930"/>
      <c r="I24" s="2930"/>
      <c r="J24" s="2896"/>
      <c r="K24" s="2930" t="s">
        <v>2826</v>
      </c>
      <c r="L24" s="2930"/>
      <c r="M24" s="2930"/>
      <c r="N24" s="2930"/>
      <c r="O24" s="2930"/>
      <c r="P24" s="2930"/>
      <c r="Q24" s="2896"/>
      <c r="R24" s="3498" t="s">
        <v>2827</v>
      </c>
      <c r="S24" s="3499"/>
      <c r="T24" s="3499"/>
      <c r="U24" s="3499"/>
      <c r="V24" s="3499"/>
      <c r="W24" s="3499"/>
      <c r="X24" s="2896"/>
      <c r="Y24" s="3498" t="s">
        <v>2828</v>
      </c>
      <c r="Z24" s="3499"/>
      <c r="AA24" s="3499"/>
      <c r="AB24" s="3499"/>
      <c r="AC24" s="3499"/>
      <c r="AD24" s="3499"/>
    </row>
    <row r="25" spans="1:30" s="2009" customFormat="1" ht="15" thickBot="1">
      <c r="B25" s="2881"/>
      <c r="C25" s="2882"/>
      <c r="D25" s="2010" t="s">
        <v>2829</v>
      </c>
      <c r="E25" s="2011" t="s">
        <v>2830</v>
      </c>
      <c r="F25" s="2011" t="s">
        <v>2831</v>
      </c>
      <c r="G25" s="2011" t="s">
        <v>2832</v>
      </c>
      <c r="H25" s="2011"/>
      <c r="I25" s="2011" t="s">
        <v>2833</v>
      </c>
      <c r="J25" s="2883"/>
      <c r="K25" s="2010" t="s">
        <v>2829</v>
      </c>
      <c r="L25" s="2011" t="s">
        <v>2830</v>
      </c>
      <c r="M25" s="2011" t="s">
        <v>2831</v>
      </c>
      <c r="N25" s="2011" t="s">
        <v>2832</v>
      </c>
      <c r="O25" s="2011"/>
      <c r="P25" s="2011" t="s">
        <v>2833</v>
      </c>
      <c r="Q25" s="2883"/>
      <c r="R25" s="2010" t="s">
        <v>2829</v>
      </c>
      <c r="S25" s="2011" t="s">
        <v>2830</v>
      </c>
      <c r="T25" s="2011" t="s">
        <v>2831</v>
      </c>
      <c r="U25" s="2011" t="s">
        <v>2832</v>
      </c>
      <c r="V25" s="2011"/>
      <c r="W25" s="2011" t="s">
        <v>2833</v>
      </c>
      <c r="X25" s="2883"/>
      <c r="Y25" s="2010" t="s">
        <v>2829</v>
      </c>
      <c r="Z25" s="2011" t="s">
        <v>2830</v>
      </c>
      <c r="AA25" s="2011" t="s">
        <v>2831</v>
      </c>
      <c r="AB25" s="2011" t="s">
        <v>2832</v>
      </c>
      <c r="AC25" s="2011"/>
      <c r="AD25" s="2011" t="s">
        <v>2833</v>
      </c>
    </row>
    <row r="26" spans="1:30" s="2886" customFormat="1" ht="13.2">
      <c r="A26" s="2884" t="s">
        <v>2834</v>
      </c>
      <c r="B26" s="2885"/>
      <c r="E26" s="2886">
        <f t="shared" ref="E26:G26" si="43">ROUND(AVERAGEIF(E27:E42,"&lt;&gt;0"),2)</f>
        <v>0.33</v>
      </c>
      <c r="F26" s="2886">
        <f t="shared" si="43"/>
        <v>0.24</v>
      </c>
      <c r="G26" s="2886">
        <f t="shared" si="43"/>
        <v>0.62</v>
      </c>
      <c r="I26" s="2886">
        <f>F26</f>
        <v>0.24</v>
      </c>
      <c r="J26" s="2887"/>
      <c r="K26" s="2888"/>
      <c r="L26" s="2889">
        <f t="shared" ref="L26:N26" si="44">ROUND(AVERAGEIF(L27:L42,"&lt;&gt;0"),4)</f>
        <v>3.3E-3</v>
      </c>
      <c r="M26" s="2889">
        <f t="shared" si="44"/>
        <v>2.3999999999999998E-3</v>
      </c>
      <c r="N26" s="2889">
        <f t="shared" si="44"/>
        <v>6.1999999999999998E-3</v>
      </c>
      <c r="O26" s="2889"/>
      <c r="P26" s="2889">
        <f>M26</f>
        <v>2.3999999999999998E-3</v>
      </c>
      <c r="Q26" s="2887"/>
      <c r="R26" s="2890"/>
      <c r="S26" s="2891">
        <f>ROUND(SUMPRODUCT(PRODUCT(1+L27:L42)),4)</f>
        <v>1.0468999999999999</v>
      </c>
      <c r="T26" s="2891">
        <f t="shared" ref="T26:U26" si="45">ROUND(SUMPRODUCT(PRODUCT(1+M27:M42)),4)</f>
        <v>1.0347</v>
      </c>
      <c r="U26" s="2891">
        <f t="shared" si="45"/>
        <v>1.0895999999999999</v>
      </c>
      <c r="V26" s="2891"/>
      <c r="W26" s="2890">
        <f>T26</f>
        <v>1.0347</v>
      </c>
      <c r="X26" s="2887"/>
      <c r="Y26" s="2892"/>
      <c r="Z26" s="2893">
        <f t="shared" ref="Z26:AB26" si="46">ROUND(AVERAGEIF(Z27:Z42,"&lt;&gt;0"),4)</f>
        <v>4.1999999999999997E-3</v>
      </c>
      <c r="AA26" s="2894">
        <f t="shared" si="46"/>
        <v>3.3999999999999998E-3</v>
      </c>
      <c r="AB26" s="2892">
        <f t="shared" si="46"/>
        <v>8.6E-3</v>
      </c>
      <c r="AC26" s="2895"/>
      <c r="AD26" s="2892">
        <f>AA26</f>
        <v>3.3999999999999998E-3</v>
      </c>
    </row>
    <row r="27" spans="1:30" s="2008" customFormat="1" ht="13.2">
      <c r="B27" s="2024"/>
      <c r="J27" s="2896"/>
      <c r="K27" s="2897"/>
      <c r="L27" s="2898"/>
      <c r="M27" s="2898"/>
      <c r="N27" s="2898"/>
      <c r="O27" s="2898"/>
      <c r="P27" s="2898"/>
      <c r="Q27" s="2896"/>
      <c r="R27" s="2026"/>
      <c r="S27" s="2899"/>
      <c r="T27" s="2900"/>
      <c r="U27" s="2026"/>
      <c r="V27" s="2901"/>
      <c r="W27" s="2026"/>
      <c r="X27" s="2896"/>
      <c r="Y27" s="2027"/>
      <c r="Z27" s="2902"/>
      <c r="AA27" s="2903"/>
      <c r="AB27" s="2027"/>
      <c r="AC27" s="2904"/>
      <c r="AD27" s="2027"/>
    </row>
    <row r="28" spans="1:30" s="2044" customFormat="1" ht="13.2">
      <c r="A28" s="2039" t="s">
        <v>3377</v>
      </c>
      <c r="B28" s="2030">
        <v>2024</v>
      </c>
      <c r="C28" s="2041">
        <v>3</v>
      </c>
      <c r="D28" s="2006"/>
      <c r="E28" s="2006">
        <v>0</v>
      </c>
      <c r="F28" s="2006">
        <v>0</v>
      </c>
      <c r="G28" s="2006">
        <v>0</v>
      </c>
      <c r="H28" s="2006"/>
      <c r="I28" s="2007">
        <f t="shared" ref="I28" si="47">F28</f>
        <v>0</v>
      </c>
      <c r="J28" s="2906"/>
      <c r="K28" s="2042"/>
      <c r="L28" s="2027">
        <f t="shared" ref="L28" si="48">E28/100</f>
        <v>0</v>
      </c>
      <c r="M28" s="2027">
        <f t="shared" ref="M28" si="49">F28/100</f>
        <v>0</v>
      </c>
      <c r="N28" s="2027">
        <f t="shared" ref="N28" si="50">G28/100</f>
        <v>0</v>
      </c>
      <c r="O28" s="2027"/>
      <c r="P28" s="2027">
        <f>M28</f>
        <v>0</v>
      </c>
      <c r="Q28" s="2906"/>
      <c r="R28" s="2026"/>
      <c r="S28" s="2026">
        <f>ROUND(IF(项目基本情况!$B$8="出让",SUMPRODUCT(PRODUCT(1+L28:L$42)),SUMPRODUCT(PRODUCT(1+L28:L$41))),4)</f>
        <v>1.0432999999999999</v>
      </c>
      <c r="T28" s="2026">
        <f>ROUND(IF(项目基本情况!$B$8="出让",SUMPRODUCT(PRODUCT(1+M28:M$42)),SUMPRODUCT(PRODUCT(1+M28:M$41))),4)</f>
        <v>1.0298</v>
      </c>
      <c r="U28" s="2026">
        <f>ROUND(IF(项目基本情况!$B$8="出让",SUMPRODUCT(PRODUCT(1+N28:N$42)),SUMPRODUCT(PRODUCT(1+N28:N$41))),4)</f>
        <v>1.079</v>
      </c>
      <c r="V28" s="2026"/>
      <c r="W28" s="2026">
        <f>T28</f>
        <v>1.0298</v>
      </c>
      <c r="X28" s="2906"/>
      <c r="Y28" s="2027"/>
      <c r="Z28" s="2902">
        <f t="shared" ref="Z28:AB29" si="51">IF(E28=0,0,ROUND(AVERAGE(E28:E41)/100,4))</f>
        <v>0</v>
      </c>
      <c r="AA28" s="2902">
        <f t="shared" si="51"/>
        <v>0</v>
      </c>
      <c r="AB28" s="2902">
        <f t="shared" si="51"/>
        <v>0</v>
      </c>
      <c r="AC28" s="2904"/>
      <c r="AD28" s="2027">
        <f>IF(I28=0,0,ROUND(AVERAGE(I28:I41)/100,4))</f>
        <v>0</v>
      </c>
    </row>
    <row r="29" spans="1:30" s="2916" customFormat="1" ht="13.2">
      <c r="A29" s="2907" t="s">
        <v>3378</v>
      </c>
      <c r="B29" s="2908">
        <v>2024</v>
      </c>
      <c r="C29" s="2909">
        <v>2</v>
      </c>
      <c r="D29" s="2910"/>
      <c r="E29" s="2910">
        <v>-0.31</v>
      </c>
      <c r="F29" s="2910">
        <v>-0.39</v>
      </c>
      <c r="G29" s="2910">
        <v>1.23</v>
      </c>
      <c r="H29" s="2911"/>
      <c r="I29" s="2912">
        <f t="shared" ref="I29:I42" si="52">F29</f>
        <v>-0.39</v>
      </c>
      <c r="J29" s="2913"/>
      <c r="K29" s="2914"/>
      <c r="L29" s="2915">
        <f t="shared" ref="L29:N42" si="53">E29/100</f>
        <v>-3.0999999999999999E-3</v>
      </c>
      <c r="M29" s="2915">
        <f t="shared" si="53"/>
        <v>-3.9000000000000003E-3</v>
      </c>
      <c r="N29" s="2915">
        <f t="shared" si="53"/>
        <v>1.23E-2</v>
      </c>
      <c r="O29" s="2915"/>
      <c r="P29" s="2915">
        <f>M29</f>
        <v>-3.9000000000000003E-3</v>
      </c>
      <c r="Q29" s="2913"/>
      <c r="R29" s="2913"/>
      <c r="S29" s="2913">
        <f>ROUND(IF(项目基本情况!$B$8="出让",SUMPRODUCT(PRODUCT(1+L29:L$42)),SUMPRODUCT(PRODUCT(1+L29:L$41))),4)</f>
        <v>1.0432999999999999</v>
      </c>
      <c r="T29" s="2913">
        <f>ROUND(IF(项目基本情况!$B$8="出让",SUMPRODUCT(PRODUCT(1+M29:M$42)),SUMPRODUCT(PRODUCT(1+M29:M$41))),4)</f>
        <v>1.0298</v>
      </c>
      <c r="U29" s="2913">
        <f>ROUND(IF(项目基本情况!$B$8="出让",SUMPRODUCT(PRODUCT(1+N29:N$42)),SUMPRODUCT(PRODUCT(1+N29:N$41))),4)</f>
        <v>1.079</v>
      </c>
      <c r="V29" s="2913"/>
      <c r="W29" s="2913">
        <f>T29</f>
        <v>1.0298</v>
      </c>
      <c r="X29" s="2913"/>
      <c r="Y29" s="2915"/>
      <c r="Z29" s="2931">
        <f t="shared" si="51"/>
        <v>3.3E-3</v>
      </c>
      <c r="AA29" s="2932">
        <f t="shared" si="51"/>
        <v>2.3999999999999998E-3</v>
      </c>
      <c r="AB29" s="2915">
        <f t="shared" si="51"/>
        <v>6.1999999999999998E-3</v>
      </c>
      <c r="AC29" s="2933"/>
      <c r="AD29" s="2915">
        <f>IF(I29=0,0,ROUND(AVERAGE(I29:I42)/100,4))</f>
        <v>2.3999999999999998E-3</v>
      </c>
    </row>
    <row r="30" spans="1:30" s="2044" customFormat="1" ht="13.2">
      <c r="A30" s="2905" t="s">
        <v>3379</v>
      </c>
      <c r="B30" s="2030">
        <v>2024</v>
      </c>
      <c r="C30" s="2041">
        <v>1</v>
      </c>
      <c r="D30" s="2006"/>
      <c r="E30" s="2006">
        <v>0.25</v>
      </c>
      <c r="F30" s="2006">
        <v>0.4</v>
      </c>
      <c r="G30" s="2006">
        <v>-0.63</v>
      </c>
      <c r="H30" s="2917"/>
      <c r="I30" s="2007">
        <f t="shared" ref="I30:I31" si="54">F30</f>
        <v>0.4</v>
      </c>
      <c r="J30" s="2906"/>
      <c r="K30" s="2042"/>
      <c r="L30" s="2027">
        <f t="shared" ref="L30" si="55">E30/100</f>
        <v>2.5000000000000001E-3</v>
      </c>
      <c r="M30" s="2027">
        <f t="shared" ref="M30" si="56">F30/100</f>
        <v>4.0000000000000001E-3</v>
      </c>
      <c r="N30" s="2027">
        <f t="shared" ref="N30" si="57">G30/100</f>
        <v>-6.3E-3</v>
      </c>
      <c r="O30" s="2027"/>
      <c r="P30" s="2027">
        <f t="shared" ref="P30" si="58">M30</f>
        <v>4.0000000000000001E-3</v>
      </c>
      <c r="Q30" s="2906"/>
      <c r="R30" s="2026"/>
      <c r="S30" s="2026">
        <f>ROUND(IF(项目基本情况!$B$8="出让",SUMPRODUCT(PRODUCT(1+L30:L$42)),SUMPRODUCT(PRODUCT(1+L30:L$41))),4)</f>
        <v>1.0465</v>
      </c>
      <c r="T30" s="2026">
        <f>ROUND(IF(项目基本情况!$B$8="出让",SUMPRODUCT(PRODUCT(1+M30:M$42)),SUMPRODUCT(PRODUCT(1+M30:M$41))),4)</f>
        <v>1.0338000000000001</v>
      </c>
      <c r="U30" s="2026">
        <f>ROUND(IF(项目基本情况!$B$8="出让",SUMPRODUCT(PRODUCT(1+N30:N$42)),SUMPRODUCT(PRODUCT(1+N30:N$41))),4)</f>
        <v>1.0659000000000001</v>
      </c>
      <c r="V30" s="2026"/>
      <c r="W30" s="2026">
        <f t="shared" ref="W30" si="59">T30</f>
        <v>1.0338000000000001</v>
      </c>
      <c r="X30" s="2906"/>
      <c r="Y30" s="2027"/>
      <c r="Z30" s="2902"/>
      <c r="AA30" s="2903"/>
      <c r="AB30" s="2027"/>
      <c r="AC30" s="2904"/>
      <c r="AD30" s="2027"/>
    </row>
    <row r="31" spans="1:30" s="2044" customFormat="1" ht="13.2">
      <c r="A31" s="2905" t="s">
        <v>3376</v>
      </c>
      <c r="B31" s="2030">
        <v>2023</v>
      </c>
      <c r="C31" s="2041">
        <v>4</v>
      </c>
      <c r="D31" s="2006"/>
      <c r="E31" s="2006">
        <v>7.0000000000000007E-2</v>
      </c>
      <c r="F31" s="2006">
        <v>0.09</v>
      </c>
      <c r="G31" s="2006">
        <v>0.03</v>
      </c>
      <c r="H31" s="2917"/>
      <c r="I31" s="2007">
        <f t="shared" si="54"/>
        <v>0.09</v>
      </c>
      <c r="J31" s="2906"/>
      <c r="K31" s="2042"/>
      <c r="L31" s="2027">
        <f t="shared" si="53"/>
        <v>7.000000000000001E-4</v>
      </c>
      <c r="M31" s="2027">
        <f t="shared" si="53"/>
        <v>8.9999999999999998E-4</v>
      </c>
      <c r="N31" s="2027">
        <f t="shared" si="53"/>
        <v>2.9999999999999997E-4</v>
      </c>
      <c r="O31" s="2027"/>
      <c r="P31" s="2027">
        <f t="shared" ref="P31" si="60">M31</f>
        <v>8.9999999999999998E-4</v>
      </c>
      <c r="Q31" s="2906"/>
      <c r="R31" s="2026"/>
      <c r="S31" s="2026">
        <f>ROUND(IF(项目基本情况!$B$8="出让",SUMPRODUCT(PRODUCT(1+L31:L$42)),SUMPRODUCT(PRODUCT(1+L31:L$41))),4)</f>
        <v>1.0439000000000001</v>
      </c>
      <c r="T31" s="2026">
        <f>ROUND(IF(项目基本情况!$B$8="出让",SUMPRODUCT(PRODUCT(1+M31:M$42)),SUMPRODUCT(PRODUCT(1+M31:M$41))),4)</f>
        <v>1.0297000000000001</v>
      </c>
      <c r="U31" s="2026">
        <f>ROUND(IF(项目基本情况!$B$8="出让",SUMPRODUCT(PRODUCT(1+N31:N$42)),SUMPRODUCT(PRODUCT(1+N31:N$41))),4)</f>
        <v>1.0727</v>
      </c>
      <c r="V31" s="2026"/>
      <c r="W31" s="2026">
        <f t="shared" ref="W31" si="61">T31</f>
        <v>1.0297000000000001</v>
      </c>
      <c r="X31" s="2906"/>
      <c r="Y31" s="2027"/>
      <c r="Z31" s="2902"/>
      <c r="AA31" s="2903"/>
      <c r="AB31" s="2027"/>
      <c r="AC31" s="2904"/>
      <c r="AD31" s="2027"/>
    </row>
    <row r="32" spans="1:30" s="2044" customFormat="1" ht="13.2">
      <c r="A32" s="2905" t="s">
        <v>3374</v>
      </c>
      <c r="B32" s="2030">
        <v>2023</v>
      </c>
      <c r="C32" s="2041">
        <v>3</v>
      </c>
      <c r="D32" s="2006"/>
      <c r="E32" s="2006">
        <v>0.35</v>
      </c>
      <c r="F32" s="2006">
        <v>0.17</v>
      </c>
      <c r="G32" s="2006">
        <v>0.52</v>
      </c>
      <c r="H32" s="2917"/>
      <c r="I32" s="2007">
        <f t="shared" si="52"/>
        <v>0.17</v>
      </c>
      <c r="J32" s="2906"/>
      <c r="K32" s="2042"/>
      <c r="L32" s="2027">
        <f t="shared" ref="L32:L34" si="62">E32/100</f>
        <v>3.4999999999999996E-3</v>
      </c>
      <c r="M32" s="2027">
        <f t="shared" ref="M32:M34" si="63">F32/100</f>
        <v>1.7000000000000001E-3</v>
      </c>
      <c r="N32" s="2027">
        <f t="shared" ref="N32:N34" si="64">G32/100</f>
        <v>5.1999999999999998E-3</v>
      </c>
      <c r="O32" s="2027"/>
      <c r="P32" s="2027">
        <f t="shared" ref="P32:P34" si="65">M32</f>
        <v>1.7000000000000001E-3</v>
      </c>
      <c r="Q32" s="2906"/>
      <c r="R32" s="2026"/>
      <c r="S32" s="2026">
        <f>ROUND(IF(项目基本情况!$B$8="出让",SUMPRODUCT(PRODUCT(1+L32:L$42)),SUMPRODUCT(PRODUCT(1+L32:L$41))),4)</f>
        <v>1.0431999999999999</v>
      </c>
      <c r="T32" s="2026">
        <f>ROUND(IF(项目基本情况!$B$8="出让",SUMPRODUCT(PRODUCT(1+M32:M$42)),SUMPRODUCT(PRODUCT(1+M32:M$41))),4)</f>
        <v>1.0286999999999999</v>
      </c>
      <c r="U32" s="2026">
        <f>ROUND(IF(项目基本情况!$B$8="出让",SUMPRODUCT(PRODUCT(1+N32:N$42)),SUMPRODUCT(PRODUCT(1+N32:N$41))),4)</f>
        <v>1.0723</v>
      </c>
      <c r="V32" s="2026"/>
      <c r="W32" s="2026">
        <f t="shared" ref="W32:W34" si="66">T32</f>
        <v>1.0286999999999999</v>
      </c>
      <c r="X32" s="2906"/>
      <c r="Y32" s="2027"/>
      <c r="Z32" s="2902"/>
      <c r="AA32" s="2903"/>
      <c r="AB32" s="2027"/>
      <c r="AC32" s="2904"/>
      <c r="AD32" s="2027"/>
    </row>
    <row r="33" spans="1:30" s="2044" customFormat="1" ht="13.2">
      <c r="A33" s="2905" t="s">
        <v>3373</v>
      </c>
      <c r="B33" s="2030">
        <v>2023</v>
      </c>
      <c r="C33" s="2041">
        <v>2</v>
      </c>
      <c r="D33" s="2006"/>
      <c r="E33" s="2006">
        <v>0.5</v>
      </c>
      <c r="F33" s="2006">
        <v>0.45</v>
      </c>
      <c r="G33" s="2006">
        <v>0.89</v>
      </c>
      <c r="H33" s="2917"/>
      <c r="I33" s="2007">
        <f t="shared" si="52"/>
        <v>0.45</v>
      </c>
      <c r="J33" s="2906"/>
      <c r="K33" s="2042"/>
      <c r="L33" s="2027">
        <f t="shared" si="62"/>
        <v>5.0000000000000001E-3</v>
      </c>
      <c r="M33" s="2027">
        <f t="shared" si="63"/>
        <v>4.5000000000000005E-3</v>
      </c>
      <c r="N33" s="2027">
        <f t="shared" si="64"/>
        <v>8.8999999999999999E-3</v>
      </c>
      <c r="O33" s="2027"/>
      <c r="P33" s="2027">
        <f t="shared" si="65"/>
        <v>4.5000000000000005E-3</v>
      </c>
      <c r="Q33" s="2906"/>
      <c r="R33" s="2026"/>
      <c r="S33" s="2026">
        <f>ROUND(IF(项目基本情况!$B$8="出让",SUMPRODUCT(PRODUCT(1+L33:L$42)),SUMPRODUCT(PRODUCT(1+L33:L$41))),4)</f>
        <v>1.0396000000000001</v>
      </c>
      <c r="T33" s="2026">
        <f>ROUND(IF(项目基本情况!$B$8="出让",SUMPRODUCT(PRODUCT(1+M33:M$42)),SUMPRODUCT(PRODUCT(1+M33:M$41))),4)</f>
        <v>1.0269999999999999</v>
      </c>
      <c r="U33" s="2026">
        <f>ROUND(IF(项目基本情况!$B$8="出让",SUMPRODUCT(PRODUCT(1+N33:N$42)),SUMPRODUCT(PRODUCT(1+N33:N$41))),4)</f>
        <v>1.0668</v>
      </c>
      <c r="V33" s="2026"/>
      <c r="W33" s="2026">
        <f t="shared" si="66"/>
        <v>1.0269999999999999</v>
      </c>
      <c r="X33" s="2906"/>
      <c r="Y33" s="2027"/>
      <c r="Z33" s="2902"/>
      <c r="AA33" s="2903"/>
      <c r="AB33" s="2027"/>
      <c r="AC33" s="2904"/>
      <c r="AD33" s="2027"/>
    </row>
    <row r="34" spans="1:30" s="2044" customFormat="1" ht="13.2">
      <c r="A34" s="2905" t="s">
        <v>3369</v>
      </c>
      <c r="B34" s="2030">
        <v>2023</v>
      </c>
      <c r="C34" s="2041">
        <v>1</v>
      </c>
      <c r="D34" s="2006"/>
      <c r="E34" s="2006">
        <v>0.55000000000000004</v>
      </c>
      <c r="F34" s="2006">
        <v>0.59</v>
      </c>
      <c r="G34" s="2006">
        <v>0.64</v>
      </c>
      <c r="H34" s="2917"/>
      <c r="I34" s="2007">
        <f t="shared" si="52"/>
        <v>0.59</v>
      </c>
      <c r="J34" s="2906"/>
      <c r="K34" s="2042"/>
      <c r="L34" s="2027">
        <f t="shared" si="62"/>
        <v>5.5000000000000005E-3</v>
      </c>
      <c r="M34" s="2027">
        <f t="shared" si="63"/>
        <v>5.8999999999999999E-3</v>
      </c>
      <c r="N34" s="2027">
        <f t="shared" si="64"/>
        <v>6.4000000000000003E-3</v>
      </c>
      <c r="O34" s="2027"/>
      <c r="P34" s="2027">
        <f t="shared" si="65"/>
        <v>5.8999999999999999E-3</v>
      </c>
      <c r="Q34" s="2906"/>
      <c r="R34" s="2026"/>
      <c r="S34" s="2026">
        <f>ROUND(IF(项目基本情况!$B$8="出让",SUMPRODUCT(PRODUCT(1+L34:L$42)),SUMPRODUCT(PRODUCT(1+L34:L$41))),4)</f>
        <v>1.0344</v>
      </c>
      <c r="T34" s="2026">
        <f>ROUND(IF(项目基本情况!$B$8="出让",SUMPRODUCT(PRODUCT(1+M34:M$42)),SUMPRODUCT(PRODUCT(1+M34:M$41))),4)</f>
        <v>1.0224</v>
      </c>
      <c r="U34" s="2026">
        <f>ROUND(IF(项目基本情况!$B$8="出让",SUMPRODUCT(PRODUCT(1+N34:N$42)),SUMPRODUCT(PRODUCT(1+N34:N$41))),4)</f>
        <v>1.0573999999999999</v>
      </c>
      <c r="V34" s="2026"/>
      <c r="W34" s="2026">
        <f t="shared" si="66"/>
        <v>1.0224</v>
      </c>
      <c r="X34" s="2906"/>
      <c r="Y34" s="2027"/>
      <c r="Z34" s="2902"/>
      <c r="AA34" s="2903"/>
      <c r="AB34" s="2027"/>
      <c r="AC34" s="2904"/>
      <c r="AD34" s="2027"/>
    </row>
    <row r="35" spans="1:30" s="2044" customFormat="1" ht="13.2">
      <c r="A35" s="2905" t="s">
        <v>3368</v>
      </c>
      <c r="B35" s="2030">
        <v>2022</v>
      </c>
      <c r="C35" s="2041">
        <v>4</v>
      </c>
      <c r="D35" s="2006"/>
      <c r="E35" s="2006">
        <v>0.45</v>
      </c>
      <c r="F35" s="2006">
        <v>0.2</v>
      </c>
      <c r="G35" s="2006">
        <v>0.38</v>
      </c>
      <c r="H35" s="2917"/>
      <c r="I35" s="2007">
        <f t="shared" si="52"/>
        <v>0.2</v>
      </c>
      <c r="J35" s="2906"/>
      <c r="K35" s="2042"/>
      <c r="L35" s="2027">
        <f t="shared" si="53"/>
        <v>4.5000000000000005E-3</v>
      </c>
      <c r="M35" s="2027">
        <f t="shared" si="53"/>
        <v>2E-3</v>
      </c>
      <c r="N35" s="2027">
        <f t="shared" si="53"/>
        <v>3.8E-3</v>
      </c>
      <c r="O35" s="2027"/>
      <c r="P35" s="2027">
        <f t="shared" ref="P35:P42" si="67">M35</f>
        <v>2E-3</v>
      </c>
      <c r="Q35" s="2906"/>
      <c r="R35" s="2026"/>
      <c r="S35" s="2026">
        <f>ROUND(IF(项目基本情况!$B$8="出让",SUMPRODUCT(PRODUCT(1+L35:L$42)),SUMPRODUCT(PRODUCT(1+L35:L$41))),4)</f>
        <v>1.0286999999999999</v>
      </c>
      <c r="T35" s="2026">
        <f>ROUND(IF(项目基本情况!$B$8="出让",SUMPRODUCT(PRODUCT(1+M35:M$42)),SUMPRODUCT(PRODUCT(1+M35:M$41))),4)</f>
        <v>1.0164</v>
      </c>
      <c r="U35" s="2026">
        <f>ROUND(IF(项目基本情况!$B$8="出让",SUMPRODUCT(PRODUCT(1+N35:N$42)),SUMPRODUCT(PRODUCT(1+N35:N$41))),4)</f>
        <v>1.0506</v>
      </c>
      <c r="V35" s="2026"/>
      <c r="W35" s="2026">
        <f t="shared" ref="W35:W42" si="68">T35</f>
        <v>1.0164</v>
      </c>
      <c r="X35" s="2906"/>
      <c r="Y35" s="2027"/>
      <c r="Z35" s="2902">
        <f t="shared" ref="Z35:AD42" si="69">IF(E35=0,0,ROUND(AVERAGE(E35:E43)/100,4))</f>
        <v>4.0000000000000001E-3</v>
      </c>
      <c r="AA35" s="2903">
        <f t="shared" si="69"/>
        <v>2.5999999999999999E-3</v>
      </c>
      <c r="AB35" s="2027">
        <f t="shared" si="69"/>
        <v>7.4000000000000003E-3</v>
      </c>
      <c r="AC35" s="2904"/>
      <c r="AD35" s="2027">
        <f t="shared" si="69"/>
        <v>2.5999999999999999E-3</v>
      </c>
    </row>
    <row r="36" spans="1:30" s="2044" customFormat="1" ht="13.2">
      <c r="A36" s="2905" t="s">
        <v>3365</v>
      </c>
      <c r="B36" s="2030">
        <v>2022</v>
      </c>
      <c r="C36" s="2041">
        <v>3</v>
      </c>
      <c r="D36" s="2006"/>
      <c r="E36" s="2006">
        <v>0.3</v>
      </c>
      <c r="F36" s="2006">
        <v>0.28999999999999998</v>
      </c>
      <c r="G36" s="2006">
        <v>0.83</v>
      </c>
      <c r="H36" s="2917"/>
      <c r="I36" s="2007">
        <f t="shared" si="52"/>
        <v>0.28999999999999998</v>
      </c>
      <c r="J36" s="2906"/>
      <c r="K36" s="2042"/>
      <c r="L36" s="2027">
        <f t="shared" si="53"/>
        <v>3.0000000000000001E-3</v>
      </c>
      <c r="M36" s="2027">
        <f t="shared" si="53"/>
        <v>2.8999999999999998E-3</v>
      </c>
      <c r="N36" s="2027">
        <f t="shared" si="53"/>
        <v>8.3000000000000001E-3</v>
      </c>
      <c r="O36" s="2027"/>
      <c r="P36" s="2027">
        <f t="shared" si="67"/>
        <v>2.8999999999999998E-3</v>
      </c>
      <c r="Q36" s="2906"/>
      <c r="R36" s="2026"/>
      <c r="S36" s="2026">
        <f>ROUND(IF(项目基本情况!$B$8="出让",SUMPRODUCT(PRODUCT(1+L36:L$42)),SUMPRODUCT(PRODUCT(1+L36:L$41))),4)</f>
        <v>1.0241</v>
      </c>
      <c r="T36" s="2026">
        <f>ROUND(IF(项目基本情况!$B$8="出让",SUMPRODUCT(PRODUCT(1+M36:M$42)),SUMPRODUCT(PRODUCT(1+M36:M$41))),4)</f>
        <v>1.0144</v>
      </c>
      <c r="U36" s="2026">
        <f>ROUND(IF(项目基本情况!$B$8="出让",SUMPRODUCT(PRODUCT(1+N36:N$42)),SUMPRODUCT(PRODUCT(1+N36:N$41))),4)</f>
        <v>1.0467</v>
      </c>
      <c r="V36" s="2026"/>
      <c r="W36" s="2026">
        <f t="shared" si="68"/>
        <v>1.0144</v>
      </c>
      <c r="X36" s="2906"/>
      <c r="Y36" s="2027"/>
      <c r="Z36" s="2902">
        <f t="shared" si="69"/>
        <v>3.8999999999999998E-3</v>
      </c>
      <c r="AA36" s="2903">
        <f t="shared" si="69"/>
        <v>2.7000000000000001E-3</v>
      </c>
      <c r="AB36" s="2027">
        <f t="shared" si="69"/>
        <v>7.9000000000000008E-3</v>
      </c>
      <c r="AC36" s="2904"/>
      <c r="AD36" s="2027">
        <f t="shared" si="69"/>
        <v>2.7000000000000001E-3</v>
      </c>
    </row>
    <row r="37" spans="1:30" s="2044" customFormat="1" ht="13.2">
      <c r="A37" s="2905" t="s">
        <v>3355</v>
      </c>
      <c r="B37" s="2030">
        <v>2022</v>
      </c>
      <c r="C37" s="2041">
        <v>2</v>
      </c>
      <c r="D37" s="2006"/>
      <c r="E37" s="2006">
        <v>-0.11</v>
      </c>
      <c r="F37" s="2006">
        <v>-0.13</v>
      </c>
      <c r="G37" s="2006">
        <v>0.53</v>
      </c>
      <c r="H37" s="2917"/>
      <c r="I37" s="2007">
        <f t="shared" si="52"/>
        <v>-0.13</v>
      </c>
      <c r="J37" s="2906"/>
      <c r="K37" s="2042"/>
      <c r="L37" s="2027">
        <f t="shared" si="53"/>
        <v>-1.1000000000000001E-3</v>
      </c>
      <c r="M37" s="2027">
        <f t="shared" si="53"/>
        <v>-1.2999999999999999E-3</v>
      </c>
      <c r="N37" s="2027">
        <f t="shared" si="53"/>
        <v>5.3E-3</v>
      </c>
      <c r="O37" s="2027"/>
      <c r="P37" s="2027">
        <f t="shared" si="67"/>
        <v>-1.2999999999999999E-3</v>
      </c>
      <c r="Q37" s="2906"/>
      <c r="R37" s="2026"/>
      <c r="S37" s="2026">
        <f>ROUND(IF(项目基本情况!$B$8="出让",SUMPRODUCT(PRODUCT(1+L37:L$42)),SUMPRODUCT(PRODUCT(1+L37:L$41))),4)</f>
        <v>1.0210999999999999</v>
      </c>
      <c r="T37" s="2026">
        <f>ROUND(IF(项目基本情况!$B$8="出让",SUMPRODUCT(PRODUCT(1+M37:M$42)),SUMPRODUCT(PRODUCT(1+M37:M$41))),4)</f>
        <v>1.0114000000000001</v>
      </c>
      <c r="U37" s="2026">
        <f>ROUND(IF(项目基本情况!$B$8="出让",SUMPRODUCT(PRODUCT(1+N37:N$42)),SUMPRODUCT(PRODUCT(1+N37:N$41))),4)</f>
        <v>1.0381</v>
      </c>
      <c r="V37" s="2026"/>
      <c r="W37" s="2026">
        <f t="shared" si="68"/>
        <v>1.0114000000000001</v>
      </c>
      <c r="X37" s="2906"/>
      <c r="Y37" s="2027"/>
      <c r="Z37" s="2902">
        <f t="shared" si="69"/>
        <v>4.1000000000000003E-3</v>
      </c>
      <c r="AA37" s="2903">
        <f t="shared" si="69"/>
        <v>2.7000000000000001E-3</v>
      </c>
      <c r="AB37" s="2027">
        <f t="shared" si="69"/>
        <v>7.9000000000000008E-3</v>
      </c>
      <c r="AC37" s="2904"/>
      <c r="AD37" s="2027">
        <f t="shared" si="69"/>
        <v>2.7000000000000001E-3</v>
      </c>
    </row>
    <row r="38" spans="1:30" s="2044" customFormat="1" ht="13.2">
      <c r="A38" s="2905" t="s">
        <v>2835</v>
      </c>
      <c r="B38" s="2030">
        <v>2022</v>
      </c>
      <c r="C38" s="2041">
        <v>1</v>
      </c>
      <c r="D38" s="2006"/>
      <c r="E38" s="2006">
        <v>0.6</v>
      </c>
      <c r="F38" s="2006">
        <v>0.45</v>
      </c>
      <c r="G38" s="2006">
        <v>0.53</v>
      </c>
      <c r="H38" s="2917"/>
      <c r="I38" s="2007">
        <f t="shared" si="52"/>
        <v>0.45</v>
      </c>
      <c r="J38" s="2906"/>
      <c r="K38" s="2042"/>
      <c r="L38" s="2027">
        <f t="shared" si="53"/>
        <v>6.0000000000000001E-3</v>
      </c>
      <c r="M38" s="2027">
        <f t="shared" si="53"/>
        <v>4.5000000000000005E-3</v>
      </c>
      <c r="N38" s="2027">
        <f t="shared" si="53"/>
        <v>5.3E-3</v>
      </c>
      <c r="O38" s="2027"/>
      <c r="P38" s="2027">
        <f t="shared" si="67"/>
        <v>4.5000000000000005E-3</v>
      </c>
      <c r="Q38" s="2906"/>
      <c r="R38" s="2026"/>
      <c r="S38" s="2026">
        <f>ROUND(IF(项目基本情况!$B$8="出让",SUMPRODUCT(PRODUCT(1+L38:L$42)),SUMPRODUCT(PRODUCT(1+L38:L$41))),4)</f>
        <v>1.0222</v>
      </c>
      <c r="T38" s="2026">
        <f>ROUND(IF(项目基本情况!$B$8="出让",SUMPRODUCT(PRODUCT(1+M38:M$42)),SUMPRODUCT(PRODUCT(1+M38:M$41))),4)</f>
        <v>1.0127999999999999</v>
      </c>
      <c r="U38" s="2026">
        <f>ROUND(IF(项目基本情况!$B$8="出让",SUMPRODUCT(PRODUCT(1+N38:N$42)),SUMPRODUCT(PRODUCT(1+N38:N$41))),4)</f>
        <v>1.0326</v>
      </c>
      <c r="V38" s="2026"/>
      <c r="W38" s="2026">
        <f t="shared" si="68"/>
        <v>1.0127999999999999</v>
      </c>
      <c r="X38" s="2906"/>
      <c r="Y38" s="2027"/>
      <c r="Z38" s="2902">
        <f t="shared" si="69"/>
        <v>5.1000000000000004E-3</v>
      </c>
      <c r="AA38" s="2903">
        <f t="shared" si="69"/>
        <v>3.5000000000000001E-3</v>
      </c>
      <c r="AB38" s="2027">
        <f t="shared" si="69"/>
        <v>8.3999999999999995E-3</v>
      </c>
      <c r="AC38" s="2904"/>
      <c r="AD38" s="2027">
        <f t="shared" si="69"/>
        <v>3.5000000000000001E-3</v>
      </c>
    </row>
    <row r="39" spans="1:30" s="2044" customFormat="1" ht="13.2">
      <c r="A39" s="2905" t="s">
        <v>2836</v>
      </c>
      <c r="B39" s="2030">
        <v>2021</v>
      </c>
      <c r="C39" s="2041">
        <v>4</v>
      </c>
      <c r="D39" s="2006"/>
      <c r="E39" s="2006">
        <v>0.57999999999999996</v>
      </c>
      <c r="F39" s="2006">
        <v>0.08</v>
      </c>
      <c r="G39" s="2006">
        <v>0.68</v>
      </c>
      <c r="H39" s="2917"/>
      <c r="I39" s="2007">
        <f t="shared" si="52"/>
        <v>0.08</v>
      </c>
      <c r="J39" s="2906"/>
      <c r="K39" s="2042"/>
      <c r="L39" s="2027">
        <f t="shared" si="53"/>
        <v>5.7999999999999996E-3</v>
      </c>
      <c r="M39" s="2027">
        <f t="shared" si="53"/>
        <v>8.0000000000000004E-4</v>
      </c>
      <c r="N39" s="2027">
        <f t="shared" si="53"/>
        <v>6.8000000000000005E-3</v>
      </c>
      <c r="O39" s="2027"/>
      <c r="P39" s="2027">
        <f t="shared" si="67"/>
        <v>8.0000000000000004E-4</v>
      </c>
      <c r="Q39" s="2906"/>
      <c r="R39" s="2026"/>
      <c r="S39" s="2026">
        <f>ROUND(IF(项目基本情况!$B$8="出让",SUMPRODUCT(PRODUCT(1+L39:L$42)),SUMPRODUCT(PRODUCT(1+L39:L$41))),4)</f>
        <v>1.0161</v>
      </c>
      <c r="T39" s="2026">
        <f>ROUND(IF(项目基本情况!$B$8="出让",SUMPRODUCT(PRODUCT(1+M39:M$42)),SUMPRODUCT(PRODUCT(1+M39:M$41))),4)</f>
        <v>1.0082</v>
      </c>
      <c r="U39" s="2026">
        <f>ROUND(IF(项目基本情况!$B$8="出让",SUMPRODUCT(PRODUCT(1+N39:N$42)),SUMPRODUCT(PRODUCT(1+N39:N$41))),4)</f>
        <v>1.0270999999999999</v>
      </c>
      <c r="V39" s="2026"/>
      <c r="W39" s="2026">
        <f t="shared" si="68"/>
        <v>1.0082</v>
      </c>
      <c r="X39" s="2906"/>
      <c r="Y39" s="2027"/>
      <c r="Z39" s="2902">
        <f t="shared" si="69"/>
        <v>4.8999999999999998E-3</v>
      </c>
      <c r="AA39" s="2903">
        <f t="shared" si="69"/>
        <v>3.3E-3</v>
      </c>
      <c r="AB39" s="2027">
        <f t="shared" si="69"/>
        <v>9.1999999999999998E-3</v>
      </c>
      <c r="AC39" s="2904"/>
      <c r="AD39" s="2027">
        <f t="shared" si="69"/>
        <v>3.3E-3</v>
      </c>
    </row>
    <row r="40" spans="1:30" s="2044" customFormat="1" ht="13.2">
      <c r="A40" s="2905" t="s">
        <v>2837</v>
      </c>
      <c r="B40" s="2030">
        <v>2021</v>
      </c>
      <c r="C40" s="2041">
        <v>3</v>
      </c>
      <c r="D40" s="2006"/>
      <c r="E40" s="2006">
        <v>0.47</v>
      </c>
      <c r="F40" s="2006">
        <v>0.28000000000000003</v>
      </c>
      <c r="G40" s="2006">
        <v>0.91</v>
      </c>
      <c r="H40" s="2917"/>
      <c r="I40" s="2007">
        <f t="shared" si="52"/>
        <v>0.28000000000000003</v>
      </c>
      <c r="J40" s="2906"/>
      <c r="K40" s="2042"/>
      <c r="L40" s="2027">
        <f t="shared" si="53"/>
        <v>4.6999999999999993E-3</v>
      </c>
      <c r="M40" s="2027">
        <f t="shared" si="53"/>
        <v>2.8000000000000004E-3</v>
      </c>
      <c r="N40" s="2027">
        <f t="shared" si="53"/>
        <v>9.1000000000000004E-3</v>
      </c>
      <c r="O40" s="2027"/>
      <c r="P40" s="2027">
        <f t="shared" si="67"/>
        <v>2.8000000000000004E-3</v>
      </c>
      <c r="Q40" s="2906"/>
      <c r="R40" s="2026"/>
      <c r="S40" s="2026">
        <f>ROUND(IF(项目基本情况!$B$8="出让",SUMPRODUCT(PRODUCT(1+L40:L$42)),SUMPRODUCT(PRODUCT(1+L40:L$41))),4)</f>
        <v>1.0102</v>
      </c>
      <c r="T40" s="2026">
        <f>ROUND(IF(项目基本情况!$B$8="出让",SUMPRODUCT(PRODUCT(1+M40:M$42)),SUMPRODUCT(PRODUCT(1+M40:M$41))),4)</f>
        <v>1.0074000000000001</v>
      </c>
      <c r="U40" s="2026">
        <f>ROUND(IF(项目基本情况!$B$8="出让",SUMPRODUCT(PRODUCT(1+N40:N$42)),SUMPRODUCT(PRODUCT(1+N40:N$41))),4)</f>
        <v>1.0202</v>
      </c>
      <c r="V40" s="2026"/>
      <c r="W40" s="2026">
        <f t="shared" si="68"/>
        <v>1.0074000000000001</v>
      </c>
      <c r="X40" s="2906"/>
      <c r="Y40" s="2027"/>
      <c r="Z40" s="2902">
        <f t="shared" si="69"/>
        <v>4.5999999999999999E-3</v>
      </c>
      <c r="AA40" s="2903">
        <f t="shared" si="69"/>
        <v>4.1000000000000003E-3</v>
      </c>
      <c r="AB40" s="2027">
        <f t="shared" si="69"/>
        <v>0.01</v>
      </c>
      <c r="AC40" s="2904"/>
      <c r="AD40" s="2027">
        <f t="shared" si="69"/>
        <v>4.1000000000000003E-3</v>
      </c>
    </row>
    <row r="41" spans="1:30" s="2044" customFormat="1" ht="13.2">
      <c r="A41" s="2905" t="s">
        <v>2838</v>
      </c>
      <c r="B41" s="2030">
        <v>2021</v>
      </c>
      <c r="C41" s="2041">
        <v>2</v>
      </c>
      <c r="D41" s="2006"/>
      <c r="E41" s="2006">
        <v>0.55000000000000004</v>
      </c>
      <c r="F41" s="2006">
        <v>0.46</v>
      </c>
      <c r="G41" s="2006">
        <v>1.1000000000000001</v>
      </c>
      <c r="H41" s="2917"/>
      <c r="I41" s="2007">
        <f t="shared" si="52"/>
        <v>0.46</v>
      </c>
      <c r="J41" s="2906"/>
      <c r="K41" s="2042"/>
      <c r="L41" s="2027">
        <f t="shared" si="53"/>
        <v>5.5000000000000005E-3</v>
      </c>
      <c r="M41" s="2027">
        <f t="shared" si="53"/>
        <v>4.5999999999999999E-3</v>
      </c>
      <c r="N41" s="2027">
        <f t="shared" si="53"/>
        <v>1.1000000000000001E-2</v>
      </c>
      <c r="O41" s="2027"/>
      <c r="P41" s="2027">
        <f t="shared" si="67"/>
        <v>4.5999999999999999E-3</v>
      </c>
      <c r="Q41" s="2906"/>
      <c r="R41" s="2026"/>
      <c r="S41" s="2026">
        <f>ROUND(IF(项目基本情况!$B$8="出让",SUMPRODUCT(PRODUCT(1+L41:L$42)),SUMPRODUCT(PRODUCT(1+L41:L$41))),4)</f>
        <v>1.0055000000000001</v>
      </c>
      <c r="T41" s="2026">
        <f>ROUND(IF(项目基本情况!$B$8="出让",SUMPRODUCT(PRODUCT(1+M41:M$42)),SUMPRODUCT(PRODUCT(1+M41:M$41))),4)</f>
        <v>1.0045999999999999</v>
      </c>
      <c r="U41" s="2026">
        <f>ROUND(IF(项目基本情况!$B$8="出让",SUMPRODUCT(PRODUCT(1+N41:N$42)),SUMPRODUCT(PRODUCT(1+N41:N$41))),4)</f>
        <v>1.0109999999999999</v>
      </c>
      <c r="V41" s="2026"/>
      <c r="W41" s="2026">
        <f t="shared" si="68"/>
        <v>1.0045999999999999</v>
      </c>
      <c r="X41" s="2906"/>
      <c r="Y41" s="2027"/>
      <c r="Z41" s="2902">
        <f t="shared" si="69"/>
        <v>4.4999999999999997E-3</v>
      </c>
      <c r="AA41" s="2903">
        <f t="shared" si="69"/>
        <v>4.7000000000000002E-3</v>
      </c>
      <c r="AB41" s="2027">
        <f t="shared" si="69"/>
        <v>1.04E-2</v>
      </c>
      <c r="AC41" s="2904"/>
      <c r="AD41" s="2027">
        <f t="shared" si="69"/>
        <v>4.7000000000000002E-3</v>
      </c>
    </row>
    <row r="42" spans="1:30" s="2928" customFormat="1" ht="13.8" thickBot="1">
      <c r="A42" s="2918" t="s">
        <v>2824</v>
      </c>
      <c r="B42" s="2919">
        <v>2021</v>
      </c>
      <c r="C42" s="2920">
        <v>1</v>
      </c>
      <c r="D42" s="2921"/>
      <c r="E42" s="2921">
        <v>0.35</v>
      </c>
      <c r="F42" s="2921">
        <v>0.48</v>
      </c>
      <c r="G42" s="2921">
        <v>0.98</v>
      </c>
      <c r="H42" s="2922"/>
      <c r="I42" s="2923">
        <f t="shared" si="52"/>
        <v>0.48</v>
      </c>
      <c r="J42" s="2924"/>
      <c r="K42" s="2925"/>
      <c r="L42" s="2926">
        <f t="shared" si="53"/>
        <v>3.4999999999999996E-3</v>
      </c>
      <c r="M42" s="2926">
        <f>F42/100</f>
        <v>4.7999999999999996E-3</v>
      </c>
      <c r="N42" s="2926">
        <f t="shared" si="53"/>
        <v>9.7999999999999997E-3</v>
      </c>
      <c r="O42" s="2926"/>
      <c r="P42" s="2926">
        <f t="shared" si="67"/>
        <v>4.7999999999999996E-3</v>
      </c>
      <c r="Q42" s="2924"/>
      <c r="R42" s="2927"/>
      <c r="S42" s="2927">
        <v>1</v>
      </c>
      <c r="T42" s="2927">
        <v>1</v>
      </c>
      <c r="U42" s="2927">
        <v>1</v>
      </c>
      <c r="V42" s="2927"/>
      <c r="W42" s="2927">
        <f t="shared" si="68"/>
        <v>1</v>
      </c>
      <c r="X42" s="2924"/>
      <c r="Y42" s="2926"/>
      <c r="Z42" s="2934">
        <f t="shared" si="69"/>
        <v>3.5000000000000001E-3</v>
      </c>
      <c r="AA42" s="2935">
        <f t="shared" si="69"/>
        <v>4.7999999999999996E-3</v>
      </c>
      <c r="AB42" s="2926">
        <f t="shared" si="69"/>
        <v>9.7999999999999997E-3</v>
      </c>
      <c r="AC42" s="2936"/>
      <c r="AD42" s="2926">
        <f t="shared" si="69"/>
        <v>4.7999999999999996E-3</v>
      </c>
    </row>
    <row r="43" spans="1:30" ht="15" thickTop="1"/>
    <row r="44" spans="1:30">
      <c r="A44" s="3143" t="s">
        <v>3367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503" t="s">
        <v>452</v>
      </c>
      <c r="C1" s="3503"/>
      <c r="D1" s="3503"/>
      <c r="E1" s="3503"/>
      <c r="F1" s="3503"/>
      <c r="G1" s="3499" t="s">
        <v>453</v>
      </c>
      <c r="H1" s="3499"/>
      <c r="I1" s="3499"/>
      <c r="J1" s="3499"/>
      <c r="K1" s="3499"/>
      <c r="L1" s="3499"/>
      <c r="N1" s="3499" t="s">
        <v>454</v>
      </c>
      <c r="O1" s="3499"/>
      <c r="P1" s="3499"/>
      <c r="Q1" s="3499"/>
      <c r="S1" s="3499" t="s">
        <v>455</v>
      </c>
      <c r="T1" s="3499"/>
      <c r="U1" s="3499"/>
      <c r="V1" s="3499"/>
      <c r="X1" s="3498" t="s">
        <v>456</v>
      </c>
      <c r="Y1" s="3499"/>
      <c r="Z1" s="3499"/>
      <c r="AA1" s="3499"/>
      <c r="AB1" s="3499"/>
      <c r="AD1" s="3498" t="s">
        <v>457</v>
      </c>
      <c r="AE1" s="3499"/>
      <c r="AF1" s="3499"/>
      <c r="AG1" s="3499"/>
      <c r="AH1" s="3499"/>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1">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1"/>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1"/>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08"/>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4">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1"/>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1"/>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08"/>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4">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1"/>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1"/>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2"/>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500">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1"/>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1"/>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2"/>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500">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1"/>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1"/>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2"/>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505">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06"/>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06"/>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07"/>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500">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1"/>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1"/>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502"/>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500">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1">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1">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2">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500">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1">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1">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2">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500">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1">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1">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2">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500">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1">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1">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2">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500">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1">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1">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2">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500">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1">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1">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2">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500">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1">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1">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2">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500">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1">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1">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2">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500">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1">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1">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502">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500">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1">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1">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502">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45526</v>
      </c>
      <c r="D1" s="1216" t="s">
        <v>603</v>
      </c>
      <c r="E1" s="1211">
        <f>'数据-取费表'!B22</f>
        <v>2.5</v>
      </c>
      <c r="F1" s="1216" t="s">
        <v>604</v>
      </c>
      <c r="G1" s="1212">
        <f ca="1">INDIRECT("d"&amp;$K$1)/100</f>
        <v>3.3500000000000002E-2</v>
      </c>
      <c r="H1" s="1216" t="s">
        <v>634</v>
      </c>
      <c r="I1" s="1212">
        <f ca="1">F4/100</f>
        <v>1.4999999999999999E-2</v>
      </c>
      <c r="J1" s="1217">
        <f>IF(C1&gt;C13,0,MATCH(C1,C$13:C$113,-1))+IF(SUMIF(C13:C113,C1,D13:D113)=0,13,12)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3.35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3.35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3.35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3.35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3.85</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5">
        <v>45495</v>
      </c>
      <c r="D13" s="1200">
        <v>3.35</v>
      </c>
      <c r="E13" s="1200">
        <f>D13</f>
        <v>3.35</v>
      </c>
      <c r="F13" s="1200">
        <f>D13</f>
        <v>3.35</v>
      </c>
      <c r="G13" s="1200">
        <f>D13</f>
        <v>3.35</v>
      </c>
      <c r="H13" s="1200">
        <v>3.85</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45342</v>
      </c>
      <c r="D14" s="1204">
        <v>3.45</v>
      </c>
      <c r="E14" s="1204">
        <f>D14</f>
        <v>3.45</v>
      </c>
      <c r="F14" s="1204">
        <f>D14</f>
        <v>3.45</v>
      </c>
      <c r="G14" s="1204">
        <f>D14</f>
        <v>3.45</v>
      </c>
      <c r="H14" s="1204">
        <v>3.95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45159</v>
      </c>
      <c r="D15" s="1204">
        <v>3.45</v>
      </c>
      <c r="E15" s="1204">
        <f>D15</f>
        <v>3.45</v>
      </c>
      <c r="F15" s="1204">
        <f>D15</f>
        <v>3.45</v>
      </c>
      <c r="G15" s="1204">
        <f>D15</f>
        <v>3.45</v>
      </c>
      <c r="H15" s="1204">
        <v>4.2</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45097</v>
      </c>
      <c r="D16" s="1204">
        <v>3.55</v>
      </c>
      <c r="E16" s="1204">
        <f>D16</f>
        <v>3.55</v>
      </c>
      <c r="F16" s="1204">
        <f>D16</f>
        <v>3.55</v>
      </c>
      <c r="G16" s="1204">
        <f>D16</f>
        <v>3.55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44795</v>
      </c>
      <c r="D17" s="1204">
        <v>3.65</v>
      </c>
      <c r="E17" s="1204">
        <v>3.65</v>
      </c>
      <c r="F17" s="1204">
        <v>3.65</v>
      </c>
      <c r="G17" s="1204">
        <v>3.65</v>
      </c>
      <c r="H17" s="1204">
        <v>4.3</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44701</v>
      </c>
      <c r="D18" s="1204">
        <v>3.7</v>
      </c>
      <c r="E18" s="1204">
        <f>D18</f>
        <v>3.7</v>
      </c>
      <c r="F18" s="1204">
        <f>D18</f>
        <v>3.7</v>
      </c>
      <c r="G18" s="1204">
        <f>D18</f>
        <v>3.7</v>
      </c>
      <c r="H18" s="1204">
        <v>4.45</v>
      </c>
      <c r="I18" s="1200"/>
      <c r="J18" s="1200"/>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5.6">
      <c r="A19" s="1198"/>
      <c r="B19" s="1199"/>
      <c r="C19" s="1205">
        <v>44581</v>
      </c>
      <c r="D19" s="1204">
        <v>3.7</v>
      </c>
      <c r="E19" s="1204">
        <f>D19</f>
        <v>3.7</v>
      </c>
      <c r="F19" s="1204">
        <f>D19</f>
        <v>3.7</v>
      </c>
      <c r="G19" s="1204">
        <f>D19</f>
        <v>3.7</v>
      </c>
      <c r="H19" s="1204">
        <v>4.5999999999999996</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204"/>
      <c r="C20" s="1205">
        <v>44550</v>
      </c>
      <c r="D20" s="1204">
        <v>3.8</v>
      </c>
      <c r="E20" s="1204">
        <f>D20</f>
        <v>3.8</v>
      </c>
      <c r="F20" s="1204">
        <f>D20</f>
        <v>3.8</v>
      </c>
      <c r="G20" s="1204">
        <f>D20</f>
        <v>3.8</v>
      </c>
      <c r="H20" s="1204">
        <v>4.6500000000000004</v>
      </c>
      <c r="I20" s="1204"/>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43941</v>
      </c>
      <c r="D21" s="1204">
        <v>3.85</v>
      </c>
      <c r="E21" s="1204">
        <v>3.85</v>
      </c>
      <c r="F21" s="1204">
        <v>3.85</v>
      </c>
      <c r="G21" s="1204">
        <v>3.85</v>
      </c>
      <c r="H21" s="1204">
        <v>4.6500000000000004</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43881</v>
      </c>
      <c r="D22" s="1204">
        <v>4.05</v>
      </c>
      <c r="E22" s="1204">
        <v>4.05</v>
      </c>
      <c r="F22" s="1204">
        <v>4.05</v>
      </c>
      <c r="G22" s="1204">
        <v>4.05</v>
      </c>
      <c r="H22" s="1204">
        <v>4.75</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6"/>
      <c r="B23" s="1204"/>
      <c r="C23" s="1205">
        <v>43789</v>
      </c>
      <c r="D23" s="1204">
        <v>4.1500000000000004</v>
      </c>
      <c r="E23" s="1204">
        <v>4.1500000000000004</v>
      </c>
      <c r="F23" s="1204">
        <v>4.1500000000000004</v>
      </c>
      <c r="G23" s="1204">
        <v>4.1500000000000004</v>
      </c>
      <c r="H23" s="1204">
        <v>4.8</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43728</v>
      </c>
      <c r="D24" s="1204">
        <v>4.2</v>
      </c>
      <c r="E24" s="1204">
        <v>4.2</v>
      </c>
      <c r="F24" s="1204">
        <v>4.2</v>
      </c>
      <c r="G24" s="1204">
        <v>4.2</v>
      </c>
      <c r="H24" s="1204">
        <v>4.8499999999999996</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ht="15.6">
      <c r="B25" s="1199" t="s">
        <v>2309</v>
      </c>
      <c r="C25" s="1206">
        <v>43697</v>
      </c>
      <c r="D25" s="2574">
        <v>4.25</v>
      </c>
      <c r="E25" s="2574">
        <v>4.25</v>
      </c>
      <c r="F25" s="2574">
        <v>4.25</v>
      </c>
      <c r="G25" s="2574">
        <v>4.25</v>
      </c>
      <c r="H25" s="2574">
        <v>4.8499999999999996</v>
      </c>
      <c r="I25" s="2574"/>
      <c r="J25" s="257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2577"/>
      <c r="C26" s="2578">
        <v>42301</v>
      </c>
      <c r="D26" s="2579">
        <v>4.3499999999999996</v>
      </c>
      <c r="E26" s="2579">
        <v>4.3499999999999996</v>
      </c>
      <c r="F26" s="2579">
        <v>4.75</v>
      </c>
      <c r="G26" s="2579">
        <v>4.75</v>
      </c>
      <c r="H26" s="2579">
        <v>4.9000000000000004</v>
      </c>
      <c r="I26" s="2579"/>
      <c r="J26" s="2579"/>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42242</v>
      </c>
      <c r="D27" s="1204">
        <v>4.5999999999999996</v>
      </c>
      <c r="E27" s="1204">
        <v>4.5999999999999996</v>
      </c>
      <c r="F27" s="1204">
        <v>5</v>
      </c>
      <c r="G27" s="1204">
        <v>5</v>
      </c>
      <c r="H27" s="1204">
        <v>5.15</v>
      </c>
      <c r="I27" s="1204">
        <v>2.75</v>
      </c>
      <c r="J27" s="1204">
        <v>3.25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42183</v>
      </c>
      <c r="D28" s="1204">
        <v>4.8499999999999996</v>
      </c>
      <c r="E28" s="1204">
        <v>4.8499999999999996</v>
      </c>
      <c r="F28" s="1204">
        <v>5.25</v>
      </c>
      <c r="G28" s="1204">
        <v>5.25</v>
      </c>
      <c r="H28" s="1204">
        <v>5.4</v>
      </c>
      <c r="I28" s="1204">
        <v>3</v>
      </c>
      <c r="J28" s="1204">
        <v>3.5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42135</v>
      </c>
      <c r="D29" s="1204">
        <v>5.0999999999999996</v>
      </c>
      <c r="E29" s="1204">
        <v>5.0999999999999996</v>
      </c>
      <c r="F29" s="1204">
        <v>5.5</v>
      </c>
      <c r="G29" s="1204">
        <v>5.5</v>
      </c>
      <c r="H29" s="1204">
        <v>5.65</v>
      </c>
      <c r="I29" s="1204">
        <v>3.25</v>
      </c>
      <c r="J29" s="1204">
        <v>3.75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42064</v>
      </c>
      <c r="D30" s="1204">
        <v>5.35</v>
      </c>
      <c r="E30" s="1204">
        <v>5.35</v>
      </c>
      <c r="F30" s="1204">
        <v>5.75</v>
      </c>
      <c r="G30" s="1204">
        <v>5.75</v>
      </c>
      <c r="H30" s="1204">
        <v>5.9</v>
      </c>
      <c r="I30" s="1204"/>
      <c r="J30" s="1204"/>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41965</v>
      </c>
      <c r="D31" s="1204">
        <v>5.6</v>
      </c>
      <c r="E31" s="1204">
        <v>5.6</v>
      </c>
      <c r="F31" s="1204">
        <v>6</v>
      </c>
      <c r="G31" s="1204">
        <v>6</v>
      </c>
      <c r="H31" s="1204">
        <v>6.15</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41096</v>
      </c>
      <c r="D32" s="1204">
        <v>5.6</v>
      </c>
      <c r="E32" s="1204">
        <v>6</v>
      </c>
      <c r="F32" s="1204">
        <v>6.15</v>
      </c>
      <c r="G32" s="1204">
        <v>6.4</v>
      </c>
      <c r="H32" s="1204">
        <v>6.55</v>
      </c>
      <c r="I32" s="1204">
        <v>4</v>
      </c>
      <c r="J32" s="1204">
        <v>4.5</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41068</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40731</v>
      </c>
      <c r="D34" s="1204">
        <v>6.1</v>
      </c>
      <c r="E34" s="1204">
        <v>6.56</v>
      </c>
      <c r="F34" s="1204">
        <v>6.65</v>
      </c>
      <c r="G34" s="1204">
        <v>6.9</v>
      </c>
      <c r="H34" s="1204">
        <v>7.05</v>
      </c>
      <c r="I34" s="1204">
        <v>4.45</v>
      </c>
      <c r="J34" s="1204">
        <v>4.9000000000000004</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40639</v>
      </c>
      <c r="D35" s="1204">
        <v>5.85</v>
      </c>
      <c r="E35" s="1204">
        <v>6.31</v>
      </c>
      <c r="F35" s="1204">
        <v>6.4</v>
      </c>
      <c r="G35" s="1204">
        <v>6.65</v>
      </c>
      <c r="H35" s="1204">
        <v>6.8</v>
      </c>
      <c r="I35" s="1204">
        <v>4.2</v>
      </c>
      <c r="J35" s="1204">
        <v>4.7</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40583</v>
      </c>
      <c r="D36" s="1204">
        <v>5.6</v>
      </c>
      <c r="E36" s="1204">
        <v>6.06</v>
      </c>
      <c r="F36" s="1204">
        <v>6.1</v>
      </c>
      <c r="G36" s="1204">
        <v>6.45</v>
      </c>
      <c r="H36" s="1204">
        <v>6.6</v>
      </c>
      <c r="I36" s="1204">
        <v>4</v>
      </c>
      <c r="J36" s="1204">
        <v>4.5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40538</v>
      </c>
      <c r="D37" s="1204">
        <v>5.35</v>
      </c>
      <c r="E37" s="1204">
        <v>5.81</v>
      </c>
      <c r="F37" s="1204">
        <v>5.85</v>
      </c>
      <c r="G37" s="1204">
        <v>6.22</v>
      </c>
      <c r="H37" s="1204">
        <v>6.4</v>
      </c>
      <c r="I37" s="1204">
        <v>3.75</v>
      </c>
      <c r="J37" s="1204">
        <v>4.3</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40471</v>
      </c>
      <c r="D38" s="1204">
        <v>5.0999999999999996</v>
      </c>
      <c r="E38" s="1204">
        <v>5.56</v>
      </c>
      <c r="F38" s="1204">
        <v>5.6</v>
      </c>
      <c r="G38" s="1204">
        <v>5.96</v>
      </c>
      <c r="H38" s="1204">
        <v>6.14</v>
      </c>
      <c r="I38" s="1204">
        <v>3.5</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39805</v>
      </c>
      <c r="D39" s="1204">
        <v>4.8600000000000003</v>
      </c>
      <c r="E39" s="1204">
        <v>5.31</v>
      </c>
      <c r="F39" s="1204">
        <v>5.4</v>
      </c>
      <c r="G39" s="1204">
        <v>5.76</v>
      </c>
      <c r="H39" s="1204">
        <v>5.94</v>
      </c>
      <c r="I39" s="1204">
        <v>3.33</v>
      </c>
      <c r="J39" s="1204">
        <v>3.87</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39779</v>
      </c>
      <c r="D40" s="1204">
        <v>5.04</v>
      </c>
      <c r="E40" s="1204">
        <v>5.58</v>
      </c>
      <c r="F40" s="1204">
        <v>5.67</v>
      </c>
      <c r="G40" s="1204">
        <v>5.94</v>
      </c>
      <c r="H40" s="1204">
        <v>6.12</v>
      </c>
      <c r="I40" s="1204">
        <v>3.51</v>
      </c>
      <c r="J40" s="1204">
        <v>4.05</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39751</v>
      </c>
      <c r="D41" s="1204">
        <v>6.03</v>
      </c>
      <c r="E41" s="1204">
        <v>6.66</v>
      </c>
      <c r="F41" s="1204">
        <v>6.75</v>
      </c>
      <c r="G41" s="1204">
        <v>7.02</v>
      </c>
      <c r="H41" s="1204">
        <v>7.2</v>
      </c>
      <c r="I41" s="1204">
        <v>4.05</v>
      </c>
      <c r="J41" s="1204">
        <v>4.59</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6">
        <v>39748</v>
      </c>
      <c r="D42" s="1204">
        <v>6.12</v>
      </c>
      <c r="E42" s="1204">
        <v>6.93</v>
      </c>
      <c r="F42" s="1204">
        <v>7.02</v>
      </c>
      <c r="G42" s="1204">
        <v>7.29</v>
      </c>
      <c r="H42" s="1204">
        <v>7.47</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39730</v>
      </c>
      <c r="D43" s="1204">
        <v>6.12</v>
      </c>
      <c r="E43" s="1204">
        <v>6.93</v>
      </c>
      <c r="F43" s="1204">
        <v>7.02</v>
      </c>
      <c r="G43" s="1204">
        <v>7.29</v>
      </c>
      <c r="H43" s="1204">
        <v>7.47</v>
      </c>
      <c r="I43" s="1204">
        <v>4.32</v>
      </c>
      <c r="J43" s="1204">
        <v>4.8600000000000003</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39707</v>
      </c>
      <c r="D44" s="1204">
        <v>6.21</v>
      </c>
      <c r="E44" s="1204">
        <v>7.2</v>
      </c>
      <c r="F44" s="1204">
        <v>7.29</v>
      </c>
      <c r="G44" s="1204">
        <v>7.56</v>
      </c>
      <c r="H44" s="1204">
        <v>7.74</v>
      </c>
      <c r="I44" s="1204">
        <v>4.59</v>
      </c>
      <c r="J44" s="1204">
        <v>5.13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39437</v>
      </c>
      <c r="D45" s="1204">
        <v>6.57</v>
      </c>
      <c r="E45" s="1204">
        <v>7.47</v>
      </c>
      <c r="F45" s="1204">
        <v>7.56</v>
      </c>
      <c r="G45" s="1204">
        <v>7.74</v>
      </c>
      <c r="H45" s="1204">
        <v>7.83</v>
      </c>
      <c r="I45" s="1204">
        <v>4.7699999999999996</v>
      </c>
      <c r="J45" s="1204">
        <v>5.22</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39340</v>
      </c>
      <c r="D46" s="1204">
        <v>6.48</v>
      </c>
      <c r="E46" s="1204">
        <v>7.29</v>
      </c>
      <c r="F46" s="1204">
        <v>7.47</v>
      </c>
      <c r="G46" s="1204">
        <v>7.65</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39316</v>
      </c>
      <c r="D47" s="1204">
        <v>6.21</v>
      </c>
      <c r="E47" s="1204">
        <v>7.02</v>
      </c>
      <c r="F47" s="1204">
        <v>7.2</v>
      </c>
      <c r="G47" s="1204">
        <v>7.38</v>
      </c>
      <c r="H47" s="1204">
        <v>7.56</v>
      </c>
      <c r="I47" s="1204">
        <v>4.59</v>
      </c>
      <c r="J47" s="1204">
        <v>5.04</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39284</v>
      </c>
      <c r="D48" s="1204">
        <v>6.03</v>
      </c>
      <c r="E48" s="1204">
        <v>6.84</v>
      </c>
      <c r="F48" s="1204">
        <v>7.02</v>
      </c>
      <c r="G48" s="1204">
        <v>7.2</v>
      </c>
      <c r="H48" s="1204">
        <v>7.38</v>
      </c>
      <c r="I48" s="1204">
        <v>4.5</v>
      </c>
      <c r="J48" s="1204">
        <v>4.95</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39221</v>
      </c>
      <c r="D49" s="1204">
        <v>5.85</v>
      </c>
      <c r="E49" s="1204">
        <v>6.57</v>
      </c>
      <c r="F49" s="1204">
        <v>6.75</v>
      </c>
      <c r="G49" s="1204">
        <v>6.93</v>
      </c>
      <c r="H49" s="1204">
        <v>7.2</v>
      </c>
      <c r="I49" s="1204">
        <v>4.41</v>
      </c>
      <c r="J49" s="1204">
        <v>4.8600000000000003</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39159</v>
      </c>
      <c r="D50" s="1204">
        <v>5.67</v>
      </c>
      <c r="E50" s="1204">
        <v>6.39</v>
      </c>
      <c r="F50" s="1204">
        <v>6.57</v>
      </c>
      <c r="G50" s="1204">
        <v>6.75</v>
      </c>
      <c r="H50" s="1204">
        <v>7.11</v>
      </c>
      <c r="I50" s="1204">
        <v>4.32</v>
      </c>
      <c r="J50" s="1204">
        <v>4.7699999999999996</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38948</v>
      </c>
      <c r="D51" s="1204">
        <v>5.58</v>
      </c>
      <c r="E51" s="1204">
        <v>6.12</v>
      </c>
      <c r="F51" s="1204">
        <v>6.3</v>
      </c>
      <c r="G51" s="1204">
        <v>6.48</v>
      </c>
      <c r="H51" s="1204">
        <v>6.84</v>
      </c>
      <c r="I51" s="1204">
        <v>4.1399999999999997</v>
      </c>
      <c r="J51" s="1204">
        <v>4.59</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38835</v>
      </c>
      <c r="D52" s="1204">
        <v>5.4</v>
      </c>
      <c r="E52" s="1204">
        <v>5.85</v>
      </c>
      <c r="F52" s="1204">
        <v>6.03</v>
      </c>
      <c r="G52" s="1204">
        <v>6.12</v>
      </c>
      <c r="H52" s="1204">
        <v>6.39</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38428</v>
      </c>
      <c r="D53" s="1204">
        <v>5.22</v>
      </c>
      <c r="E53" s="1204">
        <v>5.58</v>
      </c>
      <c r="F53" s="1204">
        <v>5.76</v>
      </c>
      <c r="G53" s="1204">
        <v>5.85</v>
      </c>
      <c r="H53" s="1204">
        <v>6.12</v>
      </c>
      <c r="I53" s="1204">
        <v>3.96</v>
      </c>
      <c r="J53" s="1204">
        <v>4.41</v>
      </c>
      <c r="L53" s="1204"/>
      <c r="M53" s="1205"/>
      <c r="N53" s="1204"/>
      <c r="O53" s="1204"/>
      <c r="P53" s="1204"/>
      <c r="Q53" s="1204"/>
      <c r="R53" s="1204"/>
      <c r="S53" s="1204"/>
      <c r="T53" s="1204"/>
      <c r="U53" s="1204"/>
      <c r="V53" s="1204"/>
      <c r="W53" s="1204"/>
      <c r="X53" s="1204"/>
      <c r="Y53" s="1204"/>
      <c r="Z53" s="1204"/>
    </row>
    <row r="54" spans="2:26">
      <c r="B54" s="1204"/>
      <c r="C54" s="1205">
        <v>38289</v>
      </c>
      <c r="D54" s="1204">
        <v>5.22</v>
      </c>
      <c r="E54" s="1204">
        <v>5.58</v>
      </c>
      <c r="F54" s="1204">
        <v>5.76</v>
      </c>
      <c r="G54" s="1204">
        <v>5.85</v>
      </c>
      <c r="H54" s="1204">
        <v>6.12</v>
      </c>
      <c r="I54" s="1204">
        <v>3.78</v>
      </c>
      <c r="J54" s="1204">
        <v>4.2300000000000004</v>
      </c>
      <c r="L54" s="1204"/>
      <c r="M54" s="1205"/>
      <c r="N54" s="1204"/>
      <c r="O54" s="1204"/>
      <c r="P54" s="1204"/>
      <c r="Q54" s="1204"/>
      <c r="R54" s="1204"/>
      <c r="S54" s="1204"/>
      <c r="T54" s="1204"/>
      <c r="U54" s="1204"/>
      <c r="V54" s="1204"/>
      <c r="W54" s="1204"/>
      <c r="X54" s="1204"/>
      <c r="Y54" s="1204"/>
      <c r="Z54" s="1204"/>
    </row>
    <row r="55" spans="2:26">
      <c r="B55" s="1204"/>
      <c r="C55" s="1205">
        <v>37308</v>
      </c>
      <c r="D55" s="1204">
        <v>5.04</v>
      </c>
      <c r="E55" s="1204">
        <v>5.31</v>
      </c>
      <c r="F55" s="1204">
        <v>5.49</v>
      </c>
      <c r="G55" s="1204">
        <v>5.58</v>
      </c>
      <c r="H55" s="1204">
        <v>5.76</v>
      </c>
      <c r="I55" s="1204">
        <v>3.6</v>
      </c>
      <c r="J55" s="1204">
        <v>4.05</v>
      </c>
      <c r="L55" s="1204"/>
      <c r="M55" s="1205"/>
      <c r="N55" s="1204"/>
      <c r="O55" s="1204"/>
      <c r="P55" s="1204"/>
      <c r="Q55" s="1204"/>
      <c r="R55" s="1204"/>
      <c r="S55" s="1204"/>
      <c r="T55" s="1204"/>
      <c r="U55" s="1204"/>
      <c r="V55" s="1204"/>
      <c r="W55" s="1204"/>
      <c r="X55" s="1204"/>
      <c r="Y55" s="1204"/>
      <c r="Z55" s="1204"/>
    </row>
    <row r="56" spans="2:26">
      <c r="B56" s="1204"/>
      <c r="C56" s="1205">
        <v>36321</v>
      </c>
      <c r="D56" s="1204">
        <v>5.58</v>
      </c>
      <c r="E56" s="1204">
        <v>5.85</v>
      </c>
      <c r="F56" s="1204">
        <v>5.94</v>
      </c>
      <c r="G56" s="1204">
        <v>6.03</v>
      </c>
      <c r="H56" s="1204">
        <v>6.21</v>
      </c>
      <c r="I56" s="1204">
        <v>4.1399999999999997</v>
      </c>
      <c r="J56" s="1204">
        <v>4.59</v>
      </c>
      <c r="L56" s="1204"/>
      <c r="M56" s="1205"/>
      <c r="N56" s="1204"/>
      <c r="O56" s="1204"/>
      <c r="P56" s="1204"/>
      <c r="Q56" s="1204"/>
      <c r="R56" s="1204"/>
      <c r="S56" s="1204"/>
      <c r="T56" s="1204"/>
      <c r="U56" s="1204"/>
      <c r="V56" s="1204"/>
      <c r="W56" s="1204"/>
      <c r="X56" s="1204"/>
      <c r="Y56" s="1204"/>
      <c r="Z56" s="1204"/>
    </row>
    <row r="57" spans="2:26">
      <c r="B57" s="1204"/>
      <c r="C57" s="1205">
        <v>36136</v>
      </c>
      <c r="D57" s="1204">
        <v>6.12</v>
      </c>
      <c r="E57" s="1204">
        <v>6.39</v>
      </c>
      <c r="F57" s="1204">
        <v>6.66</v>
      </c>
      <c r="G57" s="1204">
        <v>7.2</v>
      </c>
      <c r="H57" s="1204">
        <v>7.56</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35977</v>
      </c>
      <c r="D58" s="1204">
        <v>6.57</v>
      </c>
      <c r="E58" s="1204">
        <v>6.93</v>
      </c>
      <c r="F58" s="1204">
        <v>7.11</v>
      </c>
      <c r="G58" s="1204">
        <v>7.65</v>
      </c>
      <c r="H58" s="1204">
        <v>8.01</v>
      </c>
      <c r="I58" s="1204">
        <v>0</v>
      </c>
      <c r="J58" s="1204">
        <v>0</v>
      </c>
    </row>
    <row r="59" spans="2:26">
      <c r="B59" s="1204"/>
      <c r="C59" s="1205">
        <v>35879</v>
      </c>
      <c r="D59" s="1204">
        <v>7.02</v>
      </c>
      <c r="E59" s="1204">
        <v>7.92</v>
      </c>
      <c r="F59" s="1204">
        <v>9</v>
      </c>
      <c r="G59" s="1204">
        <v>9.7200000000000006</v>
      </c>
      <c r="H59" s="1204">
        <v>10.35</v>
      </c>
      <c r="I59" s="1204">
        <v>0</v>
      </c>
      <c r="J59" s="1204">
        <v>0</v>
      </c>
    </row>
    <row r="60" spans="2:26">
      <c r="B60" s="1204"/>
      <c r="C60" s="1205">
        <v>35726</v>
      </c>
      <c r="D60" s="1204">
        <v>7.65</v>
      </c>
      <c r="E60" s="1204">
        <v>8.64</v>
      </c>
      <c r="F60" s="1204">
        <v>9.36</v>
      </c>
      <c r="G60" s="1204">
        <v>9.9</v>
      </c>
      <c r="H60" s="1204">
        <v>10.53</v>
      </c>
      <c r="I60" s="1204">
        <v>0</v>
      </c>
      <c r="J60" s="1204">
        <v>0</v>
      </c>
    </row>
    <row r="61" spans="2:26">
      <c r="B61" s="1204"/>
      <c r="C61" s="1205">
        <v>35300</v>
      </c>
      <c r="D61" s="1204">
        <v>9.18</v>
      </c>
      <c r="E61" s="1204">
        <v>10.08</v>
      </c>
      <c r="F61" s="1204">
        <v>10.98</v>
      </c>
      <c r="G61" s="1204">
        <v>11.7</v>
      </c>
      <c r="H61" s="1204">
        <v>12.42</v>
      </c>
      <c r="I61" s="1204">
        <v>0</v>
      </c>
      <c r="J61" s="1204">
        <v>0</v>
      </c>
    </row>
    <row r="62" spans="2:26">
      <c r="B62" s="1204"/>
      <c r="C62" s="1205">
        <v>35186</v>
      </c>
      <c r="D62" s="1204">
        <v>9.7200000000000006</v>
      </c>
      <c r="E62" s="1204">
        <v>10.98</v>
      </c>
      <c r="F62" s="1204">
        <v>13.14</v>
      </c>
      <c r="G62" s="1204">
        <v>14.94</v>
      </c>
      <c r="H62" s="1204">
        <v>15.12</v>
      </c>
      <c r="I62" s="1204">
        <v>0</v>
      </c>
      <c r="J62" s="1204">
        <v>0</v>
      </c>
    </row>
    <row r="63" spans="2:26">
      <c r="B63" s="1204"/>
      <c r="C63" s="1205">
        <v>34881</v>
      </c>
      <c r="D63" s="1204">
        <v>10.08</v>
      </c>
      <c r="E63" s="1204">
        <v>12.06</v>
      </c>
      <c r="F63" s="1204">
        <v>13.5</v>
      </c>
      <c r="G63" s="1204">
        <v>15.12</v>
      </c>
      <c r="H63" s="1204">
        <v>15.3</v>
      </c>
      <c r="I63" s="1204">
        <v>0</v>
      </c>
      <c r="J63" s="1204">
        <v>0</v>
      </c>
    </row>
    <row r="64" spans="2:26">
      <c r="B64" s="1204"/>
      <c r="C64" s="1205">
        <v>34700</v>
      </c>
      <c r="D64" s="1204">
        <v>9</v>
      </c>
      <c r="E64" s="1204">
        <v>10.98</v>
      </c>
      <c r="F64" s="1204">
        <v>12.96</v>
      </c>
      <c r="G64" s="1204">
        <v>14.58</v>
      </c>
      <c r="H64" s="1204">
        <v>14.76</v>
      </c>
      <c r="I64" s="1204">
        <v>0</v>
      </c>
      <c r="J64" s="1204">
        <v>0</v>
      </c>
    </row>
    <row r="65" spans="2:10">
      <c r="B65" s="1204"/>
      <c r="C65" s="1205">
        <v>34161</v>
      </c>
      <c r="D65" s="1204">
        <v>9</v>
      </c>
      <c r="E65" s="1204">
        <v>10.98</v>
      </c>
      <c r="F65" s="1204">
        <v>12.24</v>
      </c>
      <c r="G65" s="1204">
        <v>13.86</v>
      </c>
      <c r="H65" s="1204">
        <v>14.04</v>
      </c>
      <c r="I65" s="1204">
        <v>0</v>
      </c>
      <c r="J65" s="1204">
        <v>0</v>
      </c>
    </row>
    <row r="66" spans="2:10">
      <c r="B66" s="1204"/>
      <c r="C66" s="1205">
        <v>34104</v>
      </c>
      <c r="D66" s="1204">
        <v>8.82</v>
      </c>
      <c r="E66" s="1204">
        <v>9.36</v>
      </c>
      <c r="F66" s="1204">
        <v>10.8</v>
      </c>
      <c r="G66" s="1204">
        <v>12.06</v>
      </c>
      <c r="H66" s="1204">
        <v>12.24</v>
      </c>
      <c r="I66" s="1204">
        <v>0</v>
      </c>
      <c r="J66" s="1204">
        <v>0</v>
      </c>
    </row>
    <row r="67" spans="2:10">
      <c r="B67" s="1204"/>
      <c r="C67" s="1205">
        <v>33349</v>
      </c>
      <c r="D67" s="1204">
        <v>8.1</v>
      </c>
      <c r="E67" s="1204">
        <v>8.64</v>
      </c>
      <c r="F67" s="1204">
        <v>9</v>
      </c>
      <c r="G67" s="1204">
        <v>9.5399999999999991</v>
      </c>
      <c r="H67" s="1204">
        <v>9.7200000000000006</v>
      </c>
      <c r="I67" s="1204">
        <v>0</v>
      </c>
      <c r="J67" s="1204">
        <v>0</v>
      </c>
    </row>
    <row r="68" spans="2:10">
      <c r="B68" s="1204"/>
      <c r="C68" s="1205">
        <v>33318</v>
      </c>
      <c r="D68" s="1204">
        <v>9</v>
      </c>
      <c r="E68" s="1204">
        <v>10.08</v>
      </c>
      <c r="F68" s="1204">
        <v>10.8</v>
      </c>
      <c r="G68" s="1204">
        <v>11.52</v>
      </c>
      <c r="H68" s="1204">
        <v>11.88</v>
      </c>
      <c r="I68" s="1204" t="s">
        <v>633</v>
      </c>
      <c r="J68" s="1204" t="s">
        <v>633</v>
      </c>
    </row>
    <row r="69" spans="2:10">
      <c r="B69" s="1204"/>
      <c r="C69" s="1205">
        <v>33106</v>
      </c>
      <c r="D69" s="1204">
        <v>8.64</v>
      </c>
      <c r="E69" s="1204">
        <v>9.36</v>
      </c>
      <c r="F69" s="1204">
        <v>10.08</v>
      </c>
      <c r="G69" s="1204">
        <v>10.8</v>
      </c>
      <c r="H69" s="1204">
        <v>11.16</v>
      </c>
      <c r="I69" s="1204">
        <v>0</v>
      </c>
      <c r="J69" s="1204">
        <v>0</v>
      </c>
    </row>
    <row r="70" spans="2:10">
      <c r="B70" s="1204"/>
      <c r="C70" s="1205">
        <v>32540</v>
      </c>
      <c r="D70" s="1204">
        <v>11.34</v>
      </c>
      <c r="E70" s="1204">
        <v>11.34</v>
      </c>
      <c r="F70" s="1204">
        <v>12.78</v>
      </c>
      <c r="G70" s="1204">
        <v>14.4</v>
      </c>
      <c r="H70" s="1204">
        <v>19.260000000000002</v>
      </c>
      <c r="I70" s="1204">
        <v>0</v>
      </c>
      <c r="J70" s="1204">
        <v>0</v>
      </c>
    </row>
    <row r="71" spans="2:10">
      <c r="B71" s="1204"/>
      <c r="C71" s="1205"/>
      <c r="D71" s="1204"/>
      <c r="E71" s="1204"/>
      <c r="F71" s="1204"/>
      <c r="G71" s="1204"/>
      <c r="H71" s="1204"/>
      <c r="I71" s="1204"/>
      <c r="J71" s="1204"/>
    </row>
    <row r="72" spans="2:10">
      <c r="B72" s="1207"/>
      <c r="C72" s="1208"/>
      <c r="D72" s="1207"/>
      <c r="E72" s="1207"/>
      <c r="F72" s="1207"/>
      <c r="G72" s="1207"/>
      <c r="H72" s="1207"/>
      <c r="I72" s="1207"/>
      <c r="J72" s="1207"/>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158"/>
      <c r="C75" s="1158"/>
      <c r="D75" s="1158"/>
      <c r="E75" s="1158"/>
      <c r="F75" s="1158"/>
      <c r="G75" s="1158"/>
      <c r="H75" s="1158"/>
      <c r="I75" s="1158"/>
      <c r="J75" s="1158"/>
    </row>
    <row r="76" spans="2:10">
      <c r="B76" s="1158"/>
      <c r="C76" s="1158"/>
      <c r="D76" s="1158"/>
      <c r="E76" s="1158"/>
      <c r="F76" s="1158"/>
      <c r="G76" s="1158"/>
      <c r="H76" s="1158"/>
      <c r="I76" s="1158"/>
      <c r="J76"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面积取值</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基准地价修正</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2025-01-06T03:22:19Z</dcterms:modified>
</cp:coreProperties>
</file>