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2" yWindow="108" windowWidth="11376" windowHeight="11028" tabRatio="875" firstSheet="11"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基准地价" sheetId="46" r:id="rId42"/>
    <sheet name="Sheet1" sheetId="72" r:id="rId43"/>
  </sheets>
  <externalReferences>
    <externalReference r:id="rId44"/>
    <externalReference r:id="rId45"/>
  </externalReferences>
  <definedNames>
    <definedName name="_xlnm._FilterDatabase" localSheetId="17"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I43" i="40" l="1"/>
  <c r="G43" i="40"/>
  <c r="E43" i="40"/>
  <c r="I36" i="40"/>
  <c r="G36" i="40"/>
  <c r="I9" i="40"/>
  <c r="G9" i="40"/>
  <c r="E9" i="40"/>
  <c r="I7" i="40"/>
  <c r="G7" i="40"/>
  <c r="E7" i="40"/>
  <c r="S3" i="72"/>
  <c r="S4" i="72"/>
  <c r="S5" i="72"/>
  <c r="S6" i="72"/>
  <c r="S2" i="72"/>
  <c r="V1" i="72"/>
  <c r="B5" i="69"/>
  <c r="C36" i="40"/>
  <c r="C13" i="40"/>
  <c r="F1" i="46"/>
  <c r="G84" i="46"/>
  <c r="G85" i="46"/>
  <c r="G86" i="46"/>
  <c r="G87" i="46"/>
  <c r="G88" i="46"/>
  <c r="G89" i="46"/>
  <c r="G90" i="46"/>
  <c r="G83" i="46"/>
  <c r="D33" i="46"/>
  <c r="F19" i="6"/>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N26" i="70"/>
  <c r="L27" i="70"/>
  <c r="M27" i="70"/>
  <c r="P27" i="70" s="1"/>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6"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S7" i="70" l="1"/>
  <c r="S8" i="70"/>
  <c r="S6" i="70"/>
  <c r="U7" i="70"/>
  <c r="U8" i="70"/>
  <c r="U6" i="70"/>
  <c r="P15" i="70"/>
  <c r="S28" i="70"/>
  <c r="S27" i="70"/>
  <c r="S26" i="70"/>
  <c r="U28" i="70"/>
  <c r="U27" i="70"/>
  <c r="U26" i="70"/>
  <c r="K3" i="70"/>
  <c r="R5" i="70"/>
  <c r="P5" i="70"/>
  <c r="T5" i="70"/>
  <c r="W5" i="70" s="1"/>
  <c r="O3" i="70"/>
  <c r="V5" i="70"/>
  <c r="R8" i="70"/>
  <c r="R6" i="70"/>
  <c r="R7" i="70"/>
  <c r="P9" i="70"/>
  <c r="T6" i="70"/>
  <c r="W6" i="70" s="1"/>
  <c r="T7" i="70"/>
  <c r="W7" i="70" s="1"/>
  <c r="T8" i="70"/>
  <c r="W8" i="70" s="1"/>
  <c r="V8" i="70"/>
  <c r="V7" i="70"/>
  <c r="V6" i="70"/>
  <c r="P29" i="70"/>
  <c r="T26" i="70"/>
  <c r="W26" i="70" s="1"/>
  <c r="T27" i="70"/>
  <c r="W27" i="70" s="1"/>
  <c r="T28" i="70"/>
  <c r="W2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N29" i="59"/>
  <c r="D90" i="59"/>
  <c r="F89" i="59"/>
  <c r="F88" i="59" s="1"/>
  <c r="E89" i="59"/>
  <c r="E88" i="59"/>
  <c r="E87" i="59" s="1"/>
  <c r="C89" i="59"/>
  <c r="D89" i="59" s="1"/>
  <c r="B89" i="59"/>
  <c r="B88" i="59" s="1"/>
  <c r="F87" i="59"/>
  <c r="B87" i="59"/>
  <c r="D86" i="59"/>
  <c r="F85" i="59"/>
  <c r="F84" i="59" s="1"/>
  <c r="E85" i="59"/>
  <c r="E84" i="59"/>
  <c r="E83" i="59" s="1"/>
  <c r="C85" i="59"/>
  <c r="D85" i="59" s="1"/>
  <c r="B85" i="59"/>
  <c r="B84" i="59" s="1"/>
  <c r="F83" i="59"/>
  <c r="B83" i="59"/>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N39" i="59"/>
  <c r="Q38" i="59"/>
  <c r="AB38" i="59" s="1"/>
  <c r="P38" i="59"/>
  <c r="AA38" i="59" s="1"/>
  <c r="O38" i="59"/>
  <c r="C39" i="59"/>
  <c r="N38" i="59"/>
  <c r="B39" i="59"/>
  <c r="B40" i="59" s="1"/>
  <c r="B41" i="59" s="1"/>
  <c r="S41" i="59" s="1"/>
  <c r="D38" i="59"/>
  <c r="Q37" i="59"/>
  <c r="P37" i="59"/>
  <c r="AA37" i="59" s="1"/>
  <c r="O37" i="59"/>
  <c r="N37" i="59"/>
  <c r="X37" i="59" s="1"/>
  <c r="Q36" i="59"/>
  <c r="P36" i="59"/>
  <c r="AA36" i="59" s="1"/>
  <c r="O36" i="59"/>
  <c r="Y36" i="59" s="1"/>
  <c r="Z36" i="59" s="1"/>
  <c r="N36" i="59"/>
  <c r="X36" i="59" s="1"/>
  <c r="Q35" i="59"/>
  <c r="AB35" i="59" s="1"/>
  <c r="P35" i="59"/>
  <c r="AA35" i="59" s="1"/>
  <c r="O35" i="59"/>
  <c r="Y35" i="59" s="1"/>
  <c r="Z35" i="59" s="1"/>
  <c r="N35" i="59"/>
  <c r="X35" i="59" s="1"/>
  <c r="Q34" i="59"/>
  <c r="AB34" i="59" s="1"/>
  <c r="F35" i="59"/>
  <c r="P34" i="59"/>
  <c r="E35" i="59"/>
  <c r="E36" i="59" s="1"/>
  <c r="E37" i="59" s="1"/>
  <c r="U37" i="59" s="1"/>
  <c r="O34" i="59"/>
  <c r="Y34" i="59" s="1"/>
  <c r="Z34" i="59" s="1"/>
  <c r="N34" i="59"/>
  <c r="X34" i="59" s="1"/>
  <c r="D34" i="59"/>
  <c r="Q33" i="59"/>
  <c r="AB33" i="59" s="1"/>
  <c r="P33" i="59"/>
  <c r="O33" i="59"/>
  <c r="Y33" i="59" s="1"/>
  <c r="Z33" i="59" s="1"/>
  <c r="N33" i="59"/>
  <c r="Q32" i="59"/>
  <c r="AB32" i="59" s="1"/>
  <c r="P32" i="59"/>
  <c r="AA32" i="59" s="1"/>
  <c r="O32" i="59"/>
  <c r="Y32" i="59" s="1"/>
  <c r="Z32" i="59" s="1"/>
  <c r="N32" i="59"/>
  <c r="Q31" i="59"/>
  <c r="AB31" i="59" s="1"/>
  <c r="P31" i="59"/>
  <c r="AA31" i="59" s="1"/>
  <c r="O31" i="59"/>
  <c r="Y31" i="59" s="1"/>
  <c r="Z31" i="59" s="1"/>
  <c r="N31" i="59"/>
  <c r="X31" i="59" s="1"/>
  <c r="Q30" i="59"/>
  <c r="AB30" i="59" s="1"/>
  <c r="P30" i="59"/>
  <c r="AA30" i="59" s="1"/>
  <c r="O30" i="59"/>
  <c r="C31" i="59"/>
  <c r="N30" i="59"/>
  <c r="X30" i="59" s="1"/>
  <c r="B31" i="59"/>
  <c r="D30" i="59"/>
  <c r="X3" i="59"/>
  <c r="X26" i="59"/>
  <c r="X27" i="59"/>
  <c r="X28" i="59"/>
  <c r="X29" i="59"/>
  <c r="AA26" i="59"/>
  <c r="AA27" i="59"/>
  <c r="AA28" i="59"/>
  <c r="AA29" i="59"/>
  <c r="Y26" i="59"/>
  <c r="Z26" i="59" s="1"/>
  <c r="Y27" i="59"/>
  <c r="Z27" i="59" s="1"/>
  <c r="Y28" i="59"/>
  <c r="Z28" i="59" s="1"/>
  <c r="Y29" i="59"/>
  <c r="Z29" i="59" s="1"/>
  <c r="AB29" i="59"/>
  <c r="AB3" i="59"/>
  <c r="AB26" i="59"/>
  <c r="AB27" i="59"/>
  <c r="AB28" i="59"/>
  <c r="B32" i="59"/>
  <c r="B33" i="59"/>
  <c r="S33" i="59" s="1"/>
  <c r="E31" i="59"/>
  <c r="E32" i="59" s="1"/>
  <c r="E33" i="59" s="1"/>
  <c r="U33" i="59" s="1"/>
  <c r="B52" i="59"/>
  <c r="B53" i="59" s="1"/>
  <c r="S53" i="59" s="1"/>
  <c r="E52" i="59"/>
  <c r="E53" i="59"/>
  <c r="U53" i="59" s="1"/>
  <c r="S69" i="59"/>
  <c r="Z39" i="59"/>
  <c r="AA40" i="59"/>
  <c r="F36" i="59"/>
  <c r="F37" i="59" s="1"/>
  <c r="V37" i="59" s="1"/>
  <c r="F44" i="59"/>
  <c r="F45" i="59" s="1"/>
  <c r="V45" i="59" s="1"/>
  <c r="F56" i="59"/>
  <c r="F57" i="59" s="1"/>
  <c r="V57" i="59" s="1"/>
  <c r="F64" i="59"/>
  <c r="F65" i="59" s="1"/>
  <c r="V65" i="59" s="1"/>
  <c r="C32" i="59"/>
  <c r="D31" i="59"/>
  <c r="C40" i="59"/>
  <c r="D39" i="59"/>
  <c r="C48" i="59"/>
  <c r="D48" i="59"/>
  <c r="D47" i="59"/>
  <c r="C52" i="59"/>
  <c r="C53" i="59" s="1"/>
  <c r="D51" i="59"/>
  <c r="C60" i="59"/>
  <c r="D60" i="59" s="1"/>
  <c r="D59" i="59"/>
  <c r="E67" i="59"/>
  <c r="P66" i="59" s="1"/>
  <c r="N68" i="59"/>
  <c r="B67" i="59"/>
  <c r="N66" i="59" s="1"/>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c r="D72" i="59"/>
  <c r="C71" i="59"/>
  <c r="D71" i="59" s="1"/>
  <c r="C67" i="59"/>
  <c r="O67" i="59" s="1"/>
  <c r="O68" i="59"/>
  <c r="D68" i="59"/>
  <c r="D84" i="59"/>
  <c r="C83" i="59"/>
  <c r="D83" i="59" s="1"/>
  <c r="D76" i="59"/>
  <c r="C75" i="59"/>
  <c r="D75" i="59"/>
  <c r="N67" i="59"/>
  <c r="C61" i="59"/>
  <c r="T61" i="59" s="1"/>
  <c r="D52" i="59"/>
  <c r="C41" i="59"/>
  <c r="D40" i="59"/>
  <c r="C33" i="59"/>
  <c r="D32" i="59"/>
  <c r="D61" i="59"/>
  <c r="T33" i="59"/>
  <c r="D33" i="59"/>
  <c r="T41" i="59"/>
  <c r="D41" i="59"/>
  <c r="D6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s="1"/>
  <c r="F104" i="39" s="1"/>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c r="H120" i="34" s="1"/>
  <c r="I120" i="34" s="1"/>
  <c r="J120" i="34" s="1"/>
  <c r="K120" i="34" s="1"/>
  <c r="L120" i="34" s="1"/>
  <c r="M120" i="34" s="1"/>
  <c r="D90" i="34"/>
  <c r="C15" i="34"/>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2" i="36"/>
  <c r="U26" i="36"/>
  <c r="AC31" i="36"/>
  <c r="J33" i="36"/>
  <c r="W33" i="36" s="1"/>
  <c r="AC27" i="35"/>
  <c r="U31" i="35"/>
  <c r="S34" i="35"/>
  <c r="W24" i="35"/>
  <c r="S31" i="35"/>
  <c r="W31" i="35"/>
  <c r="U34" i="35"/>
  <c r="F36" i="34"/>
  <c r="S36" i="34" s="1"/>
  <c r="S34" i="34"/>
  <c r="W39" i="34"/>
  <c r="H39" i="33"/>
  <c r="AB39" i="33"/>
  <c r="F26" i="33"/>
  <c r="AA26" i="33"/>
  <c r="U9" i="33"/>
  <c r="U33" i="33"/>
  <c r="W38" i="33"/>
  <c r="S40" i="33"/>
  <c r="S33" i="33"/>
  <c r="W33" i="33"/>
  <c r="U38" i="33"/>
  <c r="S8" i="21"/>
  <c r="W8" i="21"/>
  <c r="H39" i="37"/>
  <c r="AB39" i="37" s="1"/>
  <c r="AB27" i="35"/>
  <c r="W10" i="40"/>
  <c r="U11" i="40"/>
  <c r="U36" i="40"/>
  <c r="S40" i="39"/>
  <c r="F11" i="21"/>
  <c r="S11" i="21"/>
  <c r="AC40" i="21"/>
  <c r="AA38" i="21"/>
  <c r="AB36" i="21"/>
  <c r="AC35" i="21"/>
  <c r="C29" i="39"/>
  <c r="C23" i="39"/>
  <c r="U36" i="39"/>
  <c r="H32" i="33"/>
  <c r="AB32" i="33" s="1"/>
  <c r="H11" i="21"/>
  <c r="U11" i="21" s="1"/>
  <c r="J11" i="21"/>
  <c r="W11" i="21" s="1"/>
  <c r="F85" i="40"/>
  <c r="G85" i="40" s="1"/>
  <c r="AA12" i="33"/>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9" i="3"/>
  <c r="AZ43" i="3"/>
  <c r="AZ55"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66" i="3"/>
  <c r="AZ74" i="3"/>
  <c r="AZ185" i="3"/>
  <c r="AZ84" i="3"/>
  <c r="AZ90" i="3"/>
  <c r="AZ94" i="3"/>
  <c r="AZ106"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AZ380" i="3" s="1"/>
  <c r="BA381" i="3"/>
  <c r="BL381" i="3"/>
  <c r="G382" i="3"/>
  <c r="G385" i="3"/>
  <c r="AZ154" i="3"/>
  <c r="AZ162" i="3"/>
  <c r="AZ166" i="3"/>
  <c r="AZ174" i="3"/>
  <c r="AZ179" i="3"/>
  <c r="G523" i="3"/>
  <c r="BL297" i="3"/>
  <c r="AZ297" i="3"/>
  <c r="G298" i="3"/>
  <c r="BA300" i="3"/>
  <c r="AZ300" i="3" s="1"/>
  <c r="BL301" i="3"/>
  <c r="AZ301" i="3"/>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BL383" i="3"/>
  <c r="G384" i="3"/>
  <c r="AZ249" i="3"/>
  <c r="AZ253" i="3"/>
  <c r="AZ257" i="3"/>
  <c r="AZ261" i="3"/>
  <c r="AZ265" i="3"/>
  <c r="AZ383" i="3"/>
  <c r="AZ270" i="3"/>
  <c r="AZ274" i="3"/>
  <c r="AZ278" i="3"/>
  <c r="AZ282" i="3"/>
  <c r="AZ286" i="3"/>
  <c r="AZ290" i="3"/>
  <c r="AZ295" i="3"/>
  <c r="AZ303" i="3"/>
  <c r="AZ311" i="3"/>
  <c r="AZ315" i="3"/>
  <c r="AZ339" i="3"/>
  <c r="AZ361" i="3"/>
  <c r="F37" i="46"/>
  <c r="AB16" i="35"/>
  <c r="AB15" i="37"/>
  <c r="AA43" i="21"/>
  <c r="U43" i="21"/>
  <c r="BH5" i="3"/>
  <c r="R16" i="4"/>
  <c r="D3" i="35"/>
  <c r="G4" i="4"/>
  <c r="S37" i="34"/>
  <c r="J16" i="35"/>
  <c r="W16" i="35" s="1"/>
  <c r="U42" i="21"/>
  <c r="AC26" i="36"/>
  <c r="W25" i="35"/>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26" i="21"/>
  <c r="AA33" i="21"/>
  <c r="S33"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BL570" i="3"/>
  <c r="F42" i="21"/>
  <c r="AA42" i="2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32" i="40"/>
  <c r="AA32" i="40" s="1"/>
  <c r="F61" i="46"/>
  <c r="F72" i="46"/>
  <c r="H74" i="46" s="1"/>
  <c r="AZ167" i="3"/>
  <c r="AZ32" i="3"/>
  <c r="AZ48" i="3"/>
  <c r="AZ71" i="3"/>
  <c r="AZ79" i="3"/>
  <c r="AZ99" i="3"/>
  <c r="J13" i="40"/>
  <c r="W13" i="40" s="1"/>
  <c r="AB14" i="40"/>
  <c r="W40" i="40"/>
  <c r="AC14" i="40"/>
  <c r="S33" i="40"/>
  <c r="S47" i="39"/>
  <c r="AB25" i="39"/>
  <c r="U37" i="34"/>
  <c r="AB37" i="34"/>
  <c r="AC41" i="40"/>
  <c r="W41" i="40"/>
  <c r="U41" i="40"/>
  <c r="J23" i="40"/>
  <c r="AC23" i="40" s="1"/>
  <c r="G91" i="40"/>
  <c r="F23" i="40"/>
  <c r="S23" i="40" s="1"/>
  <c r="AC15" i="40"/>
  <c r="W15" i="40"/>
  <c r="W27" i="39"/>
  <c r="S23"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s="1"/>
  <c r="U47" i="39"/>
  <c r="W15" i="39"/>
  <c r="J37" i="34"/>
  <c r="AC37" i="34" s="1"/>
  <c r="J36" i="33"/>
  <c r="W36" i="33" s="1"/>
  <c r="S41" i="40"/>
  <c r="AB23"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s="1"/>
  <c r="H11" i="34"/>
  <c r="AB11" i="34" s="1"/>
  <c r="J35" i="33"/>
  <c r="W35" i="33" s="1"/>
  <c r="S32" i="33"/>
  <c r="AC15" i="33"/>
  <c r="H11" i="33"/>
  <c r="U11" i="33" s="1"/>
  <c r="H10" i="33"/>
  <c r="U10" i="33" s="1"/>
  <c r="J10" i="33"/>
  <c r="W10" i="33" s="1"/>
  <c r="U40" i="21"/>
  <c r="U11" i="37"/>
  <c r="U13" i="39"/>
  <c r="AC16" i="35"/>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J23" i="21"/>
  <c r="W23" i="21" s="1"/>
  <c r="F23" i="21"/>
  <c r="H23" i="21"/>
  <c r="AA17" i="21"/>
  <c r="W17" i="21"/>
  <c r="F15" i="21"/>
  <c r="S15"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AZ16" i="3"/>
  <c r="E4" i="4"/>
  <c r="B21" i="55" s="1"/>
  <c r="B72" i="63" s="1"/>
  <c r="C4" i="4"/>
  <c r="G66" i="36"/>
  <c r="J18" i="36"/>
  <c r="W18" i="36"/>
  <c r="AC18" i="36"/>
  <c r="L20" i="6"/>
  <c r="B20" i="55"/>
  <c r="B70" i="63" s="1"/>
  <c r="C45" i="9"/>
  <c r="B7" i="66" s="1"/>
  <c r="O40" i="9"/>
  <c r="K31" i="9" s="1"/>
  <c r="K32" i="9" s="1"/>
  <c r="N76" i="9"/>
  <c r="C46" i="9"/>
  <c r="K33" i="9"/>
  <c r="K34" i="9" s="1"/>
  <c r="O41" i="9"/>
  <c r="B8" i="66"/>
  <c r="R8" i="54"/>
  <c r="B54" i="63" s="1"/>
  <c r="H61" i="46"/>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C24" i="46"/>
  <c r="M29" i="15"/>
  <c r="F8" i="44"/>
  <c r="N3" i="65"/>
  <c r="M8" i="15"/>
  <c r="J36" i="15"/>
  <c r="I6" i="65"/>
  <c r="F36" i="15"/>
  <c r="F6" i="15"/>
  <c r="E12" i="67"/>
  <c r="F28" i="44"/>
  <c r="B8" i="67"/>
  <c r="M28" i="15"/>
  <c r="F14" i="67"/>
  <c r="F40" i="44"/>
  <c r="J4" i="65"/>
  <c r="B12" i="67"/>
  <c r="M10" i="44"/>
  <c r="J7" i="65"/>
  <c r="F37" i="15"/>
  <c r="M8" i="44"/>
  <c r="M31" i="44"/>
  <c r="F16" i="15"/>
  <c r="F42" i="15"/>
  <c r="N7" i="65"/>
  <c r="E13" i="67"/>
  <c r="J3" i="65"/>
  <c r="I7" i="65"/>
  <c r="M30" i="44"/>
  <c r="M9" i="15"/>
  <c r="M23" i="15"/>
  <c r="F9" i="44"/>
  <c r="F11" i="44"/>
  <c r="F38" i="15"/>
  <c r="M22" i="15"/>
  <c r="N6" i="65"/>
  <c r="L47" i="15"/>
  <c r="F7" i="15"/>
  <c r="M24" i="15"/>
  <c r="M26" i="44"/>
  <c r="B14" i="67"/>
  <c r="M11" i="44"/>
  <c r="N4" i="65"/>
  <c r="F12" i="67"/>
  <c r="F39" i="44"/>
  <c r="N5" i="65"/>
  <c r="E11" i="67"/>
  <c r="M25" i="44"/>
  <c r="M24" i="44"/>
  <c r="B13" i="67"/>
  <c r="E10" i="67"/>
  <c r="F40" i="15"/>
  <c r="F45" i="44"/>
  <c r="F26" i="15"/>
  <c r="E8" i="67"/>
  <c r="F15" i="44"/>
  <c r="J5" i="65"/>
  <c r="J17" i="44"/>
  <c r="F8" i="15"/>
  <c r="M6" i="15"/>
  <c r="L48" i="15"/>
  <c r="I3" i="65"/>
  <c r="I5" i="65"/>
  <c r="F10" i="44"/>
  <c r="F18" i="44"/>
  <c r="L48" i="44"/>
  <c r="J15" i="15"/>
  <c r="F8" i="67"/>
  <c r="B9" i="67"/>
  <c r="M26" i="15"/>
  <c r="B10" i="67"/>
  <c r="I4" i="65"/>
  <c r="F11" i="67"/>
  <c r="F9" i="15"/>
  <c r="F13" i="15"/>
  <c r="F43" i="44"/>
  <c r="E9" i="67"/>
  <c r="F38" i="44"/>
  <c r="F13" i="67"/>
  <c r="M28" i="44"/>
  <c r="L49" i="44"/>
  <c r="F10" i="67"/>
  <c r="E14" i="67"/>
  <c r="B11" i="67"/>
  <c r="J6" i="65"/>
  <c r="F43" i="15"/>
  <c r="F9" i="67"/>
  <c r="F13" i="40" l="1"/>
  <c r="M43" i="9"/>
  <c r="S32" i="40"/>
  <c r="AB13" i="40"/>
  <c r="AC13" i="40"/>
  <c r="P75" i="15"/>
  <c r="M20" i="44"/>
  <c r="G12" i="1"/>
  <c r="C20" i="59"/>
  <c r="T21" i="59"/>
  <c r="D21" i="59"/>
  <c r="F20" i="59"/>
  <c r="F19" i="59" s="1"/>
  <c r="F18" i="59" s="1"/>
  <c r="F17" i="59" s="1"/>
  <c r="V21" i="59"/>
  <c r="S12" i="21"/>
  <c r="AA12" i="21"/>
  <c r="AZ496" i="3"/>
  <c r="AZ504" i="3"/>
  <c r="AZ506" i="3"/>
  <c r="AZ523" i="3"/>
  <c r="AZ537" i="3"/>
  <c r="AZ548" i="3"/>
  <c r="AZ567" i="3"/>
  <c r="AZ526" i="3"/>
  <c r="AZ534" i="3"/>
  <c r="AZ542" i="3"/>
  <c r="E5" i="6"/>
  <c r="D12" i="11" s="1"/>
  <c r="C12" i="11" s="1"/>
  <c r="BF5" i="3"/>
  <c r="B101" i="46"/>
  <c r="B79" i="46"/>
  <c r="J9" i="34"/>
  <c r="H9" i="34"/>
  <c r="F9" i="34"/>
  <c r="J36" i="35"/>
  <c r="S21" i="59"/>
  <c r="AZ552" i="3"/>
  <c r="AZ571" i="3"/>
  <c r="AZ356" i="3"/>
  <c r="AZ345" i="3"/>
  <c r="AZ340" i="3"/>
  <c r="AZ329" i="3"/>
  <c r="AZ324" i="3"/>
  <c r="AZ305" i="3"/>
  <c r="AZ381" i="3"/>
  <c r="AZ372" i="3"/>
  <c r="AZ355" i="3"/>
  <c r="AZ307" i="3"/>
  <c r="U12" i="37"/>
  <c r="AC23" i="37"/>
  <c r="AZ514" i="3"/>
  <c r="AZ524" i="3"/>
  <c r="AZ532" i="3"/>
  <c r="AZ546" i="3"/>
  <c r="AZ543" i="3"/>
  <c r="AZ502" i="3"/>
  <c r="AZ550" i="3"/>
  <c r="AZ556" i="3"/>
  <c r="S45" i="21"/>
  <c r="AA27" i="33"/>
  <c r="W31" i="34"/>
  <c r="AB13" i="21"/>
  <c r="AB40" i="37"/>
  <c r="W46" i="33"/>
  <c r="W35" i="35"/>
  <c r="H5" i="3"/>
  <c r="BA572" i="3"/>
  <c r="AZ572" i="3" s="1"/>
  <c r="BA570" i="3"/>
  <c r="AZ570" i="3" s="1"/>
  <c r="BE5" i="3"/>
  <c r="B99" i="46"/>
  <c r="B76" i="46"/>
  <c r="J12" i="36"/>
  <c r="H12" i="36"/>
  <c r="J23" i="36"/>
  <c r="H23" i="36"/>
  <c r="F23" i="3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B84" i="46"/>
  <c r="B94" i="46"/>
  <c r="A30" i="64"/>
  <c r="A30" i="51"/>
  <c r="B22" i="63" s="1"/>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Z294" i="3" s="1"/>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AZ148" i="3" s="1"/>
  <c r="BA149" i="3"/>
  <c r="AZ149" i="3" s="1"/>
  <c r="BA152" i="3"/>
  <c r="AZ152" i="3" s="1"/>
  <c r="BA158" i="3"/>
  <c r="AZ158" i="3" s="1"/>
  <c r="BL159" i="3"/>
  <c r="BA160" i="3"/>
  <c r="AZ160" i="3" s="1"/>
  <c r="BA164" i="3"/>
  <c r="AZ164" i="3" s="1"/>
  <c r="BA170" i="3"/>
  <c r="AZ170" i="3" s="1"/>
  <c r="BL171" i="3"/>
  <c r="AZ171" i="3" s="1"/>
  <c r="BA172" i="3"/>
  <c r="AZ172" i="3" s="1"/>
  <c r="BL177" i="3"/>
  <c r="AZ177" i="3" s="1"/>
  <c r="BA180" i="3"/>
  <c r="AZ180" i="3" s="1"/>
  <c r="BL183" i="3"/>
  <c r="AZ183" i="3" s="1"/>
  <c r="BL187" i="3"/>
  <c r="AZ187" i="3" s="1"/>
  <c r="BL191" i="3"/>
  <c r="AZ191" i="3" s="1"/>
  <c r="BL195" i="3"/>
  <c r="AZ195" i="3" s="1"/>
  <c r="BL199" i="3"/>
  <c r="AZ199" i="3" s="1"/>
  <c r="AZ240" i="3"/>
  <c r="AZ248" i="3"/>
  <c r="AZ256" i="3"/>
  <c r="AZ264" i="3"/>
  <c r="AZ132" i="3"/>
  <c r="AZ159" i="3"/>
  <c r="AZ204" i="3"/>
  <c r="AZ38" i="3"/>
  <c r="AZ52" i="3"/>
  <c r="AZ73" i="3"/>
  <c r="AZ93" i="3"/>
  <c r="D53" i="59"/>
  <c r="T53" i="59"/>
  <c r="BA203" i="3"/>
  <c r="AZ203" i="3" s="1"/>
  <c r="BL204" i="3"/>
  <c r="BA21" i="3"/>
  <c r="AZ21" i="3" s="1"/>
  <c r="BL22" i="3"/>
  <c r="AZ22" i="3" s="1"/>
  <c r="BL24" i="3"/>
  <c r="AZ24" i="3" s="1"/>
  <c r="BA25" i="3"/>
  <c r="AZ25" i="3" s="1"/>
  <c r="BL26" i="3"/>
  <c r="AZ26" i="3" s="1"/>
  <c r="BA31" i="3"/>
  <c r="AZ31" i="3" s="1"/>
  <c r="BA35" i="3"/>
  <c r="AZ35" i="3" s="1"/>
  <c r="BL36" i="3"/>
  <c r="AZ36" i="3" s="1"/>
  <c r="BA37" i="3"/>
  <c r="AZ37" i="3" s="1"/>
  <c r="BL38" i="3"/>
  <c r="BL40" i="3"/>
  <c r="AZ40" i="3" s="1"/>
  <c r="BA41" i="3"/>
  <c r="AZ41" i="3" s="1"/>
  <c r="BL42" i="3"/>
  <c r="AZ42" i="3" s="1"/>
  <c r="BA47" i="3"/>
  <c r="AZ47" i="3" s="1"/>
  <c r="BA51" i="3"/>
  <c r="AZ51" i="3" s="1"/>
  <c r="BL52" i="3"/>
  <c r="BA53" i="3"/>
  <c r="AZ53" i="3" s="1"/>
  <c r="BL54" i="3"/>
  <c r="BL56" i="3"/>
  <c r="AZ56" i="3" s="1"/>
  <c r="BL59" i="3"/>
  <c r="AZ59" i="3" s="1"/>
  <c r="BA63" i="3"/>
  <c r="AZ63" i="3" s="1"/>
  <c r="BL64" i="3"/>
  <c r="AZ64" i="3" s="1"/>
  <c r="BA65" i="3"/>
  <c r="AZ65" i="3" s="1"/>
  <c r="BL70" i="3"/>
  <c r="AZ70" i="3" s="1"/>
  <c r="BA72" i="3"/>
  <c r="AZ72" i="3" s="1"/>
  <c r="BL73" i="3"/>
  <c r="BA78" i="3"/>
  <c r="AZ78" i="3" s="1"/>
  <c r="BA82" i="3"/>
  <c r="AZ82" i="3" s="1"/>
  <c r="BL83" i="3"/>
  <c r="AZ83" i="3" s="1"/>
  <c r="BA86" i="3"/>
  <c r="AZ86" i="3" s="1"/>
  <c r="BL87" i="3"/>
  <c r="AZ87" i="3" s="1"/>
  <c r="BA88" i="3"/>
  <c r="AZ88" i="3" s="1"/>
  <c r="BL89" i="3"/>
  <c r="AZ89" i="3" s="1"/>
  <c r="BL91" i="3"/>
  <c r="AZ91" i="3" s="1"/>
  <c r="BA92" i="3"/>
  <c r="AZ92" i="3" s="1"/>
  <c r="BL93" i="3"/>
  <c r="BA98" i="3"/>
  <c r="AZ98" i="3" s="1"/>
  <c r="BA102" i="3"/>
  <c r="AZ102" i="3" s="1"/>
  <c r="BL103" i="3"/>
  <c r="AZ103" i="3" s="1"/>
  <c r="BA104" i="3"/>
  <c r="AZ104" i="3" s="1"/>
  <c r="BL105" i="3"/>
  <c r="AZ105" i="3" s="1"/>
  <c r="BL107" i="3"/>
  <c r="AZ107" i="3" s="1"/>
  <c r="BA108" i="3"/>
  <c r="AZ108" i="3" s="1"/>
  <c r="BL109" i="3"/>
  <c r="AZ109" i="3" s="1"/>
  <c r="BA112" i="3"/>
  <c r="AZ112" i="3" s="1"/>
  <c r="D43" i="59"/>
  <c r="C44" i="59"/>
  <c r="C56" i="59"/>
  <c r="D55" i="59"/>
  <c r="C64" i="59"/>
  <c r="D63" i="59"/>
  <c r="O66" i="59"/>
  <c r="P16" i="4"/>
  <c r="AA3" i="59"/>
  <c r="Y30" i="59"/>
  <c r="Z30" i="59" s="1"/>
  <c r="F31" i="59"/>
  <c r="F32" i="59" s="1"/>
  <c r="F33" i="59" s="1"/>
  <c r="V33" i="59" s="1"/>
  <c r="X32" i="59"/>
  <c r="X33" i="59"/>
  <c r="AA33" i="59"/>
  <c r="B35" i="59"/>
  <c r="B36" i="59" s="1"/>
  <c r="B37" i="59" s="1"/>
  <c r="S37" i="59" s="1"/>
  <c r="C35" i="59"/>
  <c r="AA34" i="59"/>
  <c r="AB36" i="59"/>
  <c r="Y37" i="59"/>
  <c r="Z37" i="59" s="1"/>
  <c r="AB37" i="59"/>
  <c r="X38" i="59"/>
  <c r="Y38" i="59"/>
  <c r="Z38" i="59" s="1"/>
  <c r="E39" i="59"/>
  <c r="E40" i="59" s="1"/>
  <c r="E41" i="59" s="1"/>
  <c r="U41" i="59" s="1"/>
  <c r="F39" i="59"/>
  <c r="F40" i="59" s="1"/>
  <c r="F41" i="59" s="1"/>
  <c r="V41" i="59" s="1"/>
  <c r="X39" i="59"/>
  <c r="AA39" i="59"/>
  <c r="Y7" i="59"/>
  <c r="Z7" i="59" s="1"/>
  <c r="Y6" i="59"/>
  <c r="Z6" i="59" s="1"/>
  <c r="Y5" i="59"/>
  <c r="Z5" i="59" s="1"/>
  <c r="Y8" i="59"/>
  <c r="Z8" i="59" s="1"/>
  <c r="Y10" i="59"/>
  <c r="Z10" i="59" s="1"/>
  <c r="Y11" i="59"/>
  <c r="Z11" i="59" s="1"/>
  <c r="Q66" i="59"/>
  <c r="X25" i="59"/>
  <c r="B29" i="59"/>
  <c r="U29" i="59"/>
  <c r="E28" i="59"/>
  <c r="E27" i="59" s="1"/>
  <c r="X24" i="59"/>
  <c r="AB25" i="59"/>
  <c r="Y24" i="59"/>
  <c r="Z24" i="59" s="1"/>
  <c r="AB24" i="59"/>
  <c r="AA22" i="59"/>
  <c r="X22" i="59"/>
  <c r="Y19" i="59"/>
  <c r="Z19" i="59" s="1"/>
  <c r="X19" i="59"/>
  <c r="AA19" i="59"/>
  <c r="X12" i="59"/>
  <c r="AA14" i="59"/>
  <c r="X18" i="59"/>
  <c r="AA18" i="59"/>
  <c r="X6" i="59"/>
  <c r="X5" i="59"/>
  <c r="X7" i="59"/>
  <c r="X8" i="59"/>
  <c r="X10" i="59"/>
  <c r="X11" i="59"/>
  <c r="AA5" i="59"/>
  <c r="AA7" i="59"/>
  <c r="AA6" i="59"/>
  <c r="AA8" i="59"/>
  <c r="AA11" i="59"/>
  <c r="AA10" i="59"/>
  <c r="AB6" i="59"/>
  <c r="AB5" i="59"/>
  <c r="AB7" i="59"/>
  <c r="AB8" i="59"/>
  <c r="AB10" i="59"/>
  <c r="AB11" i="59"/>
  <c r="D29" i="59"/>
  <c r="T29" i="59"/>
  <c r="C28" i="59"/>
  <c r="F28" i="59"/>
  <c r="F27" i="59" s="1"/>
  <c r="V29" i="59"/>
  <c r="Y25" i="59"/>
  <c r="Z25" i="59" s="1"/>
  <c r="AA24" i="59"/>
  <c r="AB19" i="59"/>
  <c r="Y15" i="59"/>
  <c r="Z15" i="59" s="1"/>
  <c r="Y18" i="59"/>
  <c r="Z18" i="59" s="1"/>
  <c r="AB12" i="59"/>
  <c r="AB16" i="59"/>
  <c r="AB18" i="59"/>
  <c r="AA12" i="59"/>
  <c r="X13" i="59"/>
  <c r="X14" i="59"/>
  <c r="X15" i="59"/>
  <c r="AB14" i="59"/>
  <c r="Y13" i="59"/>
  <c r="Z13" i="59" s="1"/>
  <c r="Y14" i="59"/>
  <c r="Z14" i="59" s="1"/>
  <c r="K76" i="9"/>
  <c r="AA16" i="59"/>
  <c r="X17" i="59"/>
  <c r="AA13" i="59"/>
  <c r="AA15" i="59"/>
  <c r="AB13" i="59"/>
  <c r="AB15" i="59"/>
  <c r="Y12" i="59"/>
  <c r="Z12" i="59" s="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E3" i="65"/>
  <c r="C16" i="15"/>
  <c r="C18" i="44"/>
  <c r="S13" i="40" l="1"/>
  <c r="AA13" i="40"/>
  <c r="AP16" i="1"/>
  <c r="F22" i="11" s="1"/>
  <c r="B16" i="59"/>
  <c r="B15" i="59" s="1"/>
  <c r="B14" i="59" s="1"/>
  <c r="B13" i="59" s="1"/>
  <c r="S17" i="59"/>
  <c r="C34" i="44"/>
  <c r="E16" i="59"/>
  <c r="E15" i="59" s="1"/>
  <c r="E14" i="59" s="1"/>
  <c r="E13" i="59" s="1"/>
  <c r="U17" i="59"/>
  <c r="J7" i="33"/>
  <c r="C36" i="59"/>
  <c r="D35" i="59"/>
  <c r="D44" i="59"/>
  <c r="C45" i="59"/>
  <c r="AA23" i="36"/>
  <c r="S23" i="36"/>
  <c r="AC23" i="36"/>
  <c r="W23" i="36"/>
  <c r="AC12" i="36"/>
  <c r="W12" i="36"/>
  <c r="AA9" i="34"/>
  <c r="S9" i="34"/>
  <c r="AC9" i="34"/>
  <c r="W9" i="34"/>
  <c r="F16" i="59"/>
  <c r="F15" i="59" s="1"/>
  <c r="F14" i="59" s="1"/>
  <c r="F13" i="59" s="1"/>
  <c r="V17" i="59"/>
  <c r="D28" i="59"/>
  <c r="C27" i="59"/>
  <c r="D27" i="59" s="1"/>
  <c r="S29" i="59"/>
  <c r="B28" i="59"/>
  <c r="B27" i="59" s="1"/>
  <c r="D64" i="59"/>
  <c r="C65" i="59"/>
  <c r="D56" i="59"/>
  <c r="C57" i="59"/>
  <c r="AB23" i="36"/>
  <c r="U23" i="36"/>
  <c r="AB12" i="36"/>
  <c r="U12" i="36"/>
  <c r="AC36" i="35"/>
  <c r="W36" i="35"/>
  <c r="AB9" i="34"/>
  <c r="U9" i="34"/>
  <c r="C19" i="59"/>
  <c r="D20" i="59"/>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46" i="44"/>
  <c r="AE6" i="1"/>
  <c r="F41" i="15"/>
  <c r="D57" i="59" l="1"/>
  <c r="T57" i="59"/>
  <c r="D65" i="59"/>
  <c r="T65" i="59"/>
  <c r="D45" i="59"/>
  <c r="T45" i="59"/>
  <c r="C18" i="59"/>
  <c r="D19" i="59"/>
  <c r="V13" i="59"/>
  <c r="F12" i="59"/>
  <c r="F11" i="59" s="1"/>
  <c r="D36" i="59"/>
  <c r="C37" i="59"/>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M27" i="15"/>
  <c r="M29" i="44"/>
  <c r="D22" i="12" l="1"/>
  <c r="C22" i="12" s="1"/>
  <c r="C20" i="12" s="1"/>
  <c r="B6" i="66"/>
  <c r="D37" i="59"/>
  <c r="T37" i="59"/>
  <c r="D18" i="59"/>
  <c r="C1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C16" i="59" l="1"/>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D16" i="59" l="1"/>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5" i="15"/>
  <c r="C14" i="15"/>
  <c r="C16" i="44"/>
  <c r="M23" i="44"/>
  <c r="M21" i="15"/>
  <c r="F37"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D14" i="59" l="1"/>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D13" i="59"/>
  <c r="T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D5" i="59"/>
  <c r="T5" i="59"/>
  <c r="M24" i="46"/>
  <c r="B5" i="39"/>
  <c r="B4" i="39"/>
  <c r="B3" i="39"/>
  <c r="C19" i="9"/>
  <c r="L43" i="9" l="1"/>
  <c r="B5" i="40"/>
  <c r="B4" i="40"/>
  <c r="B3" i="40"/>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1" i="9"/>
  <c r="D20" i="9"/>
  <c r="G21" i="9" l="1"/>
  <c r="G20" i="9"/>
  <c r="N43" i="9"/>
  <c r="C32" i="9"/>
  <c r="G22" i="9"/>
  <c r="O38" i="9" l="1"/>
  <c r="C42" i="9"/>
  <c r="C33" i="9"/>
  <c r="O43" i="9"/>
  <c r="D14" i="66" s="1"/>
  <c r="C34" i="9"/>
  <c r="C35" i="9"/>
  <c r="F42" i="9" s="1"/>
  <c r="B5" i="66" l="1"/>
  <c r="E14" i="66"/>
  <c r="F14" i="66"/>
  <c r="M38" i="9"/>
  <c r="K27" i="9" s="1"/>
  <c r="E42" i="9"/>
  <c r="P5" i="54" s="1"/>
  <c r="B46" i="63" s="1"/>
  <c r="N38" i="9"/>
  <c r="K28" i="9" s="1"/>
  <c r="D42" i="9"/>
  <c r="Q5" i="54" s="1"/>
  <c r="B47" i="63" s="1"/>
  <c r="K26" i="9"/>
  <c r="K25" i="9"/>
  <c r="C44" i="9"/>
  <c r="R5" i="54"/>
  <c r="B48" i="63" s="1"/>
  <c r="N68" i="9"/>
  <c r="D63" i="9"/>
  <c r="D5" i="66" l="1"/>
  <c r="C5" i="66"/>
  <c r="N69" i="9"/>
  <c r="D44" i="9"/>
  <c r="O39" i="9"/>
  <c r="E44" i="9"/>
  <c r="F44" i="9"/>
  <c r="D73" i="9"/>
  <c r="N73" i="9" s="1"/>
  <c r="C96" i="9"/>
  <c r="C91" i="9" s="1"/>
  <c r="C103" i="9"/>
  <c r="C90" i="9"/>
  <c r="C111" i="9"/>
  <c r="C104" i="9" s="1"/>
  <c r="C82" i="9"/>
  <c r="C81" i="9" s="1"/>
  <c r="C85" i="9" s="1"/>
  <c r="C86" i="9" s="1"/>
  <c r="D72" i="9" s="1"/>
  <c r="D70" i="9"/>
  <c r="D71" i="9"/>
  <c r="D66" i="9" s="1"/>
  <c r="N72" i="9" s="1"/>
  <c r="C97" i="9" l="1"/>
  <c r="C113" i="9"/>
  <c r="C98" i="9"/>
  <c r="E98" i="9" s="1"/>
  <c r="E99" i="9" s="1"/>
  <c r="K29" i="9"/>
  <c r="K30" i="9" s="1"/>
  <c r="R6" i="54"/>
  <c r="B50" i="63" s="1"/>
  <c r="M87" i="9"/>
  <c r="N87" i="9" s="1"/>
  <c r="M86" i="9"/>
  <c r="N86" i="9" s="1"/>
  <c r="M85" i="9"/>
  <c r="N85" i="9" s="1"/>
  <c r="M84" i="9"/>
  <c r="N84" i="9" s="1"/>
  <c r="M83" i="9"/>
  <c r="N83" i="9" s="1"/>
  <c r="M88" i="9"/>
  <c r="N88" i="9" s="1"/>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<sst xmlns="http://schemas.openxmlformats.org/spreadsheetml/2006/main" count="7397" uniqueCount="3330">
  <si>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</si>
  <si>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</si>
  <si>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</si>
  <si>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</si>
  <si>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</si>
  <si>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</si>
  <si>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</si>
  <si>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</si>
  <si>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</si>
  <si>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</si>
  <si>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</si>
  <si>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</si>
  <si>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</si>
  <si>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</si>
  <si>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</si>
  <si>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</si>
  <si>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</si>
  <si>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</si>
  <si>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</si>
  <si>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</si>
  <si>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</si>
  <si>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</si>
  <si>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</si>
  <si>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</si>
  <si>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</si>
  <si>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</si>
  <si>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</si>
  <si>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</si>
  <si>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</si>
  <si>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</si>
  <si>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</si>
  <si>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</si>
  <si>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</si>
  <si>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</si>
  <si>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</si>
  <si>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</si>
  <si>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</si>
  <si>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</si>
  <si>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</si>
  <si>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</si>
  <si>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</si>
  <si>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</si>
  <si>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</si>
  <si>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</si>
  <si>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</si>
  <si>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</si>
  <si>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</si>
  <si>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</si>
  <si>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</si>
  <si>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</si>
  <si>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</si>
  <si>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</si>
  <si>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</si>
  <si>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</si>
  <si>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</si>
  <si>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</si>
  <si>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</si>
  <si>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</si>
  <si>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</si>
  <si>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</si>
  <si>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</si>
  <si>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</si>
  <si>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</si>
  <si>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</si>
  <si>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</si>
  <si>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</si>
  <si>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</si>
  <si>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</si>
  <si>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</si>
  <si>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</si>
  <si>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</si>
  <si>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</si>
  <si>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</si>
  <si>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</si>
  <si>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</si>
  <si>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</si>
  <si>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</si>
  <si>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</si>
  <si>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</si>
  <si>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</si>
  <si>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</si>
  <si>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</si>
  <si>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</si>
  <si>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</si>
  <si>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</si>
  <si>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</si>
  <si>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</si>
  <si>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</si>
  <si>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</si>
  <si>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</si>
  <si>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</si>
  <si>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</si>
  <si>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</si>
  <si>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</si>
  <si>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</si>
  <si>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</si>
  <si>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</si>
  <si>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</si>
  <si>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</si>
  <si>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</si>
  <si>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</si>
  <si>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</si>
  <si>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</si>
  <si>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</si>
  <si>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</si>
  <si>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</si>
  <si>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</si>
  <si>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</si>
  <si>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</si>
  <si>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</si>
  <si>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</si>
  <si>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</si>
  <si>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</si>
  <si>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</si>
  <si>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</si>
  <si>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</si>
  <si>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</si>
  <si>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</si>
  <si>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</si>
  <si>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</si>
  <si>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</si>
  <si>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</si>
  <si>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</si>
  <si>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</si>
  <si>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</si>
  <si>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</si>
  <si>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</si>
  <si>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</si>
  <si>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</si>
  <si>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</si>
  <si>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</si>
  <si>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</si>
  <si>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</si>
  <si>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</si>
  <si>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</si>
  <si>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</si>
  <si>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</si>
  <si>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</si>
  <si>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</si>
  <si>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</si>
  <si>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</si>
  <si>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</si>
  <si>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</si>
  <si>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</si>
  <si>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</si>
  <si>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</si>
  <si>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</si>
  <si>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</si>
  <si>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</si>
  <si>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</si>
  <si>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</si>
  <si>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</si>
  <si>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</si>
  <si>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</si>
  <si>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</si>
  <si>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</si>
  <si>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</si>
  <si>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</si>
  <si>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</si>
  <si>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</si>
  <si>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</si>
  <si>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</si>
  <si>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</si>
  <si>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</si>
  <si>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</si>
  <si>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</si>
  <si>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</si>
  <si>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</si>
  <si>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</si>
  <si>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</si>
  <si>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</si>
  <si>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</si>
  <si>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</si>
  <si>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</si>
  <si>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</si>
  <si>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</si>
  <si>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</si>
  <si>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</si>
  <si>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</si>
  <si>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</si>
  <si>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</si>
  <si>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</si>
  <si>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</si>
  <si>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</si>
  <si>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</si>
  <si>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</si>
  <si>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</si>
  <si>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</si>
  <si>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</si>
  <si>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</si>
  <si>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</si>
  <si>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</si>
  <si>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</si>
  <si>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</si>
  <si>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</si>
  <si>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</si>
  <si>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</si>
  <si>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</si>
  <si>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</si>
  <si>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</si>
  <si>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</si>
  <si>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</si>
  <si>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</si>
  <si>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</si>
  <si>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</si>
  <si>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</si>
  <si>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</si>
  <si>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</si>
  <si>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</si>
  <si>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</si>
  <si>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</si>
  <si>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</si>
  <si>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</si>
  <si>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</si>
  <si>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</si>
  <si>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</si>
  <si>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</si>
  <si>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</si>
  <si>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</si>
  <si>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</si>
  <si>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</si>
  <si>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</si>
  <si>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</si>
  <si>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</si>
  <si>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</si>
  <si>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</si>
  <si>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</si>
  <si>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</si>
  <si>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</si>
  <si>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</si>
  <si>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</si>
  <si>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</si>
  <si>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</si>
  <si>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</si>
  <si>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</si>
  <si>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</si>
  <si>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</si>
  <si>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</si>
  <si>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</si>
  <si>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</si>
  <si>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</si>
  <si>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</si>
  <si>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</si>
  <si>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</si>
  <si>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</si>
  <si>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</si>
  <si>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</si>
  <si>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</si>
  <si>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</si>
  <si>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</si>
  <si>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</si>
  <si>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</si>
  <si>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</si>
  <si>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</si>
  <si>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</si>
  <si>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</si>
  <si>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</si>
  <si>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</si>
  <si>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</si>
  <si>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</si>
  <si>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</si>
  <si>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</si>
  <si>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</si>
  <si>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</si>
  <si>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</si>
  <si>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</si>
  <si>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</si>
  <si>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</si>
  <si>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</si>
  <si>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</si>
  <si>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</si>
  <si>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</si>
  <si>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</si>
  <si>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</si>
  <si>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</si>
  <si>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</si>
  <si>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</si>
  <si>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</si>
  <si>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</si>
  <si>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</si>
  <si>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</si>
  <si>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</si>
  <si>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</si>
  <si>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</si>
  <si>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</si>
  <si>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</si>
  <si>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</si>
  <si>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</si>
  <si>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</si>
  <si>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</si>
  <si>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</si>
  <si>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</si>
  <si>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</si>
  <si>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</si>
  <si>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</si>
  <si>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</si>
  <si>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</si>
  <si>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</si>
  <si>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</si>
  <si>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</si>
  <si>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</si>
  <si>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</si>
  <si>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</si>
  <si>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</si>
  <si>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</si>
  <si>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</si>
  <si>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</si>
  <si>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</si>
  <si>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</si>
  <si>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</si>
  <si>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</si>
  <si>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</si>
  <si>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</si>
  <si>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</si>
  <si>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</si>
  <si>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</si>
  <si>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</si>
  <si>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</si>
  <si>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</si>
  <si>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</si>
  <si>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</si>
  <si>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</si>
  <si>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</si>
  <si>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</si>
  <si>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</si>
  <si>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</si>
  <si>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</si>
  <si>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</si>
  <si>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</si>
  <si>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</si>
  <si>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</si>
  <si>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</si>
  <si>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</si>
  <si>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</si>
  <si>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</si>
  <si>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</si>
  <si>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</si>
  <si>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</si>
  <si>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</si>
  <si>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</si>
  <si>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</si>
  <si>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</si>
  <si>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</si>
  <si>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</si>
  <si>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</si>
  <si>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</si>
  <si>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</si>
  <si>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</si>
  <si>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</si>
  <si>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</si>
  <si>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</si>
  <si>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</si>
  <si>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</si>
  <si>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</si>
  <si>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</si>
  <si>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</si>
  <si>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</si>
  <si>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</si>
  <si>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</si>
  <si>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</si>
  <si>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</si>
  <si>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</si>
  <si>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</si>
  <si>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</si>
  <si>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</si>
  <si>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</si>
  <si>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</si>
  <si>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</si>
  <si>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</si>
  <si>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</si>
  <si>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</si>
  <si>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</si>
  <si>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</si>
  <si>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</si>
  <si>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</si>
  <si>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</si>
  <si>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</si>
  <si>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</si>
  <si>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</si>
  <si>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</si>
  <si>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</si>
  <si>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</si>
  <si>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</si>
  <si>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</si>
  <si>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</si>
  <si>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</si>
  <si>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</si>
  <si>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</si>
  <si>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</si>
  <si>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</si>
  <si>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</si>
  <si>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</si>
  <si>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</si>
  <si>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</si>
  <si>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</si>
  <si>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</si>
  <si>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</si>
  <si>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</si>
  <si>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</si>
  <si>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</si>
  <si>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</si>
  <si>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</si>
  <si>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</si>
  <si>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</si>
  <si>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</si>
  <si>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</si>
  <si>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</si>
  <si>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</si>
  <si>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</si>
  <si>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</si>
  <si>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</si>
  <si>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</si>
  <si>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</si>
  <si>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</si>
  <si>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</si>
  <si>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</si>
  <si>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</si>
  <si>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</si>
  <si>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</si>
  <si>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</si>
  <si>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</si>
  <si>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</si>
  <si>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</si>
  <si>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</si>
  <si>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</si>
  <si>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</si>
  <si>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</si>
  <si>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</si>
  <si>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</si>
  <si>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</si>
  <si>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</si>
  <si>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</si>
  <si>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</si>
  <si>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</si>
  <si>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</si>
  <si>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</si>
  <si>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</si>
  <si>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</si>
  <si>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</si>
  <si>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</si>
  <si>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</si>
  <si>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</si>
  <si>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</si>
  <si>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</si>
  <si>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</si>
  <si>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</si>
  <si>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</si>
  <si>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</si>
  <si>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</si>
  <si>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</si>
  <si>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</si>
  <si>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</si>
  <si>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</si>
  <si>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</si>
  <si>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</si>
  <si>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</si>
  <si>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</si>
  <si>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</si>
  <si>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</si>
  <si>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</si>
  <si>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</si>
  <si>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</si>
  <si>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</si>
  <si>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</si>
  <si>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</si>
  <si>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</si>
  <si>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</si>
  <si>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</si>
  <si>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</si>
  <si>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</si>
  <si>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</si>
  <si>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</si>
  <si>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</si>
  <si>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</si>
  <si>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</si>
  <si>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</si>
  <si>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</si>
  <si>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</si>
  <si>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</si>
  <si>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</si>
  <si>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</si>
  <si>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</si>
  <si>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</si>
  <si>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</si>
  <si>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</si>
  <si>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</si>
  <si>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</si>
  <si>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</si>
  <si>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</si>
  <si>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</si>
  <si>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</si>
  <si>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</si>
  <si>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</si>
  <si>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</si>
  <si>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</si>
  <si>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</si>
  <si>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</si>
  <si>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</si>
  <si>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</si>
  <si>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</si>
  <si>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</si>
  <si>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</si>
  <si>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</si>
  <si>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</si>
  <si>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</si>
  <si>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</si>
  <si>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</si>
  <si>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</si>
  <si>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</si>
  <si>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</si>
  <si>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</si>
  <si>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</si>
  <si>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</si>
  <si>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</si>
  <si>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</si>
  <si>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</si>
  <si>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</si>
  <si>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</si>
  <si>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</si>
  <si>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</si>
  <si>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</si>
  <si>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</si>
  <si>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</si>
  <si>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</si>
  <si>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</si>
  <si>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</si>
  <si>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</si>
  <si>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</si>
  <si>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</si>
  <si>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</si>
  <si>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</si>
  <si>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</si>
  <si>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</si>
  <si>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</si>
  <si>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</si>
  <si>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</si>
  <si>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</si>
  <si>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</si>
  <si>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</si>
  <si>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</si>
  <si>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</si>
  <si>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</si>
  <si>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</si>
  <si>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</si>
  <si>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</si>
  <si>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</si>
  <si>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</si>
  <si>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</si>
  <si>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</si>
  <si>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</si>
  <si>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</si>
  <si>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</si>
  <si>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</si>
  <si>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</si>
  <si>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</si>
  <si>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</si>
  <si>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</si>
  <si>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</si>
  <si>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</si>
  <si>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</si>
  <si>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</si>
  <si>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</si>
  <si>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</si>
  <si>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</si>
  <si>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</si>
  <si>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</si>
  <si>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</si>
  <si>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</si>
  <si>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</si>
  <si>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</si>
  <si>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</si>
  <si>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</si>
  <si>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</si>
  <si>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</si>
  <si>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</si>
  <si>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</si>
  <si>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</si>
  <si>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</si>
  <si>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</si>
  <si>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</si>
  <si>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</si>
  <si>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</si>
  <si>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</si>
  <si>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</si>
  <si>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</si>
  <si>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</si>
  <si>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</si>
  <si>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</si>
  <si>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</si>
  <si>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</si>
  <si>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</si>
  <si>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</si>
  <si>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</si>
  <si>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</si>
  <si>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</si>
  <si>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</si>
  <si>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</si>
  <si>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</si>
  <si>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</si>
  <si>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</si>
  <si>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</si>
  <si>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</si>
  <si>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</si>
  <si>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</si>
  <si>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</si>
  <si>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</si>
  <si>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</si>
  <si>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</si>
  <si>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</si>
  <si>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</si>
  <si>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</si>
  <si>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</si>
  <si>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</si>
  <si>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</si>
  <si>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</si>
  <si>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</si>
  <si>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</si>
  <si>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</si>
  <si>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</si>
  <si>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</si>
  <si>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</si>
  <si>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</si>
  <si>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</si>
  <si>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</si>
  <si>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</si>
  <si>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</si>
  <si>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</si>
  <si>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</si>
  <si>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</si>
  <si>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</si>
  <si>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</si>
  <si>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</si>
  <si>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</si>
  <si>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</si>
  <si>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</si>
  <si>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</si>
  <si>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</si>
  <si>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</si>
  <si>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</si>
  <si>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</si>
  <si>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</si>
  <si>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</si>
  <si>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</si>
  <si>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</si>
  <si>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</si>
  <si>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</si>
  <si>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</si>
  <si>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</si>
  <si>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</si>
  <si>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</si>
  <si>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</si>
  <si>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</si>
  <si>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</si>
  <si>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</si>
  <si>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</si>
  <si>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</si>
  <si>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</si>
  <si>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</si>
  <si>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</si>
  <si>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</si>
  <si>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</si>
  <si>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</si>
  <si>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</si>
  <si>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</si>
  <si>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</si>
  <si>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</si>
  <si>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</si>
  <si>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</si>
  <si>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</si>
  <si>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</si>
  <si>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</si>
  <si>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</si>
  <si>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</si>
  <si>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</si>
  <si>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</si>
  <si>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</si>
  <si>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</si>
  <si>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</si>
  <si>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</si>
  <si>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</si>
  <si>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</si>
  <si>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</si>
  <si>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</si>
  <si>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</si>
  <si>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</si>
  <si>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</si>
  <si>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</si>
  <si>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</si>
  <si>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</si>
  <si>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</si>
  <si>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</si>
  <si>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</si>
  <si>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</si>
  <si>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</si>
  <si>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</si>
  <si>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</si>
  <si>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</si>
  <si>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</si>
  <si>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</si>
  <si>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</si>
  <si>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</si>
  <si>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</si>
  <si>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</si>
  <si>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</si>
  <si>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</si>
  <si>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</si>
  <si>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</si>
  <si>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</si>
  <si>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</si>
  <si>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</si>
  <si>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</si>
  <si>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</si>
  <si>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</si>
  <si>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</si>
  <si>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</si>
  <si>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</si>
  <si>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</si>
  <si>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</si>
  <si>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</si>
  <si>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</si>
  <si>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</si>
  <si>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</si>
  <si>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</si>
  <si>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</si>
  <si>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</si>
  <si>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</si>
  <si>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</si>
  <si>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</si>
  <si>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</si>
  <si>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</si>
  <si>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</si>
  <si>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</si>
  <si>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</si>
  <si>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</si>
  <si>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</si>
  <si>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</si>
  <si>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</si>
  <si>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</si>
  <si>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</si>
  <si>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</si>
  <si>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</si>
  <si>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</si>
  <si>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</si>
  <si>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</si>
  <si>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</si>
  <si>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</si>
  <si>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</si>
  <si>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</si>
  <si>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</si>
  <si>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</si>
  <si>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</si>
  <si>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</si>
  <si>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</si>
  <si>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</si>
  <si>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</si>
  <si>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</si>
  <si>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</si>
  <si>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</si>
  <si>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</si>
  <si>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</si>
  <si>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</si>
  <si>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</si>
  <si>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</si>
  <si>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</si>
  <si>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</si>
  <si>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</si>
  <si>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</si>
  <si>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</si>
  <si>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</si>
  <si>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</si>
  <si>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</si>
  <si>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</si>
  <si>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</si>
  <si>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</si>
  <si>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</si>
  <si>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</si>
  <si>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</si>
  <si>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</si>
  <si>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</si>
  <si>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</si>
  <si>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</si>
  <si>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</si>
  <si>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</si>
  <si>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</si>
  <si>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</si>
  <si>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</si>
  <si>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</si>
  <si>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</si>
  <si>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</si>
  <si>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</si>
  <si>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</si>
  <si>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</si>
  <si>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</si>
  <si>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</si>
  <si>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</si>
  <si>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</si>
  <si>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</si>
  <si>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</si>
  <si>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</si>
  <si>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</si>
  <si>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</si>
  <si>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</si>
  <si>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</si>
  <si>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</si>
  <si>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</si>
  <si>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</si>
  <si>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</si>
  <si>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</si>
  <si>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</si>
  <si>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</si>
  <si>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</si>
  <si>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</si>
  <si>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</si>
  <si>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</si>
  <si>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</si>
  <si>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</si>
  <si>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</si>
  <si>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</si>
  <si>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</si>
  <si>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</si>
  <si>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</si>
  <si>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</si>
  <si>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</si>
  <si>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</si>
  <si>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</si>
  <si>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</si>
  <si>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</si>
  <si>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</si>
  <si>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</si>
  <si>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</si>
  <si>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</si>
  <si>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</si>
  <si>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</si>
  <si>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</si>
  <si>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</si>
  <si>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</si>
  <si>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</si>
  <si>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</si>
  <si>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</si>
  <si>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</si>
  <si>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</si>
  <si>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</si>
  <si>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</si>
  <si>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</si>
  <si>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</si>
  <si>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</si>
  <si>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</si>
  <si>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</si>
  <si>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</si>
  <si>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</si>
  <si>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</si>
  <si>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</si>
  <si>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</si>
  <si>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</si>
  <si>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</si>
  <si>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</si>
  <si>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</si>
  <si>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</si>
  <si>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</si>
  <si>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</si>
  <si>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</si>
  <si>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</si>
  <si>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</si>
  <si>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</si>
  <si>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</si>
  <si>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</si>
  <si>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</si>
  <si>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</si>
  <si>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</si>
  <si>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</si>
  <si>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</si>
  <si>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</si>
  <si>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</si>
  <si>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</si>
  <si>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</si>
  <si>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</si>
  <si>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</si>
  <si>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</si>
  <si>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</si>
  <si>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</si>
  <si>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</si>
  <si>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</si>
  <si>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</si>
  <si>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</si>
  <si>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</si>
  <si>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</si>
  <si>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</si>
  <si>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</si>
  <si>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</si>
  <si>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</si>
  <si>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</si>
  <si>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</si>
  <si>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</si>
  <si>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</si>
  <si>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</si>
  <si>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</si>
  <si>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</si>
  <si>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</si>
  <si>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</si>
  <si>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</si>
  <si>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</si>
  <si>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</si>
  <si>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</si>
  <si>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</si>
  <si>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</si>
  <si>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</si>
  <si>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</si>
  <si>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</si>
  <si>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</si>
  <si>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</si>
  <si>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</si>
  <si>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</si>
  <si>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</si>
  <si>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</si>
  <si>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</si>
  <si>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</si>
  <si>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</si>
  <si>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</si>
  <si>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</si>
  <si>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</si>
  <si>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</si>
  <si>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</si>
  <si>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</si>
  <si>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</si>
  <si>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</si>
  <si>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</si>
  <si>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</si>
  <si>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</si>
  <si>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</si>
  <si>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</si>
  <si>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</si>
  <si>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</si>
  <si>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</si>
  <si>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</si>
  <si>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</si>
  <si>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</si>
  <si>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</si>
  <si>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</si>
  <si>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</si>
  <si>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</si>
  <si>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</si>
  <si>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</si>
  <si>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</si>
  <si>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</si>
  <si>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</si>
  <si>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</si>
  <si>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</si>
  <si>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</si>
  <si>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</si>
  <si>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</si>
  <si>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</si>
  <si>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</si>
  <si>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</si>
  <si>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</si>
  <si>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</si>
  <si>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</si>
  <si>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</si>
  <si>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</si>
  <si>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</si>
  <si>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</si>
  <si>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</si>
  <si>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</si>
  <si>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</si>
  <si>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</si>
  <si>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</si>
  <si>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</si>
  <si>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</si>
  <si>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</si>
  <si>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</si>
  <si>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</si>
  <si>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</si>
  <si>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</si>
  <si>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</si>
  <si>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</si>
  <si>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</si>
  <si>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</si>
  <si>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</si>
  <si>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</si>
  <si>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</si>
  <si>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</si>
  <si>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</si>
  <si>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</si>
  <si>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</si>
  <si>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</si>
  <si>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</si>
  <si>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</si>
  <si>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</si>
  <si>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</si>
  <si>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</si>
  <si>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</si>
  <si>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</si>
  <si>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</si>
  <si>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</si>
  <si>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</si>
  <si>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</si>
  <si>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</si>
  <si>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</si>
  <si>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</si>
  <si>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</si>
  <si>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</si>
  <si>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</si>
  <si>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</si>
  <si>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</si>
  <si>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</si>
  <si>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</si>
  <si>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</si>
  <si>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</si>
  <si>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</si>
  <si>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</si>
  <si>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</si>
  <si>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</si>
  <si>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</si>
  <si>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</si>
  <si>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</si>
  <si>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</si>
  <si>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</si>
  <si>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</si>
  <si>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</si>
  <si>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</si>
  <si>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</si>
  <si>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</si>
  <si>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</si>
  <si>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</si>
  <si>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</si>
  <si>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</si>
  <si>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</si>
  <si>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</si>
  <si>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</si>
  <si>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</si>
  <si>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</si>
  <si>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</si>
  <si>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</si>
  <si>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</si>
  <si>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</si>
  <si>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</si>
  <si>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</si>
  <si>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</si>
  <si>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</si>
  <si>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</si>
  <si>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</si>
  <si>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</si>
  <si>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</si>
  <si>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</si>
  <si>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</si>
  <si>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</si>
  <si>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</si>
  <si>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</si>
  <si>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</si>
  <si>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</si>
  <si>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</si>
  <si>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</si>
  <si>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</si>
  <si>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</si>
  <si>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</si>
  <si>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</si>
  <si>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</si>
  <si>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</si>
  <si>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</si>
  <si>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</si>
  <si>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</si>
  <si>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</si>
  <si>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</si>
  <si>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</si>
  <si>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</si>
  <si>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</si>
  <si>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</si>
  <si>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</si>
  <si>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</si>
  <si>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</si>
  <si>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</si>
  <si>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</si>
  <si>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</si>
  <si>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</si>
  <si>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</si>
  <si>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</si>
  <si>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</si>
  <si>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</si>
  <si>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</si>
  <si>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</si>
  <si>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</si>
  <si>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</si>
  <si>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</si>
  <si>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</si>
  <si>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</si>
  <si>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</si>
  <si>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</si>
  <si>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</si>
  <si>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</si>
  <si>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</si>
  <si>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</si>
  <si>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</si>
  <si>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</si>
  <si>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</si>
  <si>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</si>
  <si>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</si>
  <si>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</si>
  <si>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</si>
  <si>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</si>
  <si>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</si>
  <si>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</si>
  <si>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</si>
  <si>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</si>
  <si>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</si>
  <si>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</si>
  <si>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</si>
  <si>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</si>
  <si>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</si>
  <si>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</si>
  <si>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</si>
  <si>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</si>
  <si>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</si>
  <si>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</si>
  <si>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</si>
  <si>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</si>
  <si>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</si>
  <si>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</si>
  <si>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</si>
  <si>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</si>
  <si>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</si>
  <si>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</si>
  <si>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</si>
  <si>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</si>
  <si>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</si>
  <si>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</si>
  <si>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</si>
  <si>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</si>
  <si>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</si>
  <si>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</si>
  <si>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</si>
  <si>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</si>
  <si>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</si>
  <si>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</si>
  <si>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</si>
  <si>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</si>
  <si>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</si>
  <si>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</si>
  <si>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</si>
  <si>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</si>
  <si>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</si>
  <si>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</si>
  <si>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</si>
  <si>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</si>
  <si>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</si>
  <si>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</si>
  <si>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</si>
  <si>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</si>
  <si>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</si>
  <si>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</si>
  <si>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</si>
  <si>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</si>
  <si>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</si>
  <si>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</si>
  <si>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</si>
  <si>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</si>
  <si>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</si>
  <si>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</si>
  <si>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</si>
  <si>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</si>
  <si>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</si>
  <si>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</si>
  <si>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</si>
  <si>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</si>
  <si>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</si>
  <si>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</si>
  <si>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</si>
  <si>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</si>
  <si>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</si>
  <si>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</si>
  <si>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</si>
  <si>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</si>
  <si>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</si>
  <si>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</si>
  <si>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</si>
  <si>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</si>
  <si>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</si>
  <si>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</si>
  <si>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</si>
  <si>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</si>
  <si>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</si>
  <si>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</si>
  <si>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</si>
  <si>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</si>
  <si>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</si>
  <si>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</si>
  <si>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</si>
  <si>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</si>
  <si>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</si>
  <si>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</si>
  <si>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</si>
  <si>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</si>
  <si>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</si>
  <si>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</si>
  <si>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</si>
  <si>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</si>
  <si>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</si>
  <si>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</si>
  <si>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</si>
  <si>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</si>
  <si>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</si>
  <si>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</si>
  <si>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</si>
  <si>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</si>
  <si>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</si>
  <si>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</si>
  <si>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</si>
  <si>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</si>
  <si>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</si>
  <si>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</si>
  <si>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</si>
  <si>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</si>
  <si>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</si>
  <si>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</si>
  <si>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</si>
  <si>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</si>
  <si>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</si>
  <si>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</si>
  <si>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</si>
  <si>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</si>
  <si>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</si>
  <si>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</si>
  <si>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</si>
  <si>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</si>
  <si>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</si>
  <si>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</si>
  <si>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</si>
  <si>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</si>
  <si>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</si>
  <si>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</si>
  <si>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</si>
  <si>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</si>
  <si>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</si>
  <si>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</si>
  <si>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</si>
  <si>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</si>
  <si>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</si>
  <si>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</si>
  <si>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</si>
  <si>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</si>
  <si>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</si>
  <si>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</si>
  <si>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</si>
  <si>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</si>
  <si>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</si>
  <si>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</si>
  <si>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</si>
  <si>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</si>
  <si>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</si>
  <si>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</si>
  <si>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</si>
  <si>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</si>
  <si>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</si>
  <si>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</si>
  <si>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</si>
  <si>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</si>
  <si>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</si>
  <si>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</si>
  <si>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</si>
  <si>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</si>
  <si>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</si>
  <si>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</si>
  <si>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</si>
  <si>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</si>
  <si>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</si>
  <si>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</si>
  <si>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</si>
  <si>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</si>
  <si>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</si>
  <si>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</si>
  <si>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</si>
  <si>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</si>
  <si>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</si>
  <si>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</si>
  <si>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</si>
  <si>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</si>
  <si>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</si>
  <si>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</si>
  <si>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</si>
  <si>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</si>
  <si>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</si>
  <si>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</si>
  <si>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</si>
  <si>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</si>
  <si>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</si>
  <si>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</si>
  <si>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</si>
  <si>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</si>
  <si>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</si>
  <si>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</si>
  <si>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</si>
  <si>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</si>
  <si>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</si>
  <si>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</si>
  <si>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</si>
  <si>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</si>
  <si>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</si>
  <si>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</si>
  <si>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</si>
  <si>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</si>
  <si>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</si>
  <si>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</si>
  <si>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</si>
  <si>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</si>
  <si>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</si>
  <si>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</si>
  <si>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</si>
  <si>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</si>
  <si>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</si>
  <si>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</si>
  <si>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</si>
  <si>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</si>
  <si>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</si>
  <si>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</si>
  <si>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</si>
  <si>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</si>
  <si>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</si>
  <si>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</si>
  <si>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</si>
  <si>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</si>
  <si>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</si>
  <si>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</si>
  <si>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</si>
  <si>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</si>
  <si>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</si>
  <si>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</si>
  <si>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</si>
  <si>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</si>
  <si>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</si>
  <si>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</si>
  <si>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</si>
  <si>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</si>
  <si>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</si>
  <si>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</si>
  <si>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</si>
  <si>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</si>
  <si>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</si>
  <si>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</si>
  <si>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</si>
  <si>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</si>
  <si>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</si>
  <si>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</si>
  <si>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</si>
  <si>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</si>
  <si>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</si>
  <si>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</si>
  <si>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</si>
  <si>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</si>
  <si>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</si>
  <si>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</si>
  <si>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</si>
  <si>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</si>
  <si>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</si>
  <si>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</si>
  <si>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</si>
  <si>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</si>
  <si>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</si>
  <si>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</si>
  <si>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</si>
  <si>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</si>
  <si>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</si>
  <si>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</si>
  <si>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</si>
  <si>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</si>
  <si>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</si>
  <si>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</si>
  <si>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</si>
  <si>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</si>
  <si>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</si>
  <si>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</si>
  <si>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</si>
  <si>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</si>
  <si>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</si>
  <si>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</si>
  <si>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</si>
  <si>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</si>
  <si>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</si>
  <si>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</si>
  <si>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</si>
  <si>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</si>
  <si>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</si>
  <si>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</si>
  <si>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</si>
  <si>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</si>
  <si>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</si>
  <si>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</si>
  <si>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</si>
  <si>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</si>
  <si>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</si>
  <si>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</si>
  <si>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</si>
  <si>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</si>
  <si>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</si>
  <si>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</si>
  <si>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</si>
  <si>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</si>
  <si>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</si>
  <si>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</si>
  <si>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</si>
  <si>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</si>
  <si>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</si>
  <si>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</si>
  <si>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</si>
  <si>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</si>
  <si>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</si>
  <si>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</si>
  <si>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</si>
  <si>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</si>
  <si>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</si>
  <si>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</si>
  <si>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</si>
  <si>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</si>
  <si>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</si>
  <si>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</si>
  <si>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</si>
  <si>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</si>
  <si>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</si>
  <si>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</si>
  <si>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</si>
  <si>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</si>
  <si>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</si>
  <si>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</si>
  <si>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</si>
  <si>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</si>
  <si>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</si>
  <si>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</si>
  <si>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</si>
  <si>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</si>
  <si>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</si>
  <si>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</si>
  <si>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</si>
  <si>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</si>
  <si>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</si>
  <si>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</si>
  <si>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</si>
  <si>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</si>
  <si>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</si>
  <si>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</si>
  <si>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</si>
  <si>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</si>
  <si>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</si>
  <si>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</si>
  <si>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</si>
  <si>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</si>
  <si>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</si>
  <si>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</si>
  <si>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</si>
  <si>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</si>
  <si>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</si>
  <si>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</si>
  <si>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</si>
  <si>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</si>
  <si>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</si>
  <si>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</si>
  <si>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</si>
  <si>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</si>
  <si>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</si>
  <si>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</si>
  <si>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</si>
  <si>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</si>
  <si>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</si>
  <si>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</si>
  <si>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</si>
  <si>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</si>
  <si>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</si>
  <si>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</si>
  <si>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</si>
  <si>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</si>
  <si>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</si>
  <si>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</si>
  <si>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</si>
  <si>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</si>
  <si>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</si>
  <si>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</si>
  <si>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</si>
  <si>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</si>
  <si>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</si>
  <si>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</si>
  <si>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</si>
  <si>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</si>
  <si>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</si>
  <si>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</si>
  <si>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</si>
  <si>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</si>
  <si>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</si>
  <si>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</si>
  <si>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</si>
  <si>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</si>
  <si>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</si>
  <si>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</si>
  <si>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</si>
  <si>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</si>
  <si>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</si>
  <si>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</si>
  <si>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</si>
  <si>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</si>
  <si>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</si>
  <si>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</si>
  <si>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</si>
  <si>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</si>
  <si>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</si>
  <si>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</si>
  <si>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</si>
  <si>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</si>
  <si>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</si>
  <si>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</si>
  <si>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</si>
  <si>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</si>
  <si>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</si>
  <si>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</si>
  <si>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</si>
  <si>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</si>
  <si>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</si>
  <si>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</si>
  <si>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</si>
  <si>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</si>
  <si>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</si>
  <si>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</si>
  <si>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</si>
  <si>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</si>
  <si>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</si>
  <si>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</si>
  <si>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</si>
  <si>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</si>
  <si>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</si>
  <si>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</si>
  <si>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</si>
  <si>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</si>
  <si>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</si>
  <si>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</si>
  <si>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</si>
  <si>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</si>
  <si>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</si>
  <si>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</si>
  <si>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</si>
  <si>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</si>
  <si>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</si>
  <si>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</si>
  <si>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</si>
  <si>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</si>
  <si>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</si>
  <si>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</si>
  <si>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</si>
  <si>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</si>
  <si>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</si>
  <si>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</si>
  <si>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</si>
  <si>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</si>
  <si>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</si>
  <si>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</si>
  <si>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</si>
  <si>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</si>
  <si>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</si>
  <si>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</si>
  <si>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</si>
  <si>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</si>
  <si>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</si>
  <si>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</si>
  <si>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</si>
  <si>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</si>
  <si>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</si>
  <si>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</si>
  <si>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</si>
  <si>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</si>
  <si>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</si>
  <si>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</si>
  <si>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</si>
  <si>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</si>
  <si>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</si>
  <si>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</si>
  <si>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</si>
  <si>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</si>
  <si>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</si>
  <si>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</si>
  <si>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</si>
  <si>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</si>
  <si>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</si>
  <si>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</si>
  <si>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</si>
  <si>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</si>
  <si>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</si>
  <si>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</si>
  <si>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</si>
  <si>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</si>
  <si>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</si>
  <si>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</si>
  <si>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</si>
  <si>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</si>
  <si>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</si>
  <si>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</si>
  <si>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</si>
  <si>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</si>
  <si>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</si>
  <si>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</si>
  <si>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</si>
  <si>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</si>
  <si>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</si>
  <si>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</si>
  <si>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</si>
  <si>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</si>
  <si>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</si>
  <si>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</si>
  <si>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</si>
  <si>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</si>
  <si>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</si>
  <si>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</si>
  <si>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</si>
  <si>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</si>
  <si>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</si>
  <si>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</si>
  <si>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</si>
  <si>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</si>
  <si>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</si>
  <si>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</si>
  <si>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</si>
  <si>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</si>
  <si>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</si>
  <si>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</si>
  <si>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</si>
  <si>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</si>
  <si>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</si>
  <si>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</si>
  <si>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</si>
  <si>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</si>
  <si>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</si>
  <si>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</si>
  <si>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</si>
  <si>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</si>
  <si>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</si>
  <si>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</si>
  <si>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</si>
  <si>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</si>
  <si>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</si>
  <si>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</si>
  <si>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</si>
  <si>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</si>
  <si>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</si>
  <si>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</si>
  <si>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</si>
  <si>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</si>
  <si>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</si>
  <si>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</si>
  <si>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</si>
  <si>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</si>
  <si>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</si>
  <si>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</si>
  <si>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</si>
  <si>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</si>
  <si>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</si>
  <si>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</si>
  <si>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</si>
  <si>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</si>
  <si>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</si>
  <si>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</si>
  <si>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</si>
  <si>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</si>
  <si>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</si>
  <si>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</si>
  <si>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</si>
  <si>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</si>
  <si>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</si>
  <si>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</si>
  <si>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</si>
  <si>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</si>
  <si>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</si>
  <si>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</si>
  <si>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</si>
  <si>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</si>
  <si>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</si>
  <si>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</si>
  <si>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</si>
  <si>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</si>
  <si>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</si>
  <si>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</si>
  <si>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</si>
  <si>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</si>
  <si>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</si>
  <si>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</si>
  <si>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</si>
  <si>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</si>
  <si>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</si>
  <si>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</si>
  <si>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</si>
  <si>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</si>
  <si>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</si>
  <si>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</si>
  <si>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</si>
  <si>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</si>
  <si>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</si>
  <si>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</si>
  <si>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</si>
  <si>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</si>
  <si>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</si>
  <si>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</si>
  <si>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</si>
  <si>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</si>
  <si>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</si>
  <si>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</si>
  <si>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</si>
  <si>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</si>
  <si>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</si>
  <si>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</si>
  <si>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</si>
  <si>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</si>
  <si>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</si>
  <si>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</si>
  <si>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</si>
  <si>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</si>
  <si>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</si>
  <si>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</si>
  <si>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</si>
  <si>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</si>
  <si>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</si>
  <si>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</si>
  <si>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</si>
  <si>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</si>
  <si>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</si>
  <si>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</si>
  <si>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</si>
  <si>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</si>
  <si>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</si>
  <si>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</si>
  <si>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</si>
  <si>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</si>
  <si>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</si>
  <si>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</si>
  <si>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</si>
  <si>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</si>
  <si>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</si>
  <si>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</si>
  <si>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</si>
  <si>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</si>
  <si>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</si>
  <si>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</si>
  <si>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</si>
  <si>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</si>
  <si>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</si>
  <si>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</si>
  <si>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</si>
  <si>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</si>
  <si>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</si>
  <si>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</si>
  <si>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</si>
  <si>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</si>
  <si>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</si>
  <si>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</si>
  <si>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</si>
  <si>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</si>
  <si>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</si>
  <si>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</si>
  <si>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</si>
  <si>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</si>
  <si>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</si>
  <si>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</si>
  <si>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</si>
  <si>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</si>
  <si>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</si>
  <si>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</si>
  <si>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</si>
  <si>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</si>
  <si>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</si>
  <si>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</si>
  <si>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</si>
  <si>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</si>
  <si>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</si>
  <si>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</si>
  <si>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</si>
  <si>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</si>
  <si>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</si>
  <si>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</si>
  <si>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</si>
  <si>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</si>
  <si>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</si>
  <si>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</si>
  <si>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</si>
  <si>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</si>
  <si>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</si>
  <si>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</si>
  <si>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</si>
  <si>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</si>
  <si>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</si>
  <si>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</si>
  <si>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</si>
  <si>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</si>
  <si>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</si>
  <si>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</si>
  <si>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</si>
  <si>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</si>
  <si>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</si>
  <si>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</si>
  <si>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</si>
  <si>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</si>
  <si>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</si>
  <si>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</si>
  <si>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</si>
  <si>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</si>
  <si>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</si>
  <si>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</si>
  <si>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</si>
  <si>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</si>
  <si>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</si>
  <si>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</si>
  <si>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</si>
  <si>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</si>
  <si>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</si>
  <si>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</si>
  <si>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</si>
  <si>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</si>
  <si>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</si>
  <si>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</si>
  <si>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</si>
  <si>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</si>
  <si>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</si>
  <si>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</si>
  <si>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</si>
  <si>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</si>
  <si>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</si>
  <si>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</si>
  <si>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</si>
  <si>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</si>
  <si>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</si>
  <si>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</si>
  <si>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</si>
  <si>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</si>
  <si>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</si>
  <si>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</si>
  <si>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</si>
  <si>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</si>
  <si>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</si>
  <si>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</si>
  <si>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</si>
  <si>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</si>
  <si>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</si>
  <si>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</si>
  <si>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</si>
  <si>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</si>
  <si>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</si>
  <si>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</si>
  <si>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</si>
  <si>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</si>
  <si>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</si>
  <si>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</si>
  <si>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</si>
  <si>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</si>
  <si>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</si>
  <si>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</si>
  <si>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</si>
  <si>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</si>
  <si>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</si>
  <si>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</si>
  <si>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</si>
  <si>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</si>
  <si>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</si>
  <si>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</si>
  <si>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</si>
  <si>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</si>
  <si>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</si>
  <si>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</si>
  <si>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</si>
  <si>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</si>
  <si>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</si>
  <si>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</si>
  <si>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</si>
  <si>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</si>
  <si>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</si>
  <si>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</si>
  <si>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</si>
  <si>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</si>
  <si>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</si>
  <si>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</si>
  <si>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</si>
  <si>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</si>
  <si>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</si>
  <si>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</si>
  <si>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</si>
  <si>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</si>
  <si>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</si>
  <si>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</si>
  <si>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</si>
  <si>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</si>
  <si>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</si>
  <si>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</si>
  <si>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</si>
  <si>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</si>
  <si>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</si>
  <si>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</si>
  <si>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</si>
  <si>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</si>
  <si>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</si>
  <si>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</si>
  <si>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</si>
  <si>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</si>
  <si>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</si>
  <si>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</si>
  <si>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</si>
  <si>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</si>
  <si>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</si>
  <si>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</si>
  <si>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</si>
  <si>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</si>
  <si>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</si>
  <si>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</si>
  <si>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</si>
  <si>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</si>
  <si>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</si>
  <si>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</si>
  <si>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</si>
  <si>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</si>
  <si>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</si>
  <si>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</si>
  <si>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</si>
  <si>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</si>
  <si>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</si>
  <si>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</si>
  <si>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</si>
  <si>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</si>
  <si>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</si>
  <si>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</si>
  <si>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</si>
  <si>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</si>
  <si>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</si>
  <si>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</si>
  <si>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</si>
  <si>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</si>
  <si>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</si>
  <si>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</si>
  <si>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</si>
  <si>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</si>
  <si>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</si>
  <si>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</si>
  <si>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</si>
  <si>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</si>
  <si>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</si>
  <si>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</si>
  <si>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</si>
  <si>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</si>
  <si>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</si>
  <si>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</si>
  <si>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</si>
  <si>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</si>
  <si>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</si>
  <si>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</si>
  <si>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</si>
  <si>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</si>
  <si>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</si>
  <si>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</si>
  <si>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</si>
  <si>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</si>
  <si>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</si>
  <si>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</si>
  <si>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</si>
  <si>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</si>
  <si>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</si>
  <si>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</si>
  <si>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</si>
  <si>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</si>
  <si>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</si>
  <si>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</si>
  <si>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</si>
  <si>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</si>
  <si>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</si>
  <si>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</si>
  <si>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</si>
  <si>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</si>
  <si>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</si>
  <si>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</si>
  <si>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</si>
  <si>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</si>
  <si>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</si>
  <si>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</si>
  <si>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</si>
  <si>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</si>
  <si>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</si>
  <si>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</si>
  <si>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</si>
  <si>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</si>
  <si>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</si>
  <si>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</si>
  <si>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</si>
  <si>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</si>
  <si>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</si>
  <si>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</si>
  <si>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</si>
  <si>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</si>
  <si>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</si>
  <si>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</si>
  <si>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</si>
  <si>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</si>
  <si>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</si>
  <si>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</si>
  <si>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</si>
  <si>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</si>
  <si>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</si>
  <si>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</si>
  <si>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</si>
  <si>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</si>
  <si>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</si>
  <si>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</si>
  <si>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</si>
  <si>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</si>
  <si>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</si>
  <si>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</si>
  <si>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</si>
  <si>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</si>
  <si>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</si>
  <si>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</si>
  <si>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</si>
  <si>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</si>
  <si>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</si>
  <si>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</si>
  <si>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</si>
  <si>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</si>
  <si>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</si>
  <si>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</si>
  <si>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</si>
  <si>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</si>
  <si>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</si>
  <si>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</si>
  <si>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</si>
  <si>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</si>
  <si>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</si>
  <si>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</si>
  <si>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</si>
  <si>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</si>
  <si>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</si>
  <si>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</si>
  <si>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</si>
  <si>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</si>
  <si>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</si>
  <si>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</si>
  <si>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</si>
  <si>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</si>
  <si>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</si>
  <si>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</si>
  <si>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</si>
  <si>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</si>
  <si>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</si>
  <si>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</si>
  <si>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</si>
  <si>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</si>
  <si>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</si>
  <si>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</si>
  <si>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</si>
  <si>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</si>
  <si>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</si>
  <si>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</si>
  <si>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</si>
  <si>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</si>
  <si>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</si>
  <si>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</si>
  <si>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</si>
  <si>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</si>
  <si>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</si>
  <si>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</si>
  <si>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</si>
  <si>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</si>
  <si>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</si>
  <si>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</si>
  <si>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</si>
  <si>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</si>
  <si>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</si>
  <si>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</si>
  <si>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</si>
  <si>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</si>
  <si>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</si>
  <si>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</si>
  <si>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</si>
  <si>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</si>
  <si>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</si>
  <si>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</si>
  <si>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</si>
  <si>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</si>
  <si>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</si>
  <si>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</si>
  <si>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</si>
  <si>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</si>
  <si>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</si>
  <si>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</si>
  <si>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</si>
  <si>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</si>
  <si>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</si>
  <si>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</si>
  <si>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</si>
  <si>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</si>
  <si>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</si>
  <si>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</si>
  <si>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</si>
  <si>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</si>
  <si>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</si>
  <si>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</si>
  <si>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</si>
  <si>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</si>
  <si>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</si>
  <si>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</si>
  <si>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</si>
  <si>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</si>
  <si>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</si>
  <si>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</si>
  <si>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</si>
  <si>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</si>
  <si>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</si>
  <si>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</si>
  <si>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</si>
  <si>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</si>
  <si>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</si>
  <si>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</si>
  <si>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</si>
  <si>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</si>
  <si>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</si>
  <si>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</si>
  <si>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</si>
  <si>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</si>
  <si>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</si>
  <si>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</si>
  <si>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</si>
  <si>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</si>
  <si>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</si>
  <si>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</si>
  <si>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</si>
  <si>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</si>
  <si>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</si>
  <si>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</si>
  <si>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</si>
  <si>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</si>
  <si>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</si>
  <si>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</si>
  <si>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</si>
  <si>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</si>
  <si>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</si>
  <si>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</si>
  <si>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</si>
  <si>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</si>
  <si>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</si>
  <si>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</si>
  <si>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</si>
  <si>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</si>
  <si>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</si>
  <si>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</si>
  <si>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</si>
  <si>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</si>
  <si>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</si>
  <si>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</si>
  <si>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</si>
  <si>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</si>
  <si>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</si>
  <si>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</si>
  <si>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</si>
  <si>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</si>
  <si>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</si>
  <si>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</si>
  <si>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</si>
  <si>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</si>
  <si>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</si>
  <si>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</si>
  <si>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</si>
  <si>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</si>
  <si>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</si>
  <si>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</si>
  <si>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</si>
  <si>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</si>
  <si>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</si>
  <si>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</si>
  <si>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</si>
  <si>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</si>
  <si>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</si>
  <si>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</si>
  <si>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</si>
  <si>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</si>
  <si>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</si>
  <si>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</si>
  <si>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</si>
  <si>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</si>
  <si>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</si>
  <si>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</si>
  <si>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</si>
  <si>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</si>
  <si>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</si>
  <si>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</si>
  <si>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</si>
  <si>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</si>
  <si>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</si>
  <si>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</si>
  <si>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</si>
  <si>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</si>
  <si>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</si>
  <si>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</si>
  <si>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</si>
  <si>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</si>
  <si>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</si>
  <si>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</si>
  <si>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</si>
  <si>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</si>
  <si>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</si>
  <si>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</si>
  <si>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</si>
  <si>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</si>
  <si>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</si>
  <si>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</si>
  <si>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</si>
  <si>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</si>
  <si>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</si>
  <si>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</si>
  <si>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</si>
  <si>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</si>
  <si>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</si>
  <si>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</si>
  <si>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</si>
  <si>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</si>
  <si>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</si>
  <si>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</si>
  <si>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</si>
  <si>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</si>
  <si>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</si>
  <si>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</si>
  <si>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</si>
  <si>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</si>
  <si>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</si>
  <si>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</si>
  <si>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</si>
  <si>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</si>
  <si>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</si>
  <si>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</si>
  <si>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</si>
  <si>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</si>
  <si>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</si>
  <si>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</si>
  <si>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</si>
  <si>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</si>
  <si>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</si>
  <si>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</si>
  <si>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</si>
  <si>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</si>
  <si>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</si>
  <si>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</si>
  <si>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</si>
  <si>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</si>
  <si>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</si>
  <si>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</si>
  <si>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</si>
  <si>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</si>
  <si>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</si>
  <si>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</si>
  <si>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</si>
  <si>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</si>
  <si>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</si>
  <si>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</si>
  <si>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</si>
  <si>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</si>
  <si>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</si>
  <si>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</si>
  <si>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</si>
  <si>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</si>
  <si>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</si>
  <si>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</si>
  <si>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</si>
  <si>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</si>
  <si>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</si>
  <si>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</si>
  <si>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</si>
  <si>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</si>
  <si>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</si>
  <si>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</si>
  <si>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</si>
  <si>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</si>
  <si>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</si>
  <si>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</si>
  <si>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</si>
  <si>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</si>
  <si>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</si>
  <si>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</si>
  <si>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</si>
  <si>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</si>
  <si>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</si>
  <si>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</si>
  <si>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</si>
  <si>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</si>
  <si>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</si>
  <si>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</si>
  <si>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</si>
  <si>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</si>
  <si>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</si>
  <si>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</si>
  <si>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</si>
  <si>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</si>
  <si>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</si>
  <si>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</si>
  <si>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</si>
  <si>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</si>
  <si>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</si>
  <si>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</si>
  <si>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</si>
  <si>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</si>
  <si>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</si>
  <si>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</si>
  <si>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</si>
  <si>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</si>
  <si>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</si>
  <si>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</si>
  <si>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</si>
  <si>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</si>
  <si>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</si>
  <si>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</si>
  <si>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</si>
  <si>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</si>
  <si>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</si>
  <si>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</si>
  <si>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</si>
  <si>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</si>
  <si>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</si>
  <si>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</si>
  <si>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</si>
  <si>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</si>
  <si>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</si>
  <si>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</si>
  <si>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</si>
  <si>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</si>
  <si>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</si>
  <si>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</si>
  <si>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</si>
  <si>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</si>
  <si>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</si>
  <si>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</si>
  <si>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</si>
  <si>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</si>
  <si>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</si>
  <si>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</si>
  <si>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</si>
  <si>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</si>
  <si>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</si>
  <si>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</si>
  <si>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</si>
  <si>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</si>
  <si>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</si>
  <si>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</si>
  <si>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</si>
  <si>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</si>
  <si>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</si>
  <si>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</si>
  <si>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</si>
  <si>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</si>
  <si>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</si>
  <si>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</si>
  <si>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</si>
  <si>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</si>
  <si>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</si>
  <si>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</si>
  <si>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</si>
  <si>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</si>
  <si>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</si>
  <si>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</si>
  <si>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</si>
  <si>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</si>
  <si>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</si>
  <si>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</si>
  <si>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</si>
  <si>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</si>
  <si>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</si>
  <si>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</si>
  <si>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</si>
  <si>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</si>
  <si>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</si>
  <si>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</si>
  <si>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</si>
  <si>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</si>
  <si>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</si>
  <si>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</si>
  <si>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</si>
  <si>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</si>
  <si>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</si>
  <si>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</si>
  <si>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</si>
  <si>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</si>
  <si>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</si>
  <si>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</si>
  <si>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</si>
  <si>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</si>
  <si>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</si>
  <si>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</si>
  <si>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</si>
  <si>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</si>
  <si>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</si>
  <si>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</si>
  <si>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</si>
  <si>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</si>
  <si>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</si>
  <si>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</si>
  <si>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</si>
  <si>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</si>
  <si>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</si>
  <si>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</si>
  <si>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</si>
  <si>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</si>
  <si>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</si>
  <si>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</si>
  <si>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</si>
  <si>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</si>
  <si>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</si>
  <si>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</si>
  <si>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</si>
  <si>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</si>
  <si>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</si>
  <si>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</si>
  <si>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</si>
  <si>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</si>
  <si>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</si>
  <si>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</si>
  <si>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</si>
  <si>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</si>
  <si>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</si>
  <si>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</si>
  <si>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</si>
  <si>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</si>
  <si>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</si>
  <si>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</si>
  <si>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</si>
  <si>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</si>
  <si>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</si>
  <si>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</si>
  <si>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</si>
  <si>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</si>
  <si>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</si>
  <si>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</si>
  <si>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</si>
  <si>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</si>
  <si>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</si>
  <si>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</si>
  <si>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</si>
  <si>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</si>
  <si>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</si>
  <si>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</si>
  <si>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</si>
  <si>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</si>
  <si>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</si>
  <si>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</si>
  <si>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</si>
  <si>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</si>
  <si>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</si>
  <si>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</si>
  <si>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</si>
  <si>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</si>
  <si>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</si>
  <si>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</si>
  <si>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</si>
  <si>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</si>
  <si>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</si>
  <si>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</si>
  <si>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</si>
  <si>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</si>
  <si>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</si>
  <si>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</si>
  <si>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</si>
  <si>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</si>
  <si>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</si>
  <si>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</si>
  <si>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</si>
  <si>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</si>
  <si>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</si>
  <si>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</si>
  <si>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</si>
  <si>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</si>
  <si>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</si>
  <si>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</si>
  <si>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</si>
  <si>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</si>
  <si>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</si>
  <si>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</si>
  <si>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</si>
  <si>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</si>
  <si>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</si>
  <si>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</si>
  <si>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</si>
  <si>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</si>
  <si>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</si>
  <si>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</si>
  <si>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</si>
  <si>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</si>
  <si>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</si>
  <si>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</si>
  <si>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</si>
  <si>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</si>
  <si>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</si>
  <si>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</si>
  <si>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</si>
  <si>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</si>
  <si>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</si>
  <si>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</si>
  <si>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</si>
  <si>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</si>
  <si>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</si>
  <si>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</si>
  <si>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</si>
  <si>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</si>
  <si>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</si>
  <si>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</si>
  <si>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</si>
  <si>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</si>
  <si>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</si>
  <si>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</si>
  <si>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</si>
  <si>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</si>
  <si>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</si>
  <si>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</si>
  <si>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</si>
  <si>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</si>
  <si>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</si>
  <si>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</si>
  <si>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</si>
  <si>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</si>
  <si>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</si>
  <si>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</si>
  <si>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</si>
  <si>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</si>
  <si>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</si>
  <si>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</si>
  <si>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</si>
  <si>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</si>
  <si>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</si>
  <si>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</si>
  <si>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</si>
  <si>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</si>
  <si>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</si>
  <si>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</si>
  <si>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</si>
  <si>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</si>
  <si>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</si>
  <si>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</si>
  <si>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</si>
  <si>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</si>
  <si>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</si>
  <si>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</si>
  <si>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</si>
  <si>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</si>
  <si>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</si>
  <si>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</si>
  <si>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</si>
  <si>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</si>
  <si>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</si>
  <si>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</si>
  <si>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</si>
  <si>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</si>
  <si>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</si>
  <si>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</si>
  <si>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</si>
  <si>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</si>
  <si>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</si>
  <si>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</si>
  <si>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</si>
  <si>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</si>
  <si>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</si>
  <si>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</si>
  <si>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</si>
  <si>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</si>
  <si>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</si>
  <si>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</si>
  <si>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</si>
  <si>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</si>
  <si>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</si>
  <si>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</si>
  <si>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</si>
  <si>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</si>
  <si>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</si>
  <si>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</si>
  <si>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</si>
  <si>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</si>
  <si>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</si>
  <si>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</si>
  <si>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</si>
  <si>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</si>
  <si>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</si>
  <si>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</si>
  <si>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</si>
  <si>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</si>
  <si>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</si>
  <si>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</si>
  <si>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</si>
  <si>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</si>
  <si>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</si>
  <si>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</si>
  <si>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</si>
  <si>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</si>
  <si>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</si>
  <si>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</si>
  <si>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</si>
  <si>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</si>
  <si>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</si>
  <si>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</si>
  <si>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</si>
  <si>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</si>
  <si>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</si>
  <si>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</si>
  <si>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</si>
  <si>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</si>
  <si>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</si>
  <si>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</si>
  <si>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</si>
  <si>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</si>
  <si>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</si>
  <si>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</si>
  <si>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</si>
  <si>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</si>
  <si>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</si>
  <si>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</si>
  <si>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</si>
  <si>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</si>
  <si>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</si>
  <si>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</si>
  <si>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</si>
  <si>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</si>
  <si>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</si>
  <si>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</si>
  <si>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</si>
  <si>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</si>
  <si>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</si>
  <si>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</si>
  <si>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</si>
  <si>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</si>
  <si>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</si>
  <si>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</si>
  <si>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</si>
  <si>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</si>
  <si>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</si>
  <si>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</si>
  <si>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</si>
  <si>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</si>
  <si>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</si>
  <si>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</si>
  <si>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</si>
  <si>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</si>
  <si>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</si>
  <si>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</si>
  <si>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</si>
  <si>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</si>
  <si>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</si>
  <si>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</si>
  <si>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</si>
  <si>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</si>
  <si>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</si>
  <si>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</si>
  <si>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</si>
  <si>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</si>
  <si>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</si>
  <si>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</si>
  <si>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</si>
  <si>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</si>
  <si>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</si>
  <si>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</si>
  <si>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</si>
  <si>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</si>
  <si>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</si>
  <si>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</si>
  <si>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</si>
  <si>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</si>
  <si>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</si>
  <si>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</si>
  <si>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</si>
  <si>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</si>
  <si>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</si>
  <si>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</si>
  <si>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</si>
  <si>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</si>
  <si>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</si>
  <si>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</si>
  <si>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</si>
  <si>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</si>
  <si>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</si>
  <si>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</si>
  <si>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</si>
  <si>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</si>
  <si>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</si>
  <si>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</si>
  <si>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</si>
  <si>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</si>
  <si>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</si>
  <si>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</si>
  <si>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</si>
  <si>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</si>
  <si>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</si>
  <si>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</si>
  <si>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</si>
  <si>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</si>
  <si>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</si>
  <si>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</si>
  <si>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</si>
  <si>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</si>
  <si>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</si>
  <si>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</si>
  <si>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</si>
  <si>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</si>
  <si>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</si>
  <si>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</si>
  <si>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</si>
  <si>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</si>
  <si>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</si>
  <si>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</si>
  <si>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</si>
  <si>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</si>
  <si>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</si>
  <si>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</si>
  <si>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</si>
  <si>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</si>
  <si>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</si>
  <si>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</si>
  <si>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</si>
  <si>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</si>
  <si>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</si>
  <si>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</si>
  <si>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</si>
  <si>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</si>
  <si>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</si>
  <si>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</si>
  <si>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</si>
  <si>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</si>
  <si>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</si>
  <si>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</si>
  <si>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</si>
  <si>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</si>
  <si>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</si>
  <si>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</si>
  <si>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</si>
  <si>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</si>
  <si>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</si>
  <si>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</si>
  <si>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</si>
  <si>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</si>
  <si>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</si>
  <si>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</si>
  <si>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</si>
  <si>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</si>
  <si>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</si>
  <si>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</si>
  <si>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</si>
  <si>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</si>
  <si>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</si>
  <si>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</si>
  <si>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</si>
  <si>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</si>
  <si>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</si>
  <si>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</si>
  <si>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</si>
  <si>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</si>
  <si>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</si>
  <si>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</si>
  <si>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</si>
  <si>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</si>
  <si>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</si>
  <si>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</si>
  <si>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</si>
  <si>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</si>
  <si>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</si>
  <si>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</si>
  <si>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</si>
  <si>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</si>
  <si>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</si>
  <si>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</si>
  <si>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</si>
  <si>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</si>
  <si>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</si>
  <si>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</si>
  <si>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</si>
  <si>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</si>
  <si>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</si>
  <si>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</si>
  <si>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</si>
  <si>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</si>
  <si>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</si>
  <si>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</si>
  <si>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</si>
  <si>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</si>
  <si>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</si>
  <si>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</si>
  <si>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</si>
  <si>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</si>
  <si>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</si>
  <si>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</si>
  <si>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</si>
  <si>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</si>
  <si>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</si>
  <si>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</si>
  <si>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</si>
  <si>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</si>
  <si>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</si>
  <si>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</si>
  <si>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</si>
  <si>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</si>
  <si>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</si>
  <si>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</si>
  <si>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</si>
  <si>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</si>
  <si>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</si>
  <si>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</si>
  <si>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</si>
  <si>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</si>
  <si>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</si>
  <si>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</si>
  <si>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</si>
  <si>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</si>
  <si>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</si>
  <si>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</si>
  <si>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</si>
  <si>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</si>
  <si>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</si>
  <si>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</si>
  <si>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</si>
  <si>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</si>
  <si>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</si>
  <si>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</si>
  <si>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</si>
  <si>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</si>
  <si>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</si>
  <si>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</si>
  <si>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</si>
  <si>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</si>
  <si>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</si>
  <si>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</si>
  <si>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</si>
  <si>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</si>
  <si>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</si>
  <si>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</si>
  <si>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</si>
  <si>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</si>
  <si>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</si>
  <si>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</si>
  <si>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</si>
  <si>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</si>
  <si>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</si>
  <si>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</si>
  <si>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</si>
  <si>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</si>
  <si>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</si>
  <si>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</si>
  <si>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</si>
  <si>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</si>
  <si>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</si>
  <si>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</si>
  <si>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</si>
  <si>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</si>
  <si>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</si>
  <si>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</si>
  <si>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</si>
  <si>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</si>
  <si>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</si>
  <si>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</si>
  <si>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</si>
  <si>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</si>
  <si>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</si>
  <si>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</si>
  <si>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</si>
  <si>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</si>
  <si>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</si>
  <si>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</si>
  <si>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</si>
  <si>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</si>
  <si>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</si>
  <si>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</si>
  <si>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</si>
  <si>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</si>
  <si>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</si>
  <si>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</si>
  <si>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</si>
  <si>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</si>
  <si>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</si>
  <si>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</si>
  <si>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</si>
  <si>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</si>
  <si>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</si>
  <si>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</si>
  <si>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</si>
  <si>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</si>
  <si>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</si>
  <si>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</si>
  <si>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</si>
  <si>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</si>
  <si>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</si>
  <si>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</si>
  <si>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</si>
  <si>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</si>
  <si>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</si>
  <si>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</si>
  <si>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</si>
  <si>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</si>
  <si>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</si>
  <si>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</si>
  <si>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</si>
  <si>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</si>
  <si>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</si>
  <si>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</si>
  <si>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</si>
  <si>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</si>
  <si>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</si>
  <si>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</si>
  <si>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</si>
  <si>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</si>
  <si>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</si>
  <si>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</si>
  <si>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</si>
  <si>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</si>
  <si>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</si>
  <si>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</si>
  <si>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</si>
  <si>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</si>
  <si>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</si>
  <si>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</si>
  <si>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</si>
  <si>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</si>
  <si>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</si>
  <si>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</si>
  <si>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</si>
  <si>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</si>
  <si>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</si>
  <si>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</si>
  <si>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</si>
  <si>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</si>
  <si>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</si>
  <si>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</si>
  <si>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</si>
  <si>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</si>
  <si>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</si>
  <si>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</si>
  <si>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</si>
  <si>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</si>
  <si>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</si>
  <si>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</si>
  <si>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</si>
  <si>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</si>
  <si>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</si>
  <si>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</si>
  <si>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</si>
  <si>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</si>
  <si>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</si>
  <si>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</si>
  <si>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</si>
  <si>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</si>
  <si>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</si>
  <si>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</si>
  <si>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</si>
  <si>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</si>
  <si>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</si>
  <si>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</si>
  <si>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</si>
  <si>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</si>
  <si>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</si>
  <si>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</si>
  <si>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</si>
  <si>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</si>
  <si>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</si>
  <si>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</si>
  <si>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</si>
  <si>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</si>
  <si>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</si>
  <si>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</si>
  <si>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</si>
  <si>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</si>
  <si>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</si>
  <si>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</si>
  <si>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</si>
  <si>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</si>
  <si>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</si>
  <si>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</si>
  <si>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</si>
  <si>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</si>
  <si>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</si>
  <si>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</si>
  <si>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</si>
  <si>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</si>
  <si>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</si>
  <si>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</si>
  <si>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</si>
  <si>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</si>
  <si>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</si>
  <si>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</si>
  <si>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</si>
  <si>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</si>
  <si>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</si>
  <si>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</si>
  <si>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</si>
  <si>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</si>
  <si>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</si>
  <si>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</si>
  <si>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</si>
  <si>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</si>
  <si>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</si>
  <si>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</si>
  <si>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</si>
  <si>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</si>
  <si>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</si>
  <si>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</si>
  <si>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</si>
  <si>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</si>
  <si>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</si>
  <si>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</si>
  <si>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</si>
  <si>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</si>
  <si>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</si>
  <si>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</si>
  <si>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</si>
  <si>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</si>
  <si>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</si>
  <si>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</si>
  <si>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</si>
  <si>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</si>
  <si>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</si>
  <si>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</si>
  <si>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</si>
  <si>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</si>
  <si>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</si>
  <si>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</si>
  <si>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</si>
  <si>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</si>
  <si>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</si>
  <si>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</si>
  <si>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</si>
  <si>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</si>
  <si>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</si>
  <si>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</si>
  <si>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</si>
  <si>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</si>
  <si>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</si>
  <si>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</si>
  <si>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</si>
  <si>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</si>
  <si>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</si>
  <si>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</si>
  <si>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</si>
  <si>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</si>
  <si>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</si>
  <si>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</si>
  <si>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</si>
  <si>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</si>
  <si>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</si>
  <si>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</si>
  <si>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</si>
  <si>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</si>
  <si>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</si>
  <si>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</si>
  <si>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</si>
  <si>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</si>
  <si>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</si>
  <si>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</si>
  <si>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</si>
  <si>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</si>
  <si>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</si>
  <si>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</si>
  <si>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</si>
  <si>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</si>
  <si>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</si>
  <si>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</si>
  <si>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</si>
  <si>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</si>
  <si>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</si>
  <si>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</si>
  <si>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</si>
  <si>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</si>
  <si>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</si>
  <si>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</si>
  <si>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</si>
  <si>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</si>
  <si>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</si>
  <si>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</si>
  <si>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</si>
  <si>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</si>
  <si>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</si>
  <si>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</si>
  <si>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</si>
  <si>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</si>
  <si>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</si>
  <si>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</si>
  <si>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</si>
  <si>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</si>
  <si>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</si>
  <si>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</si>
  <si>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</si>
  <si>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</si>
  <si>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</si>
  <si>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</si>
  <si>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</si>
  <si>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</si>
  <si>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</si>
  <si>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</si>
  <si>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</si>
  <si>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</si>
  <si>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</si>
  <si>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</si>
  <si>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</si>
  <si>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</si>
  <si>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</si>
  <si>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</si>
  <si>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</si>
  <si>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</si>
  <si>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</si>
  <si>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</si>
  <si>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</si>
  <si>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</si>
  <si>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</si>
  <si>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</si>
  <si>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</si>
  <si>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</si>
  <si>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</si>
  <si>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</si>
  <si>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</si>
  <si>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</si>
  <si>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</si>
  <si>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</si>
  <si>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</si>
  <si>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</si>
  <si>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</si>
  <si>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</si>
  <si>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</si>
  <si>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</si>
  <si>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</si>
  <si>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</si>
  <si>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</si>
  <si>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</si>
  <si>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</si>
  <si>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</si>
  <si>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</si>
  <si>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</si>
  <si>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</si>
  <si>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</si>
  <si>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</si>
  <si>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</si>
  <si>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</si>
  <si>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</si>
  <si>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</si>
  <si>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</si>
  <si>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</si>
  <si>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</si>
  <si>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</si>
  <si>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</si>
  <si>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</si>
  <si>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</si>
  <si>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</si>
  <si>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</si>
  <si>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</si>
  <si>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</si>
  <si>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</si>
  <si>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</si>
  <si>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</si>
  <si>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</si>
  <si>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</si>
  <si>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</si>
  <si>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</si>
  <si>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</si>
  <si>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</si>
  <si>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</si>
  <si>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</si>
  <si>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</si>
  <si>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</si>
  <si>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</si>
  <si>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</si>
  <si>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</si>
  <si>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</si>
  <si>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</si>
  <si>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</si>
  <si>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</si>
  <si>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</si>
  <si>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</si>
  <si>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</si>
  <si>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</si>
  <si>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</si>
  <si>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</si>
  <si>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</si>
  <si>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</si>
  <si>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</si>
  <si>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</si>
  <si>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</si>
  <si>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</si>
  <si>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</si>
  <si>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</si>
  <si>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</si>
  <si>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</si>
  <si>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</si>
  <si>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</si>
  <si>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</si>
  <si>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</si>
  <si>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</si>
  <si>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</si>
  <si>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</si>
  <si>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</si>
  <si>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</si>
  <si>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</si>
  <si>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</si>
  <si>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</si>
  <si>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</si>
  <si>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</si>
  <si>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</si>
  <si>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</si>
  <si>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</si>
  <si>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</si>
  <si>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</si>
  <si>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</si>
  <si>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</si>
  <si>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</si>
  <si>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</si>
  <si>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</si>
  <si>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</si>
  <si>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</si>
  <si>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</si>
  <si>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</si>
  <si>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</si>
  <si>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</si>
  <si>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</si>
  <si>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</si>
  <si>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</si>
  <si>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</si>
  <si>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</si>
  <si>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</si>
  <si>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</si>
  <si>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</si>
  <si>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</si>
  <si>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</si>
  <si>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</si>
  <si>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</si>
  <si>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</si>
  <si>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</si>
  <si>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</si>
  <si>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</si>
  <si>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</si>
  <si>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</si>
  <si>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</si>
  <si>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</si>
  <si>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</si>
  <si>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</si>
  <si>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</si>
  <si>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</si>
  <si>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</si>
  <si>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</si>
  <si>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</si>
  <si>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</si>
  <si>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</si>
  <si>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</si>
  <si>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</si>
  <si>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</si>
  <si>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</si>
  <si>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</si>
  <si>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</si>
  <si>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</si>
  <si>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</si>
  <si>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</si>
  <si>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</si>
  <si>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</si>
  <si>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</si>
  <si>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</si>
  <si>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</si>
  <si>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</si>
  <si>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</si>
  <si>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</si>
  <si>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</si>
  <si>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</si>
  <si>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</si>
  <si>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</si>
  <si>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</si>
  <si>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</si>
  <si>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</si>
  <si>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</si>
  <si>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</si>
  <si>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</si>
  <si>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</si>
  <si>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</si>
  <si>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</si>
  <si>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</si>
  <si>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</si>
  <si>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</si>
  <si>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抵押价格</t>
  </si>
  <si>
    <t>企业</t>
  </si>
  <si>
    <t>是</t>
  </si>
  <si>
    <t>地上</t>
  </si>
  <si>
    <t>工业</t>
    <phoneticPr fontId="7" type="noConversion"/>
  </si>
  <si>
    <t>利息：取LPR加浮动点数</t>
  </si>
  <si>
    <t>不动产收益法</t>
  </si>
  <si>
    <t>土地（套用方法）</t>
  </si>
  <si>
    <t>押一</t>
  </si>
  <si>
    <t>钢混</t>
  </si>
  <si>
    <t>宗地容积率</t>
  </si>
  <si>
    <t>与级别开发程度不一致</t>
  </si>
  <si>
    <t>中心城区</t>
  </si>
  <si>
    <t>较好</t>
  </si>
  <si>
    <t>一般</t>
  </si>
  <si>
    <t>好</t>
  </si>
  <si>
    <t>剩余法-待开发</t>
  </si>
  <si>
    <t>正常</t>
  </si>
  <si>
    <t>楼面地价</t>
  </si>
  <si>
    <t>七级</t>
    <phoneticPr fontId="21" type="noConversion"/>
  </si>
  <si>
    <t>九级</t>
    <phoneticPr fontId="28" type="noConversion"/>
  </si>
  <si>
    <t>五级</t>
    <phoneticPr fontId="28" type="noConversion"/>
  </si>
  <si>
    <t>六级</t>
    <phoneticPr fontId="28" type="noConversion"/>
  </si>
  <si>
    <t>七级</t>
    <phoneticPr fontId="28" type="noConversion"/>
  </si>
  <si>
    <t>八级</t>
    <phoneticPr fontId="28" type="noConversion"/>
  </si>
  <si>
    <t>正常</t>
    <phoneticPr fontId="28" type="noConversion"/>
  </si>
  <si>
    <t>地块名称</t>
  </si>
  <si>
    <t>城市</t>
  </si>
  <si>
    <t>用地性质</t>
  </si>
  <si>
    <t>建设用地面积(㎡)</t>
  </si>
  <si>
    <t>规划建筑面积(㎡)</t>
  </si>
  <si>
    <t>出让方式</t>
  </si>
  <si>
    <t>详细规划</t>
  </si>
  <si>
    <t>集中供地</t>
  </si>
  <si>
    <t>截止日期</t>
  </si>
  <si>
    <t>成交日期</t>
  </si>
  <si>
    <t>受让单位</t>
  </si>
  <si>
    <t>起始价(万元)</t>
  </si>
  <si>
    <t>成交价(万元)</t>
  </si>
  <si>
    <t>成交每亩价(万元/亩)</t>
  </si>
  <si>
    <t>成交楼面价(元/㎡)</t>
  </si>
  <si>
    <t>溢价率</t>
  </si>
  <si>
    <t>土地星级</t>
  </si>
  <si>
    <t>挂牌</t>
  </si>
  <si>
    <t>M1一类工业用地</t>
  </si>
  <si>
    <t>2023-02-06</t>
  </si>
  <si>
    <t>北京高端制造业基地投资开发有限公司</t>
  </si>
  <si>
    <t>2星</t>
  </si>
  <si>
    <t>北京市房山区韩村河镇FS17-0101-0003地块M4工业研发用地项目</t>
  </si>
  <si>
    <t>M4工业研发用地</t>
  </si>
  <si>
    <t>2023-01-11</t>
  </si>
  <si>
    <t>北京乾景云海科技有限公司</t>
  </si>
  <si>
    <t>北京石化新材料科技产业基地核心区东区B7-13、B7-18地块工业用地项目</t>
  </si>
  <si>
    <t>≤1.0</t>
  </si>
  <si>
    <t>2021-08-25</t>
  </si>
  <si>
    <t>北京燕和盛投资管理有限公司</t>
  </si>
  <si>
    <t>3星</t>
  </si>
  <si>
    <t>北京高端制造业基地06街区03地块工业用地项目</t>
  </si>
  <si>
    <t>≤1.6</t>
  </si>
  <si>
    <t>M4工业研发用地(医药健康产业)</t>
  </si>
  <si>
    <t>2020-12-24</t>
  </si>
  <si>
    <t>北京京东方生命科技有限公司</t>
  </si>
  <si>
    <t>0星</t>
  </si>
  <si>
    <t>北京高端制造业基地01街区01-02(2)地块工业用地项目</t>
  </si>
  <si>
    <t>≤1.2</t>
  </si>
  <si>
    <t>2020-12-07</t>
  </si>
  <si>
    <t>十级</t>
    <phoneticPr fontId="28" type="noConversion"/>
  </si>
  <si>
    <r>
      <rPr>
        <sz val="10"/>
        <rFont val="宋体"/>
        <family val="3"/>
        <charset val="134"/>
      </rPr>
      <t>北京市房山区窦店新城组团</t>
    </r>
    <r>
      <rPr>
        <sz val="10"/>
        <rFont val="Arial"/>
        <family val="2"/>
      </rPr>
      <t>FS00-0308-0030</t>
    </r>
    <r>
      <rPr>
        <sz val="10"/>
        <rFont val="宋体"/>
        <family val="3"/>
        <charset val="134"/>
      </rPr>
      <t>地块</t>
    </r>
    <r>
      <rPr>
        <sz val="10"/>
        <rFont val="Arial"/>
        <family val="2"/>
      </rPr>
      <t>M1</t>
    </r>
    <r>
      <rPr>
        <sz val="10"/>
        <rFont val="宋体"/>
        <family val="3"/>
        <charset val="134"/>
      </rPr>
      <t>一类工业用地项目</t>
    </r>
    <phoneticPr fontId="224" type="noConversion"/>
  </si>
  <si>
    <t>否</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</si>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</sst>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cellStyleXfs>
  <cellXfs count="39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7" fillId="0" borderId="46" xfId="0" applyNumberFormat="1" applyFont="1" applyFill="1" applyBorder="1" applyAlignment="1" applyProtection="1">
      <alignment horizontal="left" vertical="center" wrapText="1"/>
      <protection locked="0"/>
    </xf>
    <xf numFmtId="0" fontId="140" fillId="2" borderId="8"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2" borderId="33" xfId="0" applyNumberFormat="1" applyFont="1" applyFill="1" applyBorder="1" applyAlignment="1" applyProtection="1">
      <alignment horizontal="center" vertical="center" wrapText="1"/>
      <protection locked="0"/>
    </xf>
    <xf numFmtId="0" fontId="82" fillId="0" borderId="0" xfId="18"/>
    <xf numFmtId="0" fontId="82" fillId="7" borderId="0" xfId="18" applyFill="1"/>
    <xf numFmtId="0" fontId="0" fillId="7" borderId="0" xfId="0" applyFill="1">
      <alignment vertical="center"/>
    </xf>
    <xf numFmtId="9" fontId="0" fillId="0" borderId="2" xfId="0" applyNumberFormat="1" applyBorder="1" applyAlignment="1" applyProtection="1">
      <alignment horizontal="left"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1667.9平方米。根据《建设工程规划许可证》[]、《出让合同》[]，估价对象规划建筑面积为3611.7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2023年3月1日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根据《国有土地使用证》[]，估价对象（分摊）出让国有建设用地使用权面积为1667.9平方米。根据《建设工程规划许可证》[]、《出让合同》[]，估价对象规划建筑面积为3611.7平方米。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2049年4月30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3月1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6.2"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估价期日：2023年3月1日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1667.9</v>
      </c>
    </row>
    <row r="44" spans="1:2">
      <c r="A44" s="2357" t="s">
        <v>2022</v>
      </c>
      <c r="B44" s="2358" t="str">
        <f>'预评函-2'!O3</f>
        <v>规划建筑面积/㎡</v>
      </c>
    </row>
    <row r="45" spans="1:2">
      <c r="A45" s="2357" t="s">
        <v>2004</v>
      </c>
      <c r="B45" s="2358">
        <f>'预评函-2'!O5</f>
        <v>3611.7</v>
      </c>
    </row>
    <row r="46" spans="1:2">
      <c r="A46" s="2357" t="s">
        <v>2005</v>
      </c>
      <c r="B46" s="2358">
        <f ca="1">'预评函-2'!P5</f>
        <v>3741</v>
      </c>
    </row>
    <row r="47" spans="1:2">
      <c r="A47" s="2357" t="s">
        <v>2006</v>
      </c>
      <c r="B47" s="2358">
        <f ca="1">'预评函-2'!Q5</f>
        <v>1728</v>
      </c>
    </row>
    <row r="48" spans="1:2">
      <c r="A48" s="2357" t="s">
        <v>2007</v>
      </c>
      <c r="B48" s="2358">
        <f ca="1">'预评函-2'!R5</f>
        <v>624</v>
      </c>
    </row>
    <row r="49" spans="1:2">
      <c r="A49" s="2357" t="s">
        <v>2023</v>
      </c>
      <c r="B49" s="2358" t="str">
        <f>'预评函-2'!A6</f>
        <v>抵押价格</v>
      </c>
    </row>
    <row r="50" spans="1:2">
      <c r="A50" s="2357" t="s">
        <v>2008</v>
      </c>
      <c r="B50" s="2358">
        <f ca="1">'预评函-2'!R6</f>
        <v>624</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18" sqref="C18"/>
    </sheetView>
  </sheetViews>
  <sheetFormatPr defaultColWidth="15.21875" defaultRowHeight="14.4"/>
  <cols>
    <col min="1" max="16384" width="15.21875" style="3285"/>
  </cols>
  <sheetData>
    <row r="1" spans="1:6">
      <c r="A1" s="3282" t="s">
        <v>2676</v>
      </c>
      <c r="B1" s="3283"/>
      <c r="C1" s="3283"/>
      <c r="D1" s="3283"/>
      <c r="E1" s="3283"/>
      <c r="F1" s="3284"/>
    </row>
    <row r="2" spans="1:6">
      <c r="A2" s="3286"/>
      <c r="B2" s="3287"/>
      <c r="C2" s="3287"/>
      <c r="D2" s="3287"/>
      <c r="E2" s="3287"/>
      <c r="F2" s="3288"/>
    </row>
    <row r="3" spans="1:6">
      <c r="A3" s="3289" t="s">
        <v>2677</v>
      </c>
      <c r="B3" s="3290">
        <f>项目基本情况!D3</f>
        <v>44986</v>
      </c>
      <c r="C3" s="3291"/>
      <c r="D3" s="3291"/>
      <c r="E3" s="3291"/>
      <c r="F3" s="3288"/>
    </row>
    <row r="4" spans="1:6">
      <c r="A4" s="3289" t="s">
        <v>2678</v>
      </c>
      <c r="B4" s="3292" t="s">
        <v>2679</v>
      </c>
      <c r="C4" s="3292" t="s">
        <v>2680</v>
      </c>
      <c r="D4" s="3292" t="s">
        <v>2681</v>
      </c>
      <c r="E4" s="3292" t="s">
        <v>2682</v>
      </c>
      <c r="F4" s="3288"/>
    </row>
    <row r="5" spans="1:6">
      <c r="A5" s="3293">
        <v>50</v>
      </c>
      <c r="B5" s="3290">
        <f>项目基本情况!H17</f>
        <v>54543</v>
      </c>
      <c r="C5" s="3292">
        <f>ROUNDDOWN(MIN((B5-B3)/365,A5),2)</f>
        <v>26.18</v>
      </c>
      <c r="D5" s="3294">
        <f>IF(ISERROR(ROUND(POWER(1+E5,A5-C5)*(POWER(1+E5,C5)-1)/(POWER(1+E5,A5)-1),3)),0,ROUND(POWER(1+E5,A5-C5)*(POWER(1+E5,C5)-1)/(POWER(1+E5,A5)-1),4))</f>
        <v>0.79010000000000002</v>
      </c>
      <c r="E5" s="3295">
        <v>0.05</v>
      </c>
      <c r="F5" s="3288"/>
    </row>
    <row r="6" spans="1:6">
      <c r="A6" s="3293"/>
      <c r="B6" s="3290"/>
      <c r="C6" s="3292">
        <f>ROUNDDOWN(MIN((B6-B3)/365,A6),2)</f>
        <v>-123.24</v>
      </c>
      <c r="D6" s="3294">
        <f>IF(ISERROR(ROUND(POWER(1+E6,A6-C6)*(POWER(1+E6,C6)-1)/(POWER(1+E6,A6)-1),3)),0,ROUND(POWER(1+E6,A6-C6)*(POWER(1+E6,C6)-1)/(POWER(1+E6,A6)-1),4))</f>
        <v>0</v>
      </c>
      <c r="E6" s="3295"/>
      <c r="F6" s="3288"/>
    </row>
    <row r="7" spans="1:6">
      <c r="A7" s="3293"/>
      <c r="B7" s="3290"/>
      <c r="C7" s="3292">
        <f>ROUNDDOWN(MIN((B7-B3)/365,A7),2)</f>
        <v>-123.24</v>
      </c>
      <c r="D7" s="3294">
        <f>IF(ISERROR(ROUND(POWER(1+E7,A7-C7)*(POWER(1+E7,C7)-1)/(POWER(1+E7,A7)-1),3)),0,ROUND(POWER(1+E7,A7-C7)*(POWER(1+E7,C7)-1)/(POWER(1+E7,A7)-1),4))</f>
        <v>0</v>
      </c>
      <c r="E7" s="3295"/>
      <c r="F7" s="3288"/>
    </row>
    <row r="8" spans="1:6">
      <c r="A8" s="3286"/>
      <c r="B8" s="3287"/>
      <c r="C8" s="3287"/>
      <c r="D8" s="3287"/>
      <c r="E8" s="3287"/>
      <c r="F8" s="3288"/>
    </row>
    <row r="9" spans="1:6">
      <c r="A9" s="3289" t="s">
        <v>2683</v>
      </c>
      <c r="B9" s="3292"/>
      <c r="C9" s="3292"/>
      <c r="D9" s="3292"/>
      <c r="E9" s="3292"/>
      <c r="F9" s="3296"/>
    </row>
    <row r="10" spans="1:6">
      <c r="A10" s="3289" t="s">
        <v>2684</v>
      </c>
      <c r="B10" s="3292"/>
      <c r="C10" s="3292"/>
      <c r="D10" s="3292" t="s">
        <v>2682</v>
      </c>
      <c r="E10" s="3292"/>
      <c r="F10" s="3296" t="s">
        <v>2681</v>
      </c>
    </row>
    <row r="11" spans="1:6">
      <c r="A11" s="3289" t="s">
        <v>2685</v>
      </c>
      <c r="B11" s="3297">
        <v>50</v>
      </c>
      <c r="C11" s="3292" t="s">
        <v>2686</v>
      </c>
      <c r="D11" s="3669">
        <v>0.05</v>
      </c>
      <c r="E11" s="3292" t="s">
        <v>2687</v>
      </c>
      <c r="F11" s="3299">
        <f>ROUND(1-(1/(POWER(1+D11,B11))),4)</f>
        <v>0.91279999999999994</v>
      </c>
    </row>
    <row r="12" spans="1:6">
      <c r="A12" s="3289" t="s">
        <v>2688</v>
      </c>
      <c r="B12" s="3297">
        <v>20</v>
      </c>
      <c r="C12" s="3292" t="s">
        <v>2689</v>
      </c>
      <c r="D12" s="3669">
        <v>0.05</v>
      </c>
      <c r="E12" s="3292" t="s">
        <v>2690</v>
      </c>
      <c r="F12" s="3299">
        <f>ROUND(1-(1/(POWER(1+D12,B12))),4)</f>
        <v>0.62309999999999999</v>
      </c>
    </row>
    <row r="13" spans="1:6">
      <c r="A13" s="3289" t="s">
        <v>2691</v>
      </c>
      <c r="B13" s="3292"/>
      <c r="C13" s="3291"/>
      <c r="D13" s="3287"/>
      <c r="E13" s="3287"/>
      <c r="F13" s="3288"/>
    </row>
    <row r="14" spans="1:6">
      <c r="A14" s="3289" t="s">
        <v>2692</v>
      </c>
      <c r="B14" s="3297"/>
      <c r="C14" s="3291"/>
      <c r="D14" s="3287"/>
      <c r="E14" s="3287"/>
      <c r="F14" s="3288"/>
    </row>
    <row r="15" spans="1:6">
      <c r="A15" s="3289" t="s">
        <v>2693</v>
      </c>
      <c r="B15" s="3292">
        <f>ROUND(B14*F12/F11,2)</f>
        <v>0</v>
      </c>
      <c r="C15" s="3292">
        <f>ROUND(F12/F11,4)</f>
        <v>0.68259999999999998</v>
      </c>
      <c r="D15" s="3287"/>
      <c r="E15" s="3287"/>
      <c r="F15" s="3288"/>
    </row>
    <row r="16" spans="1:6">
      <c r="A16" s="3289" t="s">
        <v>2694</v>
      </c>
      <c r="B16" s="3292"/>
      <c r="C16" s="3291"/>
      <c r="D16" s="3287"/>
      <c r="E16" s="3287"/>
      <c r="F16" s="3288"/>
    </row>
    <row r="17" spans="1:7">
      <c r="A17" s="3289" t="s">
        <v>2693</v>
      </c>
      <c r="B17" s="3298"/>
      <c r="C17" s="3291"/>
      <c r="D17" s="3287"/>
      <c r="E17" s="3287"/>
      <c r="F17" s="3288"/>
    </row>
    <row r="18" spans="1:7" ht="15" thickBot="1">
      <c r="A18" s="3300" t="s">
        <v>2692</v>
      </c>
      <c r="B18" s="3301">
        <f>ROUND(B17*F11/F12,2)</f>
        <v>0</v>
      </c>
      <c r="C18" s="3301">
        <f>ROUND(F11/F12,4)</f>
        <v>1.4649000000000001</v>
      </c>
      <c r="D18" s="3302"/>
      <c r="E18" s="3302"/>
      <c r="F18" s="3303"/>
    </row>
    <row r="19" spans="1:7" ht="15" thickBot="1"/>
    <row r="20" spans="1:7">
      <c r="A20" s="3304" t="s">
        <v>2695</v>
      </c>
      <c r="B20" s="3305"/>
      <c r="C20" s="3305"/>
      <c r="D20" s="3305"/>
      <c r="E20" s="3305"/>
      <c r="F20" s="3305"/>
      <c r="G20" s="3306"/>
    </row>
    <row r="21" spans="1:7">
      <c r="A21" s="3307"/>
      <c r="B21" s="3308" t="s">
        <v>2696</v>
      </c>
      <c r="C21" s="3308" t="s">
        <v>2697</v>
      </c>
      <c r="D21" s="3308" t="s">
        <v>2698</v>
      </c>
      <c r="E21" s="3308" t="s">
        <v>2699</v>
      </c>
      <c r="F21" s="3308" t="s">
        <v>2700</v>
      </c>
      <c r="G21" s="3309" t="s">
        <v>2701</v>
      </c>
    </row>
    <row r="22" spans="1:7">
      <c r="A22" s="3307" t="s">
        <v>2702</v>
      </c>
      <c r="B22" s="3310">
        <v>50</v>
      </c>
      <c r="C22" s="3310">
        <v>32</v>
      </c>
      <c r="D22" s="3311">
        <v>0.05</v>
      </c>
      <c r="E22" s="3308">
        <f>ROUND(POWER(1+D22,B22-C22)*(POWER(1+D22,C22)-1)/(POWER(1+D22,B22)-1),3)</f>
        <v>0.86599999999999999</v>
      </c>
      <c r="F22" s="3311">
        <v>0.6</v>
      </c>
      <c r="G22" s="3309">
        <f>ROUND(100*(1-(1-E22)*F22),1)</f>
        <v>92</v>
      </c>
    </row>
    <row r="23" spans="1:7">
      <c r="A23" s="3312" t="s">
        <v>2703</v>
      </c>
      <c r="B23" s="3310">
        <v>50</v>
      </c>
      <c r="C23" s="3310">
        <v>35</v>
      </c>
      <c r="D23" s="3311">
        <v>0.05</v>
      </c>
      <c r="E23" s="3308">
        <f>ROUND(POWER(1+D23,B23-C23)*(POWER(1+D23,C23)-1)/(POWER(1+D23,B23)-1),3)</f>
        <v>0.89700000000000002</v>
      </c>
      <c r="F23" s="3311">
        <f>F22</f>
        <v>0.6</v>
      </c>
      <c r="G23" s="3309">
        <f>ROUND(100*(1-(1-E23)*F23),1)</f>
        <v>93.8</v>
      </c>
    </row>
    <row r="24" spans="1:7">
      <c r="A24" s="3312" t="s">
        <v>2704</v>
      </c>
      <c r="B24" s="3310">
        <v>50</v>
      </c>
      <c r="C24" s="3310">
        <v>25</v>
      </c>
      <c r="D24" s="3311">
        <v>0.05</v>
      </c>
      <c r="E24" s="3308">
        <f>ROUND(POWER(1+D24,B24-C24)*(POWER(1+D24,C24)-1)/(POWER(1+D24,B24)-1),3)</f>
        <v>0.77200000000000002</v>
      </c>
      <c r="F24" s="3311">
        <f>F23</f>
        <v>0.6</v>
      </c>
      <c r="G24" s="3309">
        <f>ROUND(100*(1-(1-E24)*F24),1)</f>
        <v>86.3</v>
      </c>
    </row>
    <row r="25" spans="1:7">
      <c r="A25" s="3312" t="s">
        <v>2705</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2706</v>
      </c>
      <c r="B27" s="3317"/>
      <c r="C27" s="3317"/>
      <c r="D27" s="3317"/>
      <c r="E27" s="3317"/>
      <c r="F27" s="3317"/>
      <c r="G27" s="3318"/>
    </row>
    <row r="28" spans="1:7">
      <c r="A28" s="3316" t="s">
        <v>2707</v>
      </c>
      <c r="B28" s="3317"/>
      <c r="C28" s="3317"/>
      <c r="D28" s="3317"/>
      <c r="E28" s="3317"/>
      <c r="F28" s="3317"/>
      <c r="G28" s="3318"/>
    </row>
    <row r="29" spans="1:7">
      <c r="A29" s="3316" t="s">
        <v>2708</v>
      </c>
      <c r="B29" s="3317"/>
      <c r="C29" s="3317"/>
      <c r="D29" s="3317"/>
      <c r="E29" s="3317"/>
      <c r="F29" s="3317"/>
      <c r="G29" s="3318"/>
    </row>
    <row r="30" spans="1:7">
      <c r="A30" s="3316" t="s">
        <v>2709</v>
      </c>
      <c r="B30" s="3317"/>
      <c r="C30" s="3317"/>
      <c r="D30" s="3317"/>
      <c r="E30" s="3317"/>
      <c r="F30" s="3317"/>
      <c r="G30" s="3318"/>
    </row>
    <row r="31" spans="1:7">
      <c r="A31" s="3316" t="s">
        <v>2710</v>
      </c>
      <c r="B31" s="3317"/>
      <c r="C31" s="3317"/>
      <c r="D31" s="3317"/>
      <c r="E31" s="3317"/>
      <c r="F31" s="3317"/>
      <c r="G31" s="3318"/>
    </row>
    <row r="32" spans="1:7">
      <c r="A32" s="3316" t="s">
        <v>2711</v>
      </c>
      <c r="B32" s="3317"/>
      <c r="C32" s="3317"/>
      <c r="D32" s="3317"/>
      <c r="E32" s="3317"/>
      <c r="F32" s="3317"/>
      <c r="G32" s="3318"/>
    </row>
    <row r="33" spans="1:7">
      <c r="A33" s="3316" t="s">
        <v>2712</v>
      </c>
      <c r="B33" s="3317"/>
      <c r="C33" s="3317"/>
      <c r="D33" s="3317"/>
      <c r="E33" s="3317"/>
      <c r="F33" s="3317"/>
      <c r="G33" s="3318"/>
    </row>
    <row r="34" spans="1:7">
      <c r="A34" s="3316" t="s">
        <v>2713</v>
      </c>
      <c r="B34" s="3317"/>
      <c r="C34" s="3317"/>
      <c r="D34" s="3317"/>
      <c r="E34" s="3317"/>
      <c r="F34" s="3317"/>
      <c r="G34" s="3318"/>
    </row>
    <row r="35" spans="1:7">
      <c r="A35" s="3316" t="s">
        <v>2714</v>
      </c>
      <c r="B35" s="3317"/>
      <c r="C35" s="3317"/>
      <c r="D35" s="3317"/>
      <c r="E35" s="3317"/>
      <c r="F35" s="3317"/>
      <c r="G35" s="3318"/>
    </row>
    <row r="36" spans="1:7">
      <c r="A36" s="3316" t="s">
        <v>2715</v>
      </c>
      <c r="B36" s="3317"/>
      <c r="C36" s="3317"/>
      <c r="D36" s="3317"/>
      <c r="E36" s="3317"/>
      <c r="F36" s="3317"/>
      <c r="G36" s="3318"/>
    </row>
    <row r="37" spans="1:7">
      <c r="A37" s="3316" t="s">
        <v>2716</v>
      </c>
      <c r="B37" s="3317"/>
      <c r="C37" s="3317"/>
      <c r="D37" s="3317"/>
      <c r="E37" s="3317"/>
      <c r="F37" s="3317"/>
      <c r="G37" s="3318"/>
    </row>
    <row r="38" spans="1:7">
      <c r="A38" s="3316" t="s">
        <v>2717</v>
      </c>
      <c r="B38" s="3317"/>
      <c r="C38" s="3317"/>
      <c r="D38" s="3317"/>
      <c r="E38" s="3317"/>
      <c r="F38" s="3317"/>
      <c r="G38" s="3318"/>
    </row>
    <row r="39" spans="1:7">
      <c r="A39" s="3316"/>
      <c r="B39" s="3317"/>
      <c r="C39" s="3317"/>
      <c r="D39" s="3317"/>
      <c r="E39" s="3317"/>
      <c r="F39" s="3317"/>
      <c r="G39" s="3318"/>
    </row>
    <row r="40" spans="1:7">
      <c r="A40" s="3319" t="s">
        <v>2718</v>
      </c>
      <c r="B40" s="3320"/>
      <c r="C40" s="3320"/>
      <c r="D40" s="3320"/>
      <c r="E40" s="3320"/>
      <c r="F40" s="3320"/>
      <c r="G40" s="3321"/>
    </row>
    <row r="41" spans="1:7">
      <c r="A41" s="3322" t="s">
        <v>2719</v>
      </c>
      <c r="B41" s="3323" t="s">
        <v>2720</v>
      </c>
      <c r="C41" s="3324" t="s">
        <v>2721</v>
      </c>
      <c r="D41" s="3324" t="s">
        <v>2722</v>
      </c>
      <c r="E41" s="3325"/>
      <c r="F41" s="3326"/>
      <c r="G41" s="3327"/>
    </row>
    <row r="42" spans="1:7">
      <c r="A42" s="3322" t="s">
        <v>2723</v>
      </c>
      <c r="B42" s="3323" t="s">
        <v>2724</v>
      </c>
      <c r="C42" s="3324" t="s">
        <v>2724</v>
      </c>
      <c r="D42" s="3328" t="s">
        <v>2725</v>
      </c>
      <c r="E42" s="3320" t="s">
        <v>2726</v>
      </c>
      <c r="F42" s="3320"/>
      <c r="G42" s="3321"/>
    </row>
    <row r="43" spans="1:7">
      <c r="A43" s="3322" t="s">
        <v>2727</v>
      </c>
      <c r="B43" s="3323" t="s">
        <v>2728</v>
      </c>
      <c r="C43" s="3324" t="s">
        <v>2729</v>
      </c>
      <c r="D43" s="3324" t="s">
        <v>2730</v>
      </c>
      <c r="E43" s="3325" t="s">
        <v>2731</v>
      </c>
      <c r="F43" s="3326"/>
      <c r="G43" s="3327"/>
    </row>
    <row r="44" spans="1:7">
      <c r="A44" s="3322" t="s">
        <v>2732</v>
      </c>
      <c r="B44" s="3323" t="s">
        <v>2733</v>
      </c>
      <c r="C44" s="3324" t="s">
        <v>2734</v>
      </c>
      <c r="D44" s="3328">
        <v>0.5</v>
      </c>
      <c r="E44" s="3325" t="s">
        <v>2735</v>
      </c>
      <c r="F44" s="3326"/>
      <c r="G44" s="3327"/>
    </row>
    <row r="45" spans="1:7" ht="15" thickBot="1">
      <c r="A45" s="3329" t="s">
        <v>2736</v>
      </c>
      <c r="B45" s="3330" t="s">
        <v>2724</v>
      </c>
      <c r="C45" s="3331" t="s">
        <v>2724</v>
      </c>
      <c r="D45" s="3331" t="s">
        <v>2737</v>
      </c>
      <c r="E45" s="3332" t="s">
        <v>2738</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N33" sqref="N33"/>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16" t="str">
        <f>IF(B10="北京市","北京市",C10)&amp;F10&amp;A17&amp;"国有建设用地使用权"&amp;B9&amp;"预评估"</f>
        <v>北京市出让国有建设用地使用权抵押价格预评估</v>
      </c>
      <c r="C1" s="3717"/>
      <c r="D1" s="3717"/>
      <c r="E1" s="3717"/>
      <c r="F1" s="3717"/>
      <c r="G1" s="3717"/>
      <c r="H1" s="3717"/>
      <c r="I1" s="3718"/>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44986</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22" t="s">
        <v>1464</v>
      </c>
      <c r="E8" s="1628" t="s">
        <v>3260</v>
      </c>
      <c r="F8" s="1475"/>
      <c r="G8" s="2817"/>
      <c r="H8" s="2817"/>
      <c r="I8" s="2820"/>
      <c r="J8" s="2816"/>
      <c r="K8" s="2799"/>
      <c r="L8" s="2795"/>
      <c r="M8" s="2795"/>
      <c r="N8" s="2796"/>
      <c r="O8" s="2797"/>
      <c r="P8" s="2796"/>
      <c r="Q8" s="2796"/>
      <c r="R8" s="2796"/>
      <c r="S8" s="2796"/>
      <c r="T8" s="2796"/>
      <c r="U8" s="2796"/>
    </row>
    <row r="9" spans="1:21" ht="16.2" thickBot="1">
      <c r="A9" s="2741" t="s">
        <v>1463</v>
      </c>
      <c r="B9" s="1476" t="s">
        <v>3260</v>
      </c>
      <c r="C9" s="1477"/>
      <c r="D9" s="3723"/>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3261</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9"/>
      <c r="C12" s="3720"/>
      <c r="D12" s="3721"/>
      <c r="E12" s="1494" t="s">
        <v>1579</v>
      </c>
      <c r="F12" s="3737" t="s">
        <v>2163</v>
      </c>
      <c r="G12" s="3738"/>
      <c r="H12" s="3738"/>
      <c r="I12" s="3739"/>
      <c r="J12" s="2816"/>
      <c r="K12" s="2799"/>
      <c r="L12" s="2795"/>
      <c r="M12" s="2795"/>
      <c r="N12" s="2796"/>
      <c r="O12" s="2797"/>
      <c r="P12" s="2796"/>
      <c r="Q12" s="2796"/>
      <c r="R12" s="2796"/>
      <c r="S12" s="2796"/>
      <c r="T12" s="2796"/>
      <c r="U12" s="2796"/>
    </row>
    <row r="13" spans="1:21">
      <c r="A13" s="1485" t="s">
        <v>1577</v>
      </c>
      <c r="B13" s="3719"/>
      <c r="C13" s="3720"/>
      <c r="D13" s="3721"/>
      <c r="E13" s="1494" t="s">
        <v>1579</v>
      </c>
      <c r="F13" s="3737" t="s">
        <v>2164</v>
      </c>
      <c r="G13" s="3738"/>
      <c r="H13" s="3738"/>
      <c r="I13" s="3739"/>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6.8">
      <c r="A16" s="2744" t="s">
        <v>1467</v>
      </c>
      <c r="B16" s="1494" t="s">
        <v>1468</v>
      </c>
      <c r="C16" s="3281"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工业2049年4月30日</v>
      </c>
      <c r="T16" s="1494" t="str">
        <f>IF(OR(S16="",U16=""),"","、")</f>
        <v/>
      </c>
      <c r="U16" s="2108" t="str">
        <f>IF(I17="","",I16&amp;TEXT(I17,"yyyy年m月d日;;"))</f>
        <v/>
      </c>
    </row>
    <row r="17" spans="1:21">
      <c r="A17" s="3335" t="s">
        <v>2744</v>
      </c>
      <c r="B17" s="2745" t="s">
        <v>1473</v>
      </c>
      <c r="C17" s="3334"/>
      <c r="D17" s="3334"/>
      <c r="E17" s="3334"/>
      <c r="F17" s="3334"/>
      <c r="G17" s="3334"/>
      <c r="H17" s="3334">
        <v>54543</v>
      </c>
      <c r="I17" s="3334"/>
      <c r="J17" s="2816"/>
      <c r="K17" s="2794" t="str">
        <f>CONCATENATE(K16,L16,M16,N16,O16,P16,Q16,R16,S16,T16,,U16)</f>
        <v>工业2049年4月30日</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26.18</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34"/>
      <c r="E20" s="3735"/>
      <c r="F20" s="3735"/>
      <c r="G20" s="3735"/>
      <c r="H20" s="3735"/>
      <c r="I20" s="3736"/>
      <c r="J20" s="2816"/>
      <c r="K20" s="2799"/>
      <c r="L20" s="2795"/>
      <c r="M20" s="2795"/>
      <c r="N20" s="2796"/>
      <c r="O20" s="2797"/>
      <c r="P20" s="2796"/>
      <c r="Q20" s="2796"/>
      <c r="R20" s="2796"/>
      <c r="S20" s="2796"/>
      <c r="T20" s="2796"/>
      <c r="U20" s="2796"/>
    </row>
    <row r="21" spans="1:21">
      <c r="A21" s="1552" t="s">
        <v>1476</v>
      </c>
      <c r="B21" s="1553" t="s">
        <v>1477</v>
      </c>
      <c r="C21" s="1548">
        <f>'数据-汇总表'!E3</f>
        <v>3611.7</v>
      </c>
      <c r="D21" s="1549" t="s">
        <v>1478</v>
      </c>
      <c r="E21" s="3724" t="s">
        <v>1516</v>
      </c>
      <c r="F21" s="3725"/>
      <c r="G21" s="3725"/>
      <c r="H21" s="3725"/>
      <c r="I21" s="3726"/>
      <c r="J21" s="2816"/>
      <c r="K21" s="2799"/>
      <c r="L21" s="2795"/>
      <c r="M21" s="2795"/>
      <c r="N21" s="2796"/>
      <c r="O21" s="2797"/>
      <c r="P21" s="2796"/>
      <c r="Q21" s="2796"/>
      <c r="R21" s="2796"/>
      <c r="S21" s="2796"/>
      <c r="T21" s="2796"/>
      <c r="U21" s="2796"/>
    </row>
    <row r="22" spans="1:21">
      <c r="A22" s="2556" t="s">
        <v>877</v>
      </c>
      <c r="B22" s="1464" t="s">
        <v>1479</v>
      </c>
      <c r="C22" s="1484">
        <f>'数据-汇总表'!D3</f>
        <v>1667.9</v>
      </c>
      <c r="D22" s="1485" t="s">
        <v>1478</v>
      </c>
      <c r="E22" s="3724" t="s">
        <v>2165</v>
      </c>
      <c r="F22" s="3725"/>
      <c r="G22" s="3725"/>
      <c r="H22" s="3725"/>
      <c r="I22" s="3726"/>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7" t="s">
        <v>1484</v>
      </c>
      <c r="C24" s="3728"/>
      <c r="D24" s="3729" t="s">
        <v>1485</v>
      </c>
      <c r="E24" s="3730"/>
      <c r="F24" s="1502" t="s">
        <v>1486</v>
      </c>
      <c r="G24" s="2816"/>
      <c r="H24" s="2816"/>
      <c r="I24" s="2820"/>
      <c r="J24" s="2816"/>
      <c r="K24" s="371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1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1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01" t="s">
        <v>1519</v>
      </c>
      <c r="B31" s="1553" t="s">
        <v>1520</v>
      </c>
      <c r="C31" s="3740"/>
      <c r="D31" s="3741"/>
      <c r="E31" s="2816"/>
      <c r="F31" s="2816"/>
      <c r="G31" s="2816"/>
      <c r="H31" s="2816"/>
      <c r="I31" s="2820"/>
      <c r="J31" s="2816"/>
      <c r="K31" s="2802"/>
      <c r="L31" s="2796"/>
      <c r="M31" s="2796"/>
      <c r="N31" s="2796"/>
      <c r="O31" s="2796"/>
      <c r="P31" s="2796"/>
      <c r="Q31" s="2796"/>
      <c r="R31" s="2796"/>
      <c r="S31" s="2796"/>
      <c r="T31" s="2796"/>
      <c r="U31" s="2796"/>
    </row>
    <row r="32" spans="1:21">
      <c r="A32" s="370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0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02"/>
      <c r="B34" s="1464" t="s">
        <v>1523</v>
      </c>
      <c r="C34" s="3703"/>
      <c r="D34" s="3704"/>
      <c r="E34" s="2816"/>
      <c r="F34" s="2816"/>
      <c r="G34" s="2816"/>
      <c r="H34" s="2816"/>
      <c r="I34" s="2820"/>
      <c r="J34" s="2816"/>
      <c r="K34" s="2802"/>
      <c r="L34" s="2796"/>
      <c r="M34" s="2796"/>
      <c r="N34" s="2796"/>
      <c r="O34" s="2796"/>
      <c r="P34" s="2796"/>
      <c r="Q34" s="2796"/>
      <c r="R34" s="2796"/>
      <c r="S34" s="2796"/>
      <c r="T34" s="2796"/>
      <c r="U34" s="2796"/>
    </row>
    <row r="35" spans="1:28">
      <c r="A35" s="3705" t="s">
        <v>785</v>
      </c>
      <c r="B35" s="1516"/>
      <c r="C35" s="1562" t="str">
        <f>IF(B35="场地平整","——","具体情况：")</f>
        <v>具体情况：</v>
      </c>
      <c r="D35" s="3707"/>
      <c r="E35" s="3708"/>
      <c r="F35" s="3708"/>
      <c r="G35" s="3708"/>
      <c r="H35" s="3708"/>
      <c r="I35" s="3709"/>
      <c r="J35" s="2816"/>
      <c r="K35" s="2803"/>
      <c r="L35" s="2795"/>
      <c r="M35" s="2795"/>
      <c r="N35" s="2796"/>
      <c r="O35" s="2797"/>
      <c r="P35" s="2796"/>
      <c r="Q35" s="2796"/>
      <c r="R35" s="2796"/>
      <c r="S35" s="2796"/>
      <c r="T35" s="2796"/>
      <c r="U35" s="2796"/>
    </row>
    <row r="36" spans="1:28">
      <c r="A36" s="3701"/>
      <c r="B36" s="3710" t="s">
        <v>1572</v>
      </c>
      <c r="C36" s="3711"/>
      <c r="D36" s="1578"/>
      <c r="E36" s="3712"/>
      <c r="F36" s="3712"/>
      <c r="G36" s="1485" t="str">
        <f>IF(B35="场地未平整","估价结果处理","")</f>
        <v/>
      </c>
      <c r="H36" s="3713"/>
      <c r="I36" s="3713"/>
      <c r="J36" s="2816"/>
      <c r="K36" s="2803"/>
      <c r="L36" s="2795"/>
      <c r="M36" s="2795"/>
      <c r="N36" s="2796"/>
      <c r="O36" s="2797"/>
      <c r="P36" s="2796"/>
      <c r="Q36" s="2796"/>
      <c r="R36" s="2796"/>
      <c r="S36" s="2796"/>
      <c r="T36" s="2796"/>
      <c r="U36" s="2796"/>
    </row>
    <row r="37" spans="1:28" ht="31.2">
      <c r="A37" s="3701"/>
      <c r="B37" s="373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01"/>
      <c r="B38" s="3732"/>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02"/>
      <c r="B39" s="3733"/>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14" t="s">
        <v>1503</v>
      </c>
      <c r="T40" s="1525" t="str">
        <f>NUMBERSTRING(7-K40,1)&amp;"通"</f>
        <v>七通</v>
      </c>
      <c r="U40" s="2796"/>
    </row>
    <row r="41" spans="1:28">
      <c r="A41" s="1466"/>
      <c r="B41" s="3706" t="s">
        <v>1250</v>
      </c>
      <c r="C41" s="3706"/>
      <c r="D41" s="3706"/>
      <c r="E41" s="3706"/>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14"/>
      <c r="T41" s="1527" t="str">
        <f>IF(T40="一通",L41,IF(T40="二通",M41,IF(T40="三通",N41,IF(T40="四通",O41,IF(T40="五通",P41,IF(T40="六通",Q41,R41))))))</f>
        <v>、、、、、、</v>
      </c>
      <c r="U41" s="2796"/>
    </row>
    <row r="42" spans="1:28">
      <c r="A42" s="1529"/>
      <c r="B42" s="1555" t="s">
        <v>1422</v>
      </c>
      <c r="C42" s="1555" t="s">
        <v>1423</v>
      </c>
      <c r="D42" s="1555" t="s">
        <v>1424</v>
      </c>
      <c r="E42" s="3281" t="s">
        <v>2745</v>
      </c>
      <c r="F42" s="3281" t="s">
        <v>2746</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1154</v>
      </c>
      <c r="F43" s="1531"/>
      <c r="G43" s="2816"/>
      <c r="H43" s="2816"/>
      <c r="I43" s="2820"/>
      <c r="J43" s="2816"/>
      <c r="K43" s="2799"/>
      <c r="L43" s="2795"/>
      <c r="M43" s="2795"/>
      <c r="N43" s="2796"/>
      <c r="O43" s="2797"/>
      <c r="P43" s="2796"/>
      <c r="Q43" s="2796"/>
      <c r="R43" s="2796"/>
      <c r="S43" s="2796"/>
      <c r="T43" s="2796"/>
      <c r="U43" s="2796"/>
    </row>
    <row r="44" spans="1:28" ht="31.2">
      <c r="A44" s="2767" t="s">
        <v>1236</v>
      </c>
      <c r="B44" s="1531"/>
      <c r="C44" s="1531"/>
      <c r="D44" s="1531"/>
      <c r="E44" s="1578" t="s">
        <v>2920</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1667.9</v>
      </c>
      <c r="B3" s="20">
        <f>IF(C3="否",G5-AT5,G5)</f>
        <v>3611.7</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3611.7</v>
      </c>
      <c r="H5" s="25">
        <f t="shared" ref="H5:AT5" si="0">SUM(H13:H641)</f>
        <v>3611.7</v>
      </c>
      <c r="I5" s="25">
        <f t="shared" si="0"/>
        <v>3611.7</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3611.7</v>
      </c>
      <c r="BA5" s="27">
        <f t="shared" si="1"/>
        <v>3611.7</v>
      </c>
      <c r="BB5" s="27">
        <f t="shared" si="1"/>
        <v>3611.7</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1667.9</v>
      </c>
      <c r="F6" s="25" t="s">
        <v>0</v>
      </c>
      <c r="G6" s="25" t="s">
        <v>1</v>
      </c>
      <c r="H6" s="31">
        <f>SUMIF(I$12:AB$12,"总值",I6:AB6)</f>
        <v>1667.9</v>
      </c>
      <c r="I6" s="25">
        <f t="shared" ref="I6:AB6" si="2">ROUND($A$3*I5/$B$3,2)</f>
        <v>1667.9</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1667.9</v>
      </c>
      <c r="AZ6" s="25" t="s">
        <v>2</v>
      </c>
      <c r="BA6" s="25">
        <f>ROUND($AY$6*BA5/$AZ$5,2)</f>
        <v>1667.9</v>
      </c>
      <c r="BB6" s="25">
        <f>ROUND($AY$6*BB5/$AZ$5,2)</f>
        <v>1667.9</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3263</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905</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3262</v>
      </c>
      <c r="E13" s="25">
        <f t="shared" ref="E13:E20" si="6">IF($C$3="是",ROUND($A$3*G13/$B$3,2),ROUND($A$3*(G13-AT13)/$B$3,2))</f>
        <v>1667.9</v>
      </c>
      <c r="F13" s="78"/>
      <c r="G13" s="79">
        <f t="shared" ref="G13:G20" si="7">H13+AC13+AT13</f>
        <v>3611.7</v>
      </c>
      <c r="H13" s="31">
        <f t="shared" ref="H13:H20" si="8">SUMIF(I$12:AB$12,"总值",I13:AB13)</f>
        <v>3611.7</v>
      </c>
      <c r="I13" s="2490">
        <v>3611.7</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1667.9</v>
      </c>
      <c r="AZ13" s="25">
        <f t="shared" ref="AZ13:AZ20" si="12">BA13+BL13</f>
        <v>3611.7</v>
      </c>
      <c r="BA13" s="25">
        <f t="shared" ref="BA13:BA20" si="13">SUM(BB13:BK13)</f>
        <v>3611.7</v>
      </c>
      <c r="BB13" s="25">
        <f t="shared" ref="BB13:BB20" si="14">IF($D13="是",I13-J13,0)</f>
        <v>3611.7</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19" sqref="F19"/>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51" t="s">
        <v>169</v>
      </c>
      <c r="B2" s="3751"/>
      <c r="C2" s="3751"/>
      <c r="D2" s="1729" t="s">
        <v>170</v>
      </c>
      <c r="E2" s="102" t="s">
        <v>171</v>
      </c>
      <c r="F2" s="2825"/>
      <c r="G2" s="1096"/>
      <c r="H2" s="1097"/>
      <c r="I2" s="1098" t="s">
        <v>795</v>
      </c>
      <c r="J2" s="2825"/>
      <c r="K2" s="2825"/>
      <c r="L2" s="2825"/>
      <c r="M2" s="2825"/>
      <c r="N2" s="2825"/>
      <c r="O2" s="2825"/>
      <c r="P2" s="2825"/>
    </row>
    <row r="3" spans="1:16" ht="15" thickBot="1">
      <c r="A3" s="3752" t="s">
        <v>172</v>
      </c>
      <c r="B3" s="3752"/>
      <c r="C3" s="3752"/>
      <c r="D3" s="103">
        <f>'数据-基础表'!AY6</f>
        <v>1667.9</v>
      </c>
      <c r="E3" s="103">
        <f>'数据-基础表'!AZ5</f>
        <v>3611.7</v>
      </c>
      <c r="F3" s="2825"/>
      <c r="G3" s="271" t="s">
        <v>796</v>
      </c>
      <c r="H3" s="266" t="s">
        <v>797</v>
      </c>
      <c r="I3" s="1730">
        <f>ROUND('数据-基础表'!B3/'数据-基础表'!A3,2)</f>
        <v>2.17</v>
      </c>
      <c r="J3" s="2825"/>
      <c r="K3" s="2825"/>
      <c r="L3" s="2825"/>
      <c r="M3" s="2825"/>
      <c r="N3" s="2825"/>
      <c r="O3" s="2825"/>
      <c r="P3" s="2825"/>
    </row>
    <row r="4" spans="1:16" ht="14.4">
      <c r="A4" s="3753"/>
      <c r="B4" s="3754"/>
      <c r="C4" s="3755"/>
      <c r="D4" s="104" t="s">
        <v>170</v>
      </c>
      <c r="E4" s="105" t="s">
        <v>171</v>
      </c>
      <c r="F4" s="2825"/>
      <c r="G4" s="1099"/>
      <c r="H4" s="266" t="s">
        <v>798</v>
      </c>
      <c r="I4" s="1730">
        <f>ROUND(SUMIF('数据-基础表'!I9:AS9,"地上",'数据-基础表'!I5:AS5)/'数据-基础表'!A3,2)</f>
        <v>2.17</v>
      </c>
      <c r="J4" s="2825"/>
      <c r="K4" s="2825"/>
      <c r="L4" s="2825"/>
      <c r="M4" s="2825"/>
      <c r="N4" s="2825"/>
      <c r="O4" s="2825"/>
      <c r="P4" s="2825"/>
    </row>
    <row r="5" spans="1:16" ht="14.4">
      <c r="A5" s="106" t="s">
        <v>173</v>
      </c>
      <c r="B5" s="3756" t="s">
        <v>196</v>
      </c>
      <c r="C5" s="3756"/>
      <c r="D5" s="107">
        <f>ROUND($D$3*E5/$E$3,2)</f>
        <v>0</v>
      </c>
      <c r="E5" s="108">
        <f>SUMIF('数据-基础表'!$11:$11,"住宅",'数据-基础表'!$5:$5)</f>
        <v>0</v>
      </c>
      <c r="F5" s="2825"/>
      <c r="G5" s="271" t="s">
        <v>799</v>
      </c>
      <c r="H5" s="266" t="s">
        <v>797</v>
      </c>
      <c r="I5" s="1730">
        <f>ROUND(E31/D31,2)</f>
        <v>2.17</v>
      </c>
      <c r="J5" s="2825"/>
      <c r="K5" s="2825"/>
      <c r="L5" s="2825"/>
      <c r="M5" s="2825"/>
      <c r="N5" s="2825"/>
      <c r="O5" s="2825"/>
      <c r="P5" s="2825"/>
    </row>
    <row r="6" spans="1:16" ht="15" thickBot="1">
      <c r="A6" s="109"/>
      <c r="B6" s="3756" t="s">
        <v>174</v>
      </c>
      <c r="C6" s="3756"/>
      <c r="D6" s="107">
        <f>ROUND($D$3*E6/$E$3,2)</f>
        <v>1667.9</v>
      </c>
      <c r="E6" s="108">
        <f>E3-E5</f>
        <v>3611.7</v>
      </c>
      <c r="F6" s="2825"/>
      <c r="G6" s="1099"/>
      <c r="H6" s="266" t="s">
        <v>798</v>
      </c>
      <c r="I6" s="1730">
        <f>ROUND(F31/D31,2)</f>
        <v>2.17</v>
      </c>
      <c r="J6" s="2825"/>
      <c r="K6" s="2825"/>
      <c r="L6" s="2825"/>
      <c r="M6" s="2825"/>
      <c r="N6" s="2825"/>
      <c r="O6" s="2825"/>
      <c r="P6" s="2825"/>
    </row>
    <row r="7" spans="1:16" ht="14.4">
      <c r="A7" s="3748"/>
      <c r="B7" s="3749"/>
      <c r="C7" s="3750"/>
      <c r="D7" s="104" t="s">
        <v>170</v>
      </c>
      <c r="E7" s="110" t="s">
        <v>197</v>
      </c>
      <c r="F7" s="2825"/>
      <c r="G7" s="1055" t="s">
        <v>1180</v>
      </c>
      <c r="H7" s="1056"/>
      <c r="I7" s="1631"/>
      <c r="J7" s="2825"/>
      <c r="K7" s="2825"/>
      <c r="L7" s="2825"/>
      <c r="M7" s="2825"/>
      <c r="N7" s="2825"/>
      <c r="O7" s="2825"/>
      <c r="P7" s="2825"/>
    </row>
    <row r="8" spans="1:16" ht="14.4">
      <c r="A8" s="106" t="s">
        <v>175</v>
      </c>
      <c r="B8" s="111" t="s">
        <v>176</v>
      </c>
      <c r="C8" s="107" t="s">
        <v>177</v>
      </c>
      <c r="D8" s="107">
        <f t="shared" ref="D8:D15" si="0">ROUND($D$3*E8/$E$3,2)</f>
        <v>1667.9</v>
      </c>
      <c r="E8" s="112">
        <f>SUMIF('数据-基础表'!BB10:BK10,"地上",'数据-基础表'!BB5:BK5)</f>
        <v>3611.7</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1667.9</v>
      </c>
      <c r="E16" s="116">
        <f>SUM(E8:E15)</f>
        <v>3611.7</v>
      </c>
      <c r="F16" s="2825"/>
      <c r="G16" s="2826"/>
      <c r="H16" s="930" t="s">
        <v>185</v>
      </c>
      <c r="I16" s="931"/>
      <c r="J16" s="1738"/>
      <c r="K16" s="3742" t="s">
        <v>1849</v>
      </c>
      <c r="L16" s="3743"/>
      <c r="M16" s="3743"/>
      <c r="N16" s="3743"/>
      <c r="O16" s="3743"/>
      <c r="P16" s="3744"/>
    </row>
    <row r="17" spans="1:19" ht="14.4">
      <c r="A17" s="117" t="s">
        <v>182</v>
      </c>
      <c r="B17" s="118" t="s">
        <v>183</v>
      </c>
      <c r="C17" s="2016" t="s">
        <v>1670</v>
      </c>
      <c r="D17" s="104" t="s">
        <v>170</v>
      </c>
      <c r="E17" s="120" t="s">
        <v>171</v>
      </c>
      <c r="F17" s="121"/>
      <c r="G17" s="1225"/>
      <c r="H17" s="932" t="s">
        <v>184</v>
      </c>
      <c r="I17" s="933" t="s">
        <v>1669</v>
      </c>
      <c r="J17" s="1738"/>
      <c r="K17" s="3745" t="s">
        <v>1850</v>
      </c>
      <c r="L17" s="3746"/>
      <c r="M17" s="3747"/>
      <c r="N17" s="3745" t="s">
        <v>1851</v>
      </c>
      <c r="O17" s="3746"/>
      <c r="P17" s="3747"/>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
        <v>3264</v>
      </c>
      <c r="D19" s="107">
        <f t="shared" ref="D19:D26" si="1">ROUND($D$3*E19/$E$3,2)</f>
        <v>1667.9</v>
      </c>
      <c r="E19" s="130">
        <f t="shared" ref="E19:E26" si="2">SUM(F19:G19)</f>
        <v>3611.7</v>
      </c>
      <c r="F19" s="2827">
        <f>'数据-基础表'!I13</f>
        <v>3611.7</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1667.9</v>
      </c>
      <c r="S19" s="2019">
        <f t="shared" si="5"/>
        <v>3611.7</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1667.9</v>
      </c>
      <c r="E27" s="136">
        <f>IF(SUM(E19:E26)='数据-基础表'!BA5,SUM(E19:E26),IF(F27="地上面积有误","面积有误","地下面积有误"))</f>
        <v>3611.7</v>
      </c>
      <c r="F27" s="130">
        <f>IF(SUM(F19:F26)=E8,SUM(F19:F26),"地上面积有误")</f>
        <v>3611.7</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1667.9</v>
      </c>
      <c r="S27" s="266">
        <f>IF(SUM(S19:S26)=$E$3,SUM(S19:S26),SUM(S19:S26)&amp;"误差"&amp;ROUND(SUM(S19:S26)-E3,2))</f>
        <v>3611.7</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1667.9</v>
      </c>
      <c r="E31" s="1229">
        <f>E27+E30</f>
        <v>3611.7</v>
      </c>
      <c r="F31" s="1230">
        <f>F27+F30</f>
        <v>3611.7</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I7" sqref="I7"/>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44986</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工业</v>
      </c>
      <c r="B6" s="2055" t="str">
        <f>IF(A6=0,"","经营性")</f>
        <v>经营性</v>
      </c>
      <c r="C6" s="166" t="s">
        <v>905</v>
      </c>
      <c r="D6" s="2026">
        <f>SUMIF(项目基本情况!C$15:I$15,C6,项目基本情况!C$18:I$18)</f>
        <v>50</v>
      </c>
      <c r="E6" s="2027">
        <f>IF(B6="","",SUMIF(项目基本情况!C$15:I$15,C6,项目基本情况!C$17:I$17))</f>
        <v>54543</v>
      </c>
      <c r="F6" s="167">
        <f>SUMIF(项目基本情况!C$15:I$15,C6,项目基本情况!C$19:I$19)</f>
        <v>26.18</v>
      </c>
      <c r="G6" s="168">
        <f t="shared" ref="G6:G13" si="0">IF(ISERROR(ROUND(POWER(1+H6,D6-F6)*(POWER(1+H6,F6)-1)/(POWER(1+H6,D6)-1),3)),0,ROUND(POWER(1+H6,D6-F6)*(POWER(1+H6,F6)-1)/(POWER(1+H6,D6)-1),3))</f>
        <v>0.79</v>
      </c>
      <c r="H6" s="2498">
        <v>0.05</v>
      </c>
      <c r="I6" s="2498">
        <v>0.06</v>
      </c>
      <c r="J6" s="169">
        <v>7.0000000000000007E-2</v>
      </c>
      <c r="K6" s="172">
        <f>SUMIF('数据-汇总表'!C$19:C$33,'数据-取费表'!A6,'数据-汇总表'!E$19:E$33)</f>
        <v>3611.7</v>
      </c>
      <c r="L6" s="2499">
        <v>3500</v>
      </c>
      <c r="M6" s="170">
        <f t="shared" ref="M6:M14" si="1">ROUND(K6*L6/10000,0)</f>
        <v>1264</v>
      </c>
      <c r="N6" s="2500">
        <v>0</v>
      </c>
      <c r="O6" s="170">
        <f>IF($N$5="成新度","——",ROUND(M6*N6,0))</f>
        <v>0</v>
      </c>
      <c r="P6" s="171">
        <f>IF($N$5="成新度","——",M6-O6)</f>
        <v>1264</v>
      </c>
      <c r="Q6" s="2501">
        <v>0.1</v>
      </c>
      <c r="R6" s="172">
        <f>SUMIF('数据-汇总表'!C$19:C$33,A6,'数据-汇总表'!R$19:R$33)</f>
        <v>1667.9</v>
      </c>
      <c r="S6" s="128">
        <f>IF('数据-汇总表'!$I$17="按面积比例",SUMIF('数据-汇总表'!C$19:C$33,A6,'数据-汇总表'!K$19:K$33),SUMIF('数据-汇总表'!C$19:C$33,A6,'数据-汇总表'!N$19:N$33))</f>
        <v>0</v>
      </c>
      <c r="T6" s="1952" t="str">
        <f>IF($T$4="按面积比例",IF(ISERROR(ROUND($M$14*S6/S$16,0)),"0",ROUND($M$14*S6/S$16,0)),"需自行计算录入")</f>
        <v>0</v>
      </c>
      <c r="U6" s="173">
        <v>2.5</v>
      </c>
      <c r="V6" s="174">
        <v>0.02</v>
      </c>
      <c r="W6" s="174">
        <v>0.15</v>
      </c>
      <c r="X6" s="2039"/>
      <c r="Y6" s="175">
        <v>1</v>
      </c>
      <c r="Z6" s="176"/>
      <c r="AA6" s="169"/>
      <c r="AB6" s="169"/>
      <c r="AC6" s="2042"/>
      <c r="AD6" s="177"/>
      <c r="AE6" s="934">
        <f ca="1">IF(AN6="",0,SUMIF(INDIRECT("'"&amp;AN6&amp;"'"&amp;"!E:E"),$AE$5,INDIRECT("'"&amp;AN6&amp;"'"&amp;"!F:F")))</f>
        <v>25.18</v>
      </c>
      <c r="AF6" s="134"/>
      <c r="AG6" s="1111">
        <f>IF(AF6="",0,AE6-AF6)</f>
        <v>0</v>
      </c>
      <c r="AH6" s="134"/>
      <c r="AI6" s="180">
        <v>365</v>
      </c>
      <c r="AJ6" s="181"/>
      <c r="AK6" s="182">
        <v>0.01</v>
      </c>
      <c r="AL6" s="183">
        <v>1E-3</v>
      </c>
      <c r="AM6" s="2510">
        <v>0.01</v>
      </c>
      <c r="AN6" s="2083" t="s">
        <v>3266</v>
      </c>
      <c r="AO6" s="2835"/>
      <c r="AP6" s="1102">
        <f>ROUND(1-1/(1+H6)^F6,3)</f>
        <v>0.72099999999999997</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0.79</v>
      </c>
      <c r="H16" s="194">
        <f>ROUND(SUMPRODUCT(H6:H13,K6:K13)/SUMPRODUCT((H6:H13&gt;0)*(K6:K13)),3)</f>
        <v>0.05</v>
      </c>
      <c r="I16" s="195"/>
      <c r="J16" s="195"/>
      <c r="K16" s="196">
        <f>SUM(K6:K15)</f>
        <v>3611.7</v>
      </c>
      <c r="L16" s="197">
        <f>ROUND(M16*10000/SUM(K6:K14),0)</f>
        <v>3500</v>
      </c>
      <c r="M16" s="197">
        <f>SUM(M6:M14)</f>
        <v>1264</v>
      </c>
      <c r="N16" s="198">
        <f>ROUND(SUMPRODUCT(M6:M14,N6:N14)/M16,3)</f>
        <v>0</v>
      </c>
      <c r="O16" s="197">
        <f>SUM(O6:O14)</f>
        <v>0</v>
      </c>
      <c r="P16" s="197">
        <f>SUM(P6:P14)</f>
        <v>1264</v>
      </c>
      <c r="Q16" s="199">
        <f>ROUND(SUMPRODUCT(Q6:Q13,K6:K13)/SUMPRODUCT((Q6:Q13&gt;0)*(K6:K13)),2)</f>
        <v>0.1</v>
      </c>
      <c r="R16" s="2029">
        <f>SUM(R6:R13)</f>
        <v>1667.9</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0.72099999999999997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1</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0.05</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9.4" thickBot="1">
      <c r="A40" s="3020" t="s">
        <v>3265</v>
      </c>
      <c r="B40" s="2129">
        <f ca="1">IF(A40="利息：取LPR",存贷款利率!E2,存贷款利率!E2+C40)</f>
        <v>4.1499999999999995E-2</v>
      </c>
      <c r="C40" s="3021">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H23" sqref="H23"/>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757" t="s">
        <v>1198</v>
      </c>
      <c r="B1" s="3758"/>
      <c r="C1" s="3758"/>
      <c r="D1" s="3758"/>
      <c r="E1" s="3758"/>
      <c r="F1" s="3758"/>
      <c r="G1" s="3758"/>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3662" t="s">
        <v>3279</v>
      </c>
    </row>
    <row r="24" spans="1:7" ht="15" thickBot="1">
      <c r="A24" s="2923"/>
      <c r="B24" s="2922"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C15" sqref="C15"/>
    </sheetView>
  </sheetViews>
  <sheetFormatPr defaultColWidth="14.6640625" defaultRowHeight="14.4"/>
  <cols>
    <col min="1" max="1" width="24.33203125" style="2928" customWidth="1"/>
    <col min="2" max="16384" width="14.6640625" style="2928"/>
  </cols>
  <sheetData>
    <row r="1" spans="1:10" ht="15.6">
      <c r="A1" s="2927" t="s">
        <v>2118</v>
      </c>
      <c r="B1" s="2927">
        <f>SUM(B14:B23)</f>
        <v>3611.7</v>
      </c>
      <c r="C1" s="2936"/>
      <c r="D1" s="2936"/>
      <c r="E1" s="2936"/>
      <c r="F1" s="2936"/>
      <c r="G1" s="2937"/>
      <c r="H1" s="2937"/>
      <c r="I1" s="2937"/>
      <c r="J1" s="2937"/>
    </row>
    <row r="2" spans="1:10" ht="15.6">
      <c r="A2" s="2927" t="s">
        <v>2119</v>
      </c>
      <c r="B2" s="2927">
        <f>SUM(C14:C23)</f>
        <v>1667.9</v>
      </c>
      <c r="C2" s="2936"/>
      <c r="D2" s="2936"/>
      <c r="E2" s="2936"/>
      <c r="F2" s="2936"/>
      <c r="G2" s="2937"/>
      <c r="H2" s="2937"/>
      <c r="I2" s="2937"/>
      <c r="J2" s="2937"/>
    </row>
    <row r="3" spans="1:10" ht="15.6">
      <c r="A3" s="2927" t="s">
        <v>2120</v>
      </c>
      <c r="B3" s="2929">
        <f>项目基本情况!D3</f>
        <v>44986</v>
      </c>
      <c r="C3" s="2936"/>
      <c r="D3" s="2936"/>
      <c r="E3" s="2936"/>
      <c r="F3" s="2936"/>
      <c r="G3" s="2937"/>
      <c r="H3" s="2937"/>
      <c r="I3" s="2937"/>
      <c r="J3" s="2937"/>
    </row>
    <row r="4" spans="1:10" ht="31.2">
      <c r="A4" s="2927" t="s">
        <v>2121</v>
      </c>
      <c r="B4" s="2927" t="s">
        <v>2122</v>
      </c>
      <c r="C4" s="2927" t="s">
        <v>2123</v>
      </c>
      <c r="D4" s="2927" t="s">
        <v>2124</v>
      </c>
      <c r="E4" s="2936"/>
      <c r="F4" s="2936"/>
      <c r="G4" s="2937"/>
      <c r="H4" s="2937"/>
      <c r="I4" s="2937"/>
      <c r="J4" s="2937"/>
    </row>
    <row r="5" spans="1:10" ht="15.6">
      <c r="A5" s="2927" t="s">
        <v>2125</v>
      </c>
      <c r="B5" s="2927">
        <f ca="1">SUM(D14:D23)</f>
        <v>624</v>
      </c>
      <c r="C5" s="2927">
        <f ca="1">ROUND(B5*10000/$B$1,0)</f>
        <v>1728</v>
      </c>
      <c r="D5" s="2927">
        <f ca="1">ROUND(B5*10000/$B$2,0)</f>
        <v>3741</v>
      </c>
      <c r="E5" s="2936"/>
      <c r="F5" s="2936"/>
      <c r="G5" s="2937"/>
      <c r="H5" s="2937"/>
      <c r="I5" s="2937"/>
      <c r="J5" s="2937"/>
    </row>
    <row r="6" spans="1:10" ht="15.6">
      <c r="A6" s="2927" t="s">
        <v>2126</v>
      </c>
      <c r="B6" s="2927">
        <f>SUM(G14:G23)</f>
        <v>0</v>
      </c>
      <c r="C6" s="2927">
        <f>ROUND(B6*10000/$B$1,0)</f>
        <v>0</v>
      </c>
      <c r="D6" s="2927">
        <f>ROUND(B6*10000/$B$2,0)</f>
        <v>0</v>
      </c>
      <c r="E6" s="2936"/>
      <c r="F6" s="2936"/>
      <c r="G6" s="2937"/>
      <c r="H6" s="2937"/>
      <c r="I6" s="2937"/>
      <c r="J6" s="2937"/>
    </row>
    <row r="7" spans="1:10" ht="15.6">
      <c r="A7" s="2927" t="s">
        <v>2127</v>
      </c>
      <c r="B7" s="2927">
        <f>SUM(H14:H23)</f>
        <v>0</v>
      </c>
      <c r="C7" s="2927">
        <f>ROUND(B7*10000/$B$1,0)</f>
        <v>0</v>
      </c>
      <c r="D7" s="2927">
        <f>ROUND(B7*10000/$B$2,0)</f>
        <v>0</v>
      </c>
      <c r="E7" s="2936"/>
      <c r="F7" s="2936"/>
      <c r="G7" s="2937"/>
      <c r="H7" s="2937"/>
      <c r="I7" s="2937"/>
      <c r="J7" s="2937"/>
    </row>
    <row r="8" spans="1:10" ht="15.6">
      <c r="A8" s="2927" t="s">
        <v>2128</v>
      </c>
      <c r="B8" s="2927">
        <f>SUM(I14:I23)</f>
        <v>0</v>
      </c>
      <c r="C8" s="2927">
        <f>ROUND(B8*10000/$B$1,0)</f>
        <v>0</v>
      </c>
      <c r="D8" s="2927">
        <f>ROUND(B8*10000/$B$2,0)</f>
        <v>0</v>
      </c>
      <c r="E8" s="2936"/>
      <c r="F8" s="2936"/>
      <c r="G8" s="2937"/>
      <c r="H8" s="2937"/>
      <c r="I8" s="2937"/>
      <c r="J8" s="2937"/>
    </row>
    <row r="9" spans="1:10" ht="15.6">
      <c r="A9" s="2927" t="s">
        <v>2129</v>
      </c>
      <c r="B9" s="2935"/>
      <c r="C9" s="2936"/>
      <c r="D9" s="2936"/>
      <c r="E9" s="2936"/>
      <c r="F9" s="2936"/>
      <c r="G9" s="2937"/>
      <c r="H9" s="2937"/>
      <c r="I9" s="2937"/>
      <c r="J9" s="2937"/>
    </row>
    <row r="10" spans="1:10" ht="15.6">
      <c r="A10" s="2927" t="s">
        <v>2130</v>
      </c>
      <c r="B10" s="2935"/>
      <c r="C10" s="2936"/>
      <c r="D10" s="2936"/>
      <c r="E10" s="2936"/>
      <c r="F10" s="2936"/>
      <c r="G10" s="2937"/>
      <c r="H10" s="2937"/>
      <c r="I10" s="2937"/>
      <c r="J10" s="2937"/>
    </row>
    <row r="11" spans="1:10" ht="15.6">
      <c r="A11" s="2927" t="s">
        <v>2147</v>
      </c>
      <c r="B11" s="2935"/>
      <c r="C11" s="2936"/>
      <c r="D11" s="2936"/>
      <c r="E11" s="2936"/>
      <c r="F11" s="2936"/>
      <c r="G11" s="2937"/>
      <c r="H11" s="2937"/>
      <c r="I11" s="2937"/>
      <c r="J11" s="2937"/>
    </row>
    <row r="12" spans="1:10" ht="15.6">
      <c r="A12" s="2936"/>
      <c r="B12" s="2936"/>
      <c r="C12" s="2936"/>
      <c r="D12" s="2936"/>
      <c r="E12" s="2936"/>
      <c r="F12" s="2936"/>
      <c r="G12" s="2937"/>
      <c r="H12" s="2937"/>
      <c r="I12" s="2937"/>
      <c r="J12" s="2937"/>
    </row>
    <row r="13" spans="1:10" ht="31.2">
      <c r="A13" s="2930" t="s">
        <v>2146</v>
      </c>
      <c r="B13" s="2931" t="s">
        <v>2118</v>
      </c>
      <c r="C13" s="2931" t="s">
        <v>2119</v>
      </c>
      <c r="D13" s="2931" t="s">
        <v>2131</v>
      </c>
      <c r="E13" s="2927" t="s">
        <v>2145</v>
      </c>
      <c r="F13" s="2927" t="s">
        <v>2124</v>
      </c>
      <c r="G13" s="2931" t="s">
        <v>2132</v>
      </c>
      <c r="H13" s="2931" t="s">
        <v>2133</v>
      </c>
      <c r="I13" s="2931" t="s">
        <v>2134</v>
      </c>
      <c r="J13" s="2937"/>
    </row>
    <row r="14" spans="1:10" ht="15.6">
      <c r="A14" s="2932" t="s">
        <v>2144</v>
      </c>
      <c r="B14" s="2933">
        <f>结果表!L38</f>
        <v>3611.7</v>
      </c>
      <c r="C14" s="2933">
        <f>结果表!K38</f>
        <v>1667.9</v>
      </c>
      <c r="D14" s="2933">
        <f ca="1">结果表!O43</f>
        <v>624</v>
      </c>
      <c r="E14" s="2933">
        <f ca="1">ROUND(D14*10000/B14,0)</f>
        <v>1728</v>
      </c>
      <c r="F14" s="2933">
        <f ca="1">ROUND(D14*10000/C14,0)</f>
        <v>3741</v>
      </c>
      <c r="G14" s="2933"/>
      <c r="H14" s="2933"/>
      <c r="I14" s="2933"/>
      <c r="J14" s="2937"/>
    </row>
    <row r="15" spans="1:10" ht="15.6">
      <c r="A15" s="2932" t="s">
        <v>2135</v>
      </c>
      <c r="B15" s="2934"/>
      <c r="C15" s="2934"/>
      <c r="D15" s="2934"/>
      <c r="E15" s="2933" t="e">
        <f t="shared" ref="E15:E23" si="0">ROUND(D15*10000/B15,0)</f>
        <v>#DIV/0!</v>
      </c>
      <c r="F15" s="2933" t="e">
        <f t="shared" ref="F15:F23" si="1">ROUND(D15*10000/C15,0)</f>
        <v>#DIV/0!</v>
      </c>
      <c r="G15" s="2514"/>
      <c r="H15" s="2514"/>
      <c r="I15" s="2934"/>
      <c r="J15" s="2937"/>
    </row>
    <row r="16" spans="1:10" ht="15.6">
      <c r="A16" s="2932" t="s">
        <v>2136</v>
      </c>
      <c r="B16" s="2934"/>
      <c r="C16" s="2934"/>
      <c r="D16" s="2934"/>
      <c r="E16" s="2933" t="e">
        <f t="shared" si="0"/>
        <v>#DIV/0!</v>
      </c>
      <c r="F16" s="2933" t="e">
        <f t="shared" si="1"/>
        <v>#DIV/0!</v>
      </c>
      <c r="G16" s="2514"/>
      <c r="H16" s="2514"/>
      <c r="I16" s="2934"/>
      <c r="J16" s="2937"/>
    </row>
    <row r="17" spans="1:10" ht="15.6">
      <c r="A17" s="2932" t="s">
        <v>2137</v>
      </c>
      <c r="B17" s="2934"/>
      <c r="C17" s="2934"/>
      <c r="D17" s="2934"/>
      <c r="E17" s="2933" t="e">
        <f t="shared" si="0"/>
        <v>#DIV/0!</v>
      </c>
      <c r="F17" s="2933" t="e">
        <f t="shared" si="1"/>
        <v>#DIV/0!</v>
      </c>
      <c r="G17" s="2514"/>
      <c r="H17" s="2514"/>
      <c r="I17" s="2934"/>
      <c r="J17" s="2937"/>
    </row>
    <row r="18" spans="1:10" ht="15.6">
      <c r="A18" s="2932" t="s">
        <v>2138</v>
      </c>
      <c r="B18" s="2934"/>
      <c r="C18" s="2934"/>
      <c r="D18" s="2934"/>
      <c r="E18" s="2933" t="e">
        <f t="shared" si="0"/>
        <v>#DIV/0!</v>
      </c>
      <c r="F18" s="2933" t="e">
        <f t="shared" si="1"/>
        <v>#DIV/0!</v>
      </c>
      <c r="G18" s="2934"/>
      <c r="H18" s="2934"/>
      <c r="I18" s="2934"/>
      <c r="J18" s="2937"/>
    </row>
    <row r="19" spans="1:10" ht="15.6">
      <c r="A19" s="2932" t="s">
        <v>2139</v>
      </c>
      <c r="B19" s="2934"/>
      <c r="C19" s="2934"/>
      <c r="D19" s="2934"/>
      <c r="E19" s="2933" t="e">
        <f t="shared" si="0"/>
        <v>#DIV/0!</v>
      </c>
      <c r="F19" s="2933" t="e">
        <f t="shared" si="1"/>
        <v>#DIV/0!</v>
      </c>
      <c r="G19" s="2934"/>
      <c r="H19" s="2934"/>
      <c r="I19" s="2934"/>
      <c r="J19" s="2937"/>
    </row>
    <row r="20" spans="1:10" ht="15.6">
      <c r="A20" s="2932" t="s">
        <v>2140</v>
      </c>
      <c r="B20" s="2934"/>
      <c r="C20" s="2934"/>
      <c r="D20" s="2934"/>
      <c r="E20" s="2933" t="e">
        <f t="shared" si="0"/>
        <v>#DIV/0!</v>
      </c>
      <c r="F20" s="2933" t="e">
        <f t="shared" si="1"/>
        <v>#DIV/0!</v>
      </c>
      <c r="G20" s="2934"/>
      <c r="H20" s="2934"/>
      <c r="I20" s="2934"/>
      <c r="J20" s="2937"/>
    </row>
    <row r="21" spans="1:10" ht="15.6">
      <c r="A21" s="2932" t="s">
        <v>2141</v>
      </c>
      <c r="B21" s="2934"/>
      <c r="C21" s="2934"/>
      <c r="D21" s="2934"/>
      <c r="E21" s="2933" t="e">
        <f t="shared" si="0"/>
        <v>#DIV/0!</v>
      </c>
      <c r="F21" s="2933" t="e">
        <f t="shared" si="1"/>
        <v>#DIV/0!</v>
      </c>
      <c r="G21" s="2934"/>
      <c r="H21" s="2934"/>
      <c r="I21" s="2934"/>
      <c r="J21" s="2937"/>
    </row>
    <row r="22" spans="1:10" ht="15.6">
      <c r="A22" s="2932" t="s">
        <v>2142</v>
      </c>
      <c r="B22" s="2934"/>
      <c r="C22" s="2934"/>
      <c r="D22" s="2934"/>
      <c r="E22" s="2933" t="e">
        <f t="shared" si="0"/>
        <v>#DIV/0!</v>
      </c>
      <c r="F22" s="2933" t="e">
        <f t="shared" si="1"/>
        <v>#DIV/0!</v>
      </c>
      <c r="G22" s="2934"/>
      <c r="H22" s="2934"/>
      <c r="I22" s="2934"/>
      <c r="J22" s="2937"/>
    </row>
    <row r="23" spans="1:10" ht="15.6">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70" zoomScaleNormal="100" zoomScaleSheetLayoutView="70" zoomScalePageLayoutView="80" workbookViewId="0">
      <selection activeCell="S11" sqref="S11"/>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03" t="str">
        <f>项目基本情况!K2</f>
        <v>北京市出让国有建设用地使用权</v>
      </c>
      <c r="B2" s="3804"/>
      <c r="C2" s="3805"/>
      <c r="D2" s="3805"/>
      <c r="E2" s="3805"/>
      <c r="F2" s="3805"/>
      <c r="G2" s="3804"/>
      <c r="H2" s="3804"/>
      <c r="I2" s="3806"/>
      <c r="J2" s="1753"/>
      <c r="K2" s="1752"/>
      <c r="L2" s="1752"/>
      <c r="M2" s="1752"/>
      <c r="N2" s="1752"/>
      <c r="O2" s="1752"/>
      <c r="P2" s="1752"/>
      <c r="Q2" s="1752"/>
      <c r="R2" s="1752"/>
      <c r="S2" s="1752"/>
      <c r="T2" s="1752"/>
      <c r="U2" s="1752"/>
      <c r="V2" s="1752"/>
    </row>
    <row r="3" spans="1:22" ht="13.8">
      <c r="A3" s="3796" t="s">
        <v>264</v>
      </c>
      <c r="B3" s="3797"/>
      <c r="C3" s="3797"/>
      <c r="D3" s="3797"/>
      <c r="E3" s="3797"/>
      <c r="F3" s="3797"/>
      <c r="G3" s="3797"/>
      <c r="H3" s="3797"/>
      <c r="I3" s="3797"/>
      <c r="J3" s="1753"/>
      <c r="K3" s="1752"/>
      <c r="L3" s="1752"/>
      <c r="M3" s="1752"/>
      <c r="N3" s="1752"/>
      <c r="O3" s="1752"/>
      <c r="P3" s="1752"/>
      <c r="Q3" s="1752"/>
      <c r="R3" s="1752"/>
      <c r="S3" s="1752"/>
      <c r="T3" s="1752"/>
      <c r="U3" s="1752"/>
      <c r="V3" s="1752"/>
    </row>
    <row r="4" spans="1:22" ht="14.4">
      <c r="A4" s="249" t="s">
        <v>265</v>
      </c>
      <c r="B4" s="250" t="s">
        <v>266</v>
      </c>
      <c r="C4" s="251" t="s">
        <v>3329</v>
      </c>
      <c r="D4" s="251" t="s">
        <v>3276</v>
      </c>
      <c r="E4" s="3762" t="s">
        <v>267</v>
      </c>
      <c r="F4" s="3763"/>
      <c r="G4" s="3763"/>
      <c r="H4" s="3763"/>
      <c r="I4" s="3798"/>
      <c r="J4" s="1753"/>
      <c r="K4" s="1752"/>
      <c r="L4" s="2938"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3.8">
      <c r="A5" s="3761" t="s">
        <v>268</v>
      </c>
      <c r="B5" s="3790">
        <v>25</v>
      </c>
      <c r="C5" s="3788"/>
      <c r="D5" s="3792"/>
      <c r="E5" s="252" t="s">
        <v>269</v>
      </c>
      <c r="F5" s="253"/>
      <c r="G5" s="253"/>
      <c r="H5" s="253"/>
      <c r="I5" s="254"/>
      <c r="J5" s="1753"/>
      <c r="K5" s="1752"/>
      <c r="L5" s="1752"/>
      <c r="M5" s="1752"/>
      <c r="N5" s="1752"/>
      <c r="O5" s="1752"/>
      <c r="P5" s="1752"/>
      <c r="Q5" s="1752"/>
      <c r="R5" s="1752"/>
      <c r="S5" s="1752"/>
      <c r="T5" s="1752"/>
      <c r="U5" s="1752"/>
      <c r="V5" s="1752"/>
    </row>
    <row r="6" spans="1:22" ht="13.8">
      <c r="A6" s="3761"/>
      <c r="B6" s="3790"/>
      <c r="C6" s="3791"/>
      <c r="D6" s="3792"/>
      <c r="E6" s="252" t="s">
        <v>270</v>
      </c>
      <c r="F6" s="253"/>
      <c r="G6" s="253"/>
      <c r="H6" s="253"/>
      <c r="I6" s="254"/>
      <c r="J6" s="1753"/>
      <c r="K6" s="1752"/>
      <c r="L6" s="1752"/>
      <c r="M6" s="1752"/>
      <c r="N6" s="1752"/>
      <c r="O6" s="1752"/>
      <c r="P6" s="1752"/>
      <c r="Q6" s="1752"/>
      <c r="R6" s="1752"/>
      <c r="S6" s="1752"/>
      <c r="T6" s="1752"/>
      <c r="U6" s="1752"/>
      <c r="V6" s="1752"/>
    </row>
    <row r="7" spans="1:22" ht="13.8">
      <c r="A7" s="3761"/>
      <c r="B7" s="3790"/>
      <c r="C7" s="3789"/>
      <c r="D7" s="3792"/>
      <c r="E7" s="252" t="s">
        <v>271</v>
      </c>
      <c r="F7" s="253"/>
      <c r="G7" s="253"/>
      <c r="H7" s="253"/>
      <c r="I7" s="254"/>
      <c r="J7" s="1753"/>
      <c r="K7" s="1752"/>
      <c r="L7" s="1752"/>
      <c r="M7" s="1752"/>
      <c r="N7" s="1752"/>
      <c r="O7" s="1752"/>
      <c r="P7" s="1752"/>
      <c r="Q7" s="1752"/>
      <c r="R7" s="1752"/>
      <c r="S7" s="1752"/>
      <c r="T7" s="1752"/>
      <c r="U7" s="1752"/>
      <c r="V7" s="1752"/>
    </row>
    <row r="8" spans="1:22" ht="13.8">
      <c r="A8" s="3761" t="s">
        <v>272</v>
      </c>
      <c r="B8" s="3790">
        <v>15</v>
      </c>
      <c r="C8" s="3788"/>
      <c r="D8" s="3792"/>
      <c r="E8" s="252" t="s">
        <v>273</v>
      </c>
      <c r="F8" s="253"/>
      <c r="G8" s="253"/>
      <c r="H8" s="253"/>
      <c r="I8" s="254"/>
      <c r="J8" s="1753"/>
      <c r="K8" s="1752"/>
      <c r="L8" s="1752"/>
      <c r="M8" s="1752"/>
      <c r="N8" s="1752"/>
      <c r="O8" s="1752"/>
      <c r="P8" s="1752"/>
      <c r="Q8" s="1752"/>
      <c r="R8" s="1752"/>
      <c r="S8" s="1752"/>
      <c r="T8" s="1752"/>
      <c r="U8" s="1752"/>
      <c r="V8" s="1752"/>
    </row>
    <row r="9" spans="1:22" ht="13.8">
      <c r="A9" s="3761"/>
      <c r="B9" s="3790"/>
      <c r="C9" s="3789"/>
      <c r="D9" s="3792"/>
      <c r="E9" s="252" t="s">
        <v>274</v>
      </c>
      <c r="F9" s="253"/>
      <c r="G9" s="253"/>
      <c r="H9" s="253"/>
      <c r="I9" s="254"/>
      <c r="J9" s="1753"/>
      <c r="K9" s="1752"/>
      <c r="L9" s="1752"/>
      <c r="M9" s="1752"/>
      <c r="N9" s="1752"/>
      <c r="O9" s="1752"/>
      <c r="P9" s="1752"/>
      <c r="Q9" s="1752"/>
      <c r="R9" s="1752"/>
      <c r="S9" s="1752"/>
      <c r="T9" s="1752"/>
      <c r="U9" s="1752"/>
      <c r="V9" s="1752"/>
    </row>
    <row r="10" spans="1:22" ht="13.8">
      <c r="A10" s="3761" t="s">
        <v>275</v>
      </c>
      <c r="B10" s="3790">
        <v>15</v>
      </c>
      <c r="C10" s="3788"/>
      <c r="D10" s="3792"/>
      <c r="E10" s="252" t="s">
        <v>276</v>
      </c>
      <c r="F10" s="253"/>
      <c r="G10" s="253"/>
      <c r="H10" s="253"/>
      <c r="I10" s="254"/>
      <c r="J10" s="1753"/>
      <c r="K10" s="1752"/>
      <c r="L10" s="1752"/>
      <c r="M10" s="1752"/>
      <c r="N10" s="1752"/>
      <c r="O10" s="1752"/>
      <c r="P10" s="1752"/>
      <c r="Q10" s="1752"/>
      <c r="R10" s="1752"/>
      <c r="S10" s="1752"/>
      <c r="T10" s="1752"/>
      <c r="U10" s="1752"/>
      <c r="V10" s="1752"/>
    </row>
    <row r="11" spans="1:22" ht="13.8">
      <c r="A11" s="3761"/>
      <c r="B11" s="3790"/>
      <c r="C11" s="3789"/>
      <c r="D11" s="3792"/>
      <c r="E11" s="252" t="s">
        <v>277</v>
      </c>
      <c r="F11" s="253"/>
      <c r="G11" s="253"/>
      <c r="H11" s="253"/>
      <c r="I11" s="254"/>
      <c r="J11" s="1753"/>
      <c r="K11" s="1752"/>
      <c r="L11" s="1752"/>
      <c r="M11" s="1752"/>
      <c r="N11" s="1752"/>
      <c r="O11" s="1752"/>
      <c r="P11" s="1752"/>
      <c r="Q11" s="1752"/>
      <c r="R11" s="1752"/>
      <c r="S11" s="1752"/>
      <c r="T11" s="1752"/>
      <c r="U11" s="1752"/>
      <c r="V11" s="1752"/>
    </row>
    <row r="12" spans="1:22" ht="13.8">
      <c r="A12" s="3761" t="s">
        <v>278</v>
      </c>
      <c r="B12" s="3790">
        <v>15</v>
      </c>
      <c r="C12" s="3788"/>
      <c r="D12" s="3792"/>
      <c r="E12" s="252" t="s">
        <v>279</v>
      </c>
      <c r="F12" s="253"/>
      <c r="G12" s="253"/>
      <c r="H12" s="253"/>
      <c r="I12" s="254"/>
      <c r="J12" s="1753"/>
      <c r="K12" s="1752"/>
      <c r="L12" s="1752"/>
      <c r="M12" s="1752"/>
      <c r="N12" s="1752"/>
      <c r="O12" s="1752"/>
      <c r="P12" s="1752"/>
      <c r="Q12" s="1752"/>
      <c r="R12" s="1752"/>
      <c r="S12" s="1752"/>
      <c r="T12" s="1752"/>
      <c r="U12" s="1752"/>
      <c r="V12" s="1752"/>
    </row>
    <row r="13" spans="1:22" ht="13.8">
      <c r="A13" s="3761"/>
      <c r="B13" s="3790"/>
      <c r="C13" s="3789"/>
      <c r="D13" s="3792"/>
      <c r="E13" s="252" t="s">
        <v>280</v>
      </c>
      <c r="F13" s="253"/>
      <c r="G13" s="253"/>
      <c r="H13" s="253"/>
      <c r="I13" s="254"/>
      <c r="J13" s="1753"/>
      <c r="K13" s="1752"/>
      <c r="L13" s="1752"/>
      <c r="M13" s="1752"/>
      <c r="N13" s="1752"/>
      <c r="O13" s="1752"/>
      <c r="P13" s="1752"/>
      <c r="Q13" s="1752"/>
      <c r="R13" s="1752"/>
      <c r="S13" s="1752"/>
      <c r="T13" s="1752"/>
      <c r="U13" s="1752"/>
      <c r="V13" s="1752"/>
    </row>
    <row r="14" spans="1:22" ht="13.8">
      <c r="A14" s="3761" t="s">
        <v>281</v>
      </c>
      <c r="B14" s="3790">
        <v>30</v>
      </c>
      <c r="C14" s="3788">
        <v>7</v>
      </c>
      <c r="D14" s="3792">
        <v>3</v>
      </c>
      <c r="E14" s="252" t="s">
        <v>282</v>
      </c>
      <c r="F14" s="253"/>
      <c r="G14" s="253"/>
      <c r="H14" s="253"/>
      <c r="I14" s="254"/>
      <c r="J14" s="1753"/>
      <c r="K14" s="1752"/>
      <c r="L14" s="1752"/>
      <c r="M14" s="1752"/>
      <c r="N14" s="1752"/>
      <c r="O14" s="1752"/>
      <c r="P14" s="1752"/>
      <c r="Q14" s="1752"/>
      <c r="R14" s="1752"/>
      <c r="S14" s="1752"/>
      <c r="T14" s="1752"/>
      <c r="U14" s="1752"/>
      <c r="V14" s="1752"/>
    </row>
    <row r="15" spans="1:22" ht="13.8">
      <c r="A15" s="3761"/>
      <c r="B15" s="3790"/>
      <c r="C15" s="3791"/>
      <c r="D15" s="3792"/>
      <c r="E15" s="252" t="s">
        <v>283</v>
      </c>
      <c r="F15" s="253"/>
      <c r="G15" s="253"/>
      <c r="H15" s="253"/>
      <c r="I15" s="254"/>
      <c r="J15" s="1753"/>
      <c r="K15" s="1752"/>
      <c r="L15" s="1752"/>
      <c r="M15" s="1752"/>
      <c r="N15" s="1752"/>
      <c r="O15" s="1752"/>
      <c r="P15" s="1752"/>
      <c r="Q15" s="1752"/>
      <c r="R15" s="1752"/>
      <c r="S15" s="1752"/>
      <c r="T15" s="1752"/>
      <c r="U15" s="1752"/>
      <c r="V15" s="1752"/>
    </row>
    <row r="16" spans="1:22" ht="13.8">
      <c r="A16" s="3761"/>
      <c r="B16" s="3790"/>
      <c r="C16" s="3789"/>
      <c r="D16" s="3792"/>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0.7</v>
      </c>
      <c r="D18" s="258">
        <f>1-C18</f>
        <v>0.30000000000000004</v>
      </c>
      <c r="E18" s="3793" t="s">
        <v>2254</v>
      </c>
      <c r="F18" s="3794"/>
      <c r="G18" s="3794"/>
      <c r="H18" s="3794"/>
      <c r="I18" s="3794"/>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397</v>
      </c>
      <c r="D19" s="262">
        <f ca="1">SUMIF(INDIRECT("'"&amp;D4&amp;"'"&amp;"!A:A"),结果表!B19,INDIRECT("'"&amp;D4&amp;"'"&amp;"!B:B"))</f>
        <v>1153</v>
      </c>
      <c r="E19" s="259" t="s">
        <v>289</v>
      </c>
      <c r="F19" s="260" t="s">
        <v>288</v>
      </c>
      <c r="G19" s="263">
        <f ca="1">ROUND(C19*$C$18+D19*$D$18,0)</f>
        <v>624</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1099</v>
      </c>
      <c r="D20" s="268">
        <f ca="1">SUMIF(INDIRECT("'"&amp;D4&amp;"'"&amp;"!A:A"),结果表!B20,INDIRECT("'"&amp;D4&amp;"'"&amp;"!B:B"))</f>
        <v>3192</v>
      </c>
      <c r="E20" s="265"/>
      <c r="F20" s="266" t="s">
        <v>291</v>
      </c>
      <c r="G20" s="269">
        <f ca="1">ROUND(C20*$C$18+D20*$D$18,0)</f>
        <v>1727</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2380</v>
      </c>
      <c r="D21" s="144">
        <f ca="1">SUMIF(INDIRECT("'"&amp;D4&amp;"'"&amp;"!A:A"),结果表!B21,INDIRECT("'"&amp;D4&amp;"'"&amp;"!B:B"))</f>
        <v>6913</v>
      </c>
      <c r="E21" s="265"/>
      <c r="F21" s="271" t="s">
        <v>293</v>
      </c>
      <c r="G21" s="273">
        <f ca="1">ROUND(C21*$C$18+D21*$D$18,0)</f>
        <v>3740</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1.9042821158690177</v>
      </c>
      <c r="E22" s="275"/>
      <c r="F22" s="276"/>
      <c r="G22" s="277">
        <f ca="1">ROUND(G19/('数据-汇总表'!D3/666.67),0)</f>
        <v>249</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67"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768"/>
      <c r="B25" s="1190" t="s">
        <v>297</v>
      </c>
      <c r="C25" s="281">
        <f>IF(B30=0,0,C30)</f>
        <v>0</v>
      </c>
      <c r="D25" s="282"/>
      <c r="E25" s="302"/>
      <c r="F25" s="302"/>
      <c r="G25" s="302"/>
      <c r="H25" s="302"/>
      <c r="I25" s="302"/>
      <c r="J25" s="1752"/>
      <c r="K25" s="1124" t="str">
        <f ca="1">项目基本情况!A17&amp;"国有建设用地使用权价格："&amp;O38&amp;"万元"</f>
        <v>出让国有建设用地使用权价格：624万元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大写金额：人民币陆佰贰拾肆万元整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单位面积地价：3741元/平方米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楼面地价：1728元/平方米</v>
      </c>
      <c r="L28" s="1121"/>
      <c r="M28" s="1121"/>
      <c r="N28" s="1121"/>
      <c r="O28" s="1120"/>
      <c r="P28" s="1752"/>
      <c r="V28" s="1752"/>
    </row>
    <row r="29" spans="1:26" ht="17.399999999999999">
      <c r="A29" s="284"/>
      <c r="B29" s="285"/>
      <c r="C29" s="285"/>
      <c r="D29" s="286"/>
      <c r="E29" s="302"/>
      <c r="F29" s="302"/>
      <c r="G29" s="302"/>
      <c r="H29" s="302"/>
      <c r="I29" s="302"/>
      <c r="J29" s="1752"/>
      <c r="K29" s="1127" t="str">
        <f ca="1">IF(OR(项目基本情况!E8="抵押价格",项目基本情况!E8="已注销及未注销"),"抵押价格："&amp;O39&amp;"万元","——")</f>
        <v>抵押价格：624万元</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 ca="1">IF(K29="——","——","大写金额：人民币"&amp;NUMBERSTRING(INT(O39*10000),2)&amp;"元整")</f>
        <v>大写金额：人民币陆佰贰拾肆万元整</v>
      </c>
      <c r="L30" s="1121"/>
      <c r="M30" s="1121"/>
      <c r="N30" s="1121"/>
      <c r="O30" s="1120"/>
      <c r="P30" s="1752"/>
      <c r="V30" s="1752"/>
    </row>
    <row r="31" spans="1:26" ht="24" customHeight="1" thickBot="1">
      <c r="A31" s="3795" t="s">
        <v>2256</v>
      </c>
      <c r="B31" s="3795"/>
      <c r="C31" s="3795"/>
      <c r="D31" s="3795"/>
      <c r="E31" s="3795"/>
      <c r="F31" s="3795"/>
      <c r="G31" s="3795"/>
      <c r="H31" s="3795"/>
      <c r="I31" s="3795"/>
      <c r="J31" s="1752"/>
      <c r="K31" s="2118" t="str">
        <f>IF(项目基本情况!E8="抵押价格","——","抵押担保权已注销时的抵押价格："&amp;O40&amp;"万元")</f>
        <v>——</v>
      </c>
      <c r="L31" s="2114"/>
      <c r="M31" s="2114"/>
      <c r="N31" s="2114"/>
      <c r="O31" s="2115"/>
      <c r="P31" s="1752"/>
      <c r="V31" s="1752"/>
    </row>
    <row r="32" spans="1:26" ht="18.600000000000001" thickTop="1" thickBot="1">
      <c r="A32" s="265" t="s">
        <v>303</v>
      </c>
      <c r="B32" s="2747" t="s">
        <v>1221</v>
      </c>
      <c r="C32" s="257">
        <f ca="1">G19-C24</f>
        <v>624</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 thickBot="1">
      <c r="A33" s="289" t="s">
        <v>306</v>
      </c>
      <c r="B33" s="1239" t="s">
        <v>1223</v>
      </c>
      <c r="C33" s="255">
        <f ca="1">ROUND(C32*10000/'数据-汇总表'!E3,0)</f>
        <v>1728</v>
      </c>
      <c r="D33" s="1240" t="s">
        <v>1224</v>
      </c>
      <c r="E33" s="3767"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3741</v>
      </c>
      <c r="D34" s="1242" t="s">
        <v>1224</v>
      </c>
      <c r="E34" s="3811"/>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249</v>
      </c>
      <c r="D35" s="1245" t="s">
        <v>1226</v>
      </c>
      <c r="E35" s="3812"/>
      <c r="F35" s="292" t="s">
        <v>308</v>
      </c>
      <c r="G35" s="944"/>
      <c r="H35" s="943" t="s">
        <v>309</v>
      </c>
      <c r="I35" s="302"/>
      <c r="J35" s="1752"/>
      <c r="K35" s="3785" t="s">
        <v>316</v>
      </c>
      <c r="L35" s="3785" t="s">
        <v>317</v>
      </c>
      <c r="M35" s="1133" t="s">
        <v>318</v>
      </c>
      <c r="N35" s="3785" t="s">
        <v>319</v>
      </c>
      <c r="O35" s="3785" t="s">
        <v>320</v>
      </c>
      <c r="P35" s="1752"/>
      <c r="V35" s="1752"/>
    </row>
    <row r="36" spans="1:26" ht="16.5" customHeight="1">
      <c r="A36" s="294" t="s">
        <v>310</v>
      </c>
      <c r="B36" s="295" t="s">
        <v>299</v>
      </c>
      <c r="C36" s="296" t="s">
        <v>311</v>
      </c>
      <c r="D36" s="296" t="s">
        <v>312</v>
      </c>
      <c r="E36" s="297" t="s">
        <v>313</v>
      </c>
      <c r="F36" s="302"/>
      <c r="G36" s="302"/>
      <c r="H36" s="302"/>
      <c r="I36" s="302"/>
      <c r="J36" s="1754"/>
      <c r="K36" s="3786"/>
      <c r="L36" s="3786"/>
      <c r="M36" s="1135" t="s">
        <v>321</v>
      </c>
      <c r="N36" s="3786"/>
      <c r="O36" s="3786"/>
      <c r="P36" s="1752"/>
      <c r="V36" s="1752"/>
    </row>
    <row r="37" spans="1:26" ht="16.5" customHeight="1" thickBot="1">
      <c r="A37" s="1129" t="s">
        <v>314</v>
      </c>
      <c r="B37" s="298"/>
      <c r="C37" s="285"/>
      <c r="D37" s="285"/>
      <c r="E37" s="286"/>
      <c r="F37" s="302"/>
      <c r="G37" s="302"/>
      <c r="H37" s="302"/>
      <c r="I37" s="302"/>
      <c r="J37" s="1754"/>
      <c r="K37" s="3787"/>
      <c r="L37" s="3787"/>
      <c r="M37" s="1136"/>
      <c r="N37" s="3787"/>
      <c r="O37" s="3787"/>
      <c r="P37" s="1752"/>
      <c r="V37" s="1752"/>
    </row>
    <row r="38" spans="1:26" ht="16.5" customHeight="1" thickBot="1">
      <c r="A38" s="1129" t="s">
        <v>315</v>
      </c>
      <c r="B38" s="298"/>
      <c r="C38" s="285"/>
      <c r="D38" s="285"/>
      <c r="E38" s="286"/>
      <c r="F38" s="302"/>
      <c r="G38" s="302"/>
      <c r="H38" s="302"/>
      <c r="I38" s="302"/>
      <c r="J38" s="1754"/>
      <c r="K38" s="1137">
        <f>'数据-汇总表'!D3</f>
        <v>1667.9</v>
      </c>
      <c r="L38" s="1138">
        <f>'数据-汇总表'!E3</f>
        <v>3611.7</v>
      </c>
      <c r="M38" s="1138">
        <f ca="1">C34</f>
        <v>3741</v>
      </c>
      <c r="N38" s="1138">
        <f ca="1">C33</f>
        <v>1728</v>
      </c>
      <c r="O38" s="1139">
        <f ca="1">C32</f>
        <v>624</v>
      </c>
      <c r="P38" s="1752"/>
      <c r="V38" s="1752"/>
    </row>
    <row r="39" spans="1:26" ht="16.5" customHeight="1" thickBot="1">
      <c r="A39" s="1134"/>
      <c r="B39" s="299"/>
      <c r="C39" s="300"/>
      <c r="D39" s="300"/>
      <c r="E39" s="301"/>
      <c r="F39" s="302"/>
      <c r="G39" s="302"/>
      <c r="H39" s="302"/>
      <c r="I39" s="302"/>
      <c r="J39" s="1754"/>
      <c r="K39" s="3825" t="str">
        <f>MID(A44,3,LEN(A44)-2)</f>
        <v>抵押价格</v>
      </c>
      <c r="L39" s="3826"/>
      <c r="M39" s="3826"/>
      <c r="N39" s="3827"/>
      <c r="O39" s="1247">
        <f ca="1">C44</f>
        <v>624</v>
      </c>
      <c r="P39" s="1752"/>
      <c r="V39" s="1752"/>
    </row>
    <row r="40" spans="1:26" ht="18" thickBot="1">
      <c r="A40" s="100" t="s">
        <v>810</v>
      </c>
      <c r="B40" s="302"/>
      <c r="C40" s="302"/>
      <c r="D40" s="302"/>
      <c r="E40" s="302"/>
      <c r="F40" s="302"/>
      <c r="G40" s="302"/>
      <c r="H40" s="302"/>
      <c r="I40" s="302"/>
      <c r="J40" s="1754"/>
      <c r="K40" s="3825" t="str">
        <f>MID(A45,3,LEN(A45)-2)</f>
        <v/>
      </c>
      <c r="L40" s="3826"/>
      <c r="M40" s="3826"/>
      <c r="N40" s="3827"/>
      <c r="O40" s="1247" t="str">
        <f>C45</f>
        <v>——</v>
      </c>
      <c r="P40" s="1752"/>
      <c r="V40" s="1752"/>
    </row>
    <row r="41" spans="1:26" ht="16.2" thickBot="1">
      <c r="A41" s="303" t="s">
        <v>322</v>
      </c>
      <c r="B41" s="304"/>
      <c r="C41" s="305" t="s">
        <v>323</v>
      </c>
      <c r="D41" s="306" t="s">
        <v>324</v>
      </c>
      <c r="E41" s="306" t="s">
        <v>325</v>
      </c>
      <c r="F41" s="307" t="s">
        <v>326</v>
      </c>
      <c r="G41" s="302"/>
      <c r="H41" s="302"/>
      <c r="I41" s="302"/>
      <c r="J41" s="1754"/>
      <c r="K41" s="3825" t="str">
        <f>MID(A46,3,LEN(A46)-2)</f>
        <v/>
      </c>
      <c r="L41" s="3826"/>
      <c r="M41" s="3826"/>
      <c r="N41" s="3827"/>
      <c r="O41" s="1247" t="str">
        <f>C46</f>
        <v>——</v>
      </c>
      <c r="P41" s="1752"/>
      <c r="V41" s="1752"/>
    </row>
    <row r="42" spans="1:26" ht="31.2">
      <c r="A42" s="3769" t="s">
        <v>1585</v>
      </c>
      <c r="B42" s="3770"/>
      <c r="C42" s="255">
        <f ca="1">C32</f>
        <v>624</v>
      </c>
      <c r="D42" s="308">
        <f ca="1">C33</f>
        <v>1728</v>
      </c>
      <c r="E42" s="308">
        <f ca="1">C34</f>
        <v>3741</v>
      </c>
      <c r="F42" s="309">
        <f ca="1">C35</f>
        <v>249</v>
      </c>
      <c r="G42" s="302"/>
      <c r="H42" s="302"/>
      <c r="I42" s="310"/>
      <c r="J42" s="1754"/>
      <c r="K42" s="1140" t="s">
        <v>327</v>
      </c>
      <c r="L42" s="1771" t="s">
        <v>328</v>
      </c>
      <c r="M42" s="1141" t="s">
        <v>329</v>
      </c>
      <c r="N42" s="1772" t="s">
        <v>330</v>
      </c>
      <c r="O42" s="1773" t="s">
        <v>331</v>
      </c>
      <c r="P42" s="1752"/>
      <c r="V42" s="1752"/>
    </row>
    <row r="43" spans="1:26" ht="17.399999999999999">
      <c r="A43" s="3780" t="s">
        <v>2012</v>
      </c>
      <c r="B43" s="3781"/>
      <c r="C43" s="255">
        <f>IF(H33="正常操作",G33+G34+G35,G34+G35)</f>
        <v>0</v>
      </c>
      <c r="D43" s="308" t="s">
        <v>17</v>
      </c>
      <c r="E43" s="308" t="s">
        <v>18</v>
      </c>
      <c r="F43" s="309" t="s">
        <v>18</v>
      </c>
      <c r="G43" s="2346" t="s">
        <v>877</v>
      </c>
      <c r="H43" s="302"/>
      <c r="I43" s="310"/>
      <c r="J43" s="1754"/>
      <c r="K43" s="1142" t="str">
        <f>C4</f>
        <v>基准地价</v>
      </c>
      <c r="L43" s="1143">
        <f ca="1">IF(L42="估价结果/万元",C19,C20)</f>
        <v>397</v>
      </c>
      <c r="M43" s="1144">
        <f>C18</f>
        <v>0.7</v>
      </c>
      <c r="N43" s="1145">
        <f ca="1">IF(N42="测算结果/万元",G19,G20)</f>
        <v>624</v>
      </c>
      <c r="O43" s="1146">
        <f ca="1">IF(O42="最终结果/万元",C32,C33)</f>
        <v>624</v>
      </c>
      <c r="P43" s="1752"/>
      <c r="V43" s="1752"/>
    </row>
    <row r="44" spans="1:26" ht="30.6" thickBot="1">
      <c r="A44" s="3769" t="str">
        <f>IF(OR(项目基本情况!E8="抵押价格",项目基本情况!E8="已注销及未注销"),"3.抵押价格","——")</f>
        <v>3.抵押价格</v>
      </c>
      <c r="B44" s="3770"/>
      <c r="C44" s="255">
        <f ca="1">IF(A44="——","——",C42-C43)</f>
        <v>624</v>
      </c>
      <c r="D44" s="308">
        <f ca="1">ROUND(C44*10000/'数据-汇总表'!E3,0)</f>
        <v>1728</v>
      </c>
      <c r="E44" s="308">
        <f ca="1">ROUND(C44*10000/'数据-汇总表'!D3,0)</f>
        <v>3741</v>
      </c>
      <c r="F44" s="309">
        <f ca="1">ROUND(C44/('数据-汇总表'!D3/666.67),0)</f>
        <v>249</v>
      </c>
      <c r="G44" s="302"/>
      <c r="H44" s="302"/>
      <c r="I44" s="310"/>
      <c r="J44" s="1754"/>
      <c r="K44" s="1147" t="str">
        <f>D4</f>
        <v>剩余法-待开发</v>
      </c>
      <c r="L44" s="1148">
        <f ca="1">IF(L42="估价结果/万元",D19,D20)</f>
        <v>1153</v>
      </c>
      <c r="M44" s="1149">
        <f>D18</f>
        <v>0.30000000000000004</v>
      </c>
      <c r="N44" s="1150"/>
      <c r="O44" s="1151"/>
      <c r="P44" s="1752"/>
      <c r="V44" s="1752"/>
    </row>
    <row r="45" spans="1:26" ht="13.8">
      <c r="A45" s="3775" t="str">
        <f>IF(项目基本情况!E8="已注销及未注销","4.抵押担保权已注销时的抵押价格",IF(项目基本情况!E8="已注销","3.抵押担保权已注销时的抵押价格","——"))</f>
        <v>——</v>
      </c>
      <c r="B45" s="377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771" t="str">
        <f>IF(项目基本情况!E9="抵押净值",IF(A45="——","4.抵押净值","5.抵押净值"),"——")</f>
        <v>——</v>
      </c>
      <c r="B46" s="3772"/>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9" t="s">
        <v>340</v>
      </c>
      <c r="B63" s="3820"/>
      <c r="C63" s="3821"/>
      <c r="D63" s="332">
        <f ca="1">ROUND(C42*F63,0)</f>
        <v>624</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77" t="s">
        <v>344</v>
      </c>
      <c r="B64" s="3778"/>
      <c r="C64" s="3778"/>
      <c r="D64" s="3778"/>
      <c r="E64" s="3778"/>
      <c r="F64" s="3778"/>
      <c r="G64" s="377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773" t="s">
        <v>352</v>
      </c>
      <c r="B66" s="3774"/>
      <c r="C66" s="3774"/>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34" t="s">
        <v>351</v>
      </c>
      <c r="M66" s="3835"/>
      <c r="N66" s="2110"/>
      <c r="O66" s="2111"/>
      <c r="P66" s="2112"/>
      <c r="Q66" s="1752"/>
      <c r="R66" s="1752"/>
      <c r="S66" s="1752"/>
      <c r="T66" s="1752"/>
      <c r="U66" s="1752"/>
      <c r="V66" s="1752"/>
    </row>
    <row r="67" spans="1:22" ht="25.5" customHeight="1">
      <c r="A67" s="343" t="s">
        <v>355</v>
      </c>
      <c r="B67" s="3764" t="s">
        <v>356</v>
      </c>
      <c r="C67" s="3764"/>
      <c r="D67" s="344">
        <v>0</v>
      </c>
      <c r="E67" s="39" t="s">
        <v>357</v>
      </c>
      <c r="F67" s="60" t="s">
        <v>15</v>
      </c>
      <c r="G67" s="3822"/>
      <c r="H67" s="2749" t="s">
        <v>2257</v>
      </c>
      <c r="I67" s="2751"/>
      <c r="J67" s="1759"/>
      <c r="K67" s="1731">
        <v>2</v>
      </c>
      <c r="L67" s="3828" t="s">
        <v>354</v>
      </c>
      <c r="M67" s="3828"/>
      <c r="N67" s="1194">
        <f>'数据-取费表'!B2</f>
        <v>44986</v>
      </c>
      <c r="O67" s="1194"/>
      <c r="P67" s="1194"/>
      <c r="Q67" s="1752"/>
      <c r="R67" s="1752"/>
      <c r="S67" s="1752"/>
      <c r="T67" s="1752"/>
      <c r="U67" s="1752"/>
      <c r="V67" s="1752"/>
    </row>
    <row r="68" spans="1:22" ht="25.5" customHeight="1">
      <c r="A68" s="345"/>
      <c r="B68" s="3764" t="s">
        <v>359</v>
      </c>
      <c r="C68" s="3764"/>
      <c r="D68" s="346"/>
      <c r="E68" s="75"/>
      <c r="F68" s="347"/>
      <c r="G68" s="3823"/>
      <c r="H68" s="2750" t="s">
        <v>2258</v>
      </c>
      <c r="I68" s="2751"/>
      <c r="J68" s="1759"/>
      <c r="K68" s="1731">
        <v>3</v>
      </c>
      <c r="L68" s="3828" t="s">
        <v>358</v>
      </c>
      <c r="M68" s="3828"/>
      <c r="N68" s="1162">
        <f ca="1">C42</f>
        <v>624</v>
      </c>
      <c r="O68" s="1162"/>
      <c r="P68" s="1162"/>
      <c r="Q68" s="1752"/>
      <c r="R68" s="1752"/>
      <c r="S68" s="1752"/>
      <c r="T68" s="1752"/>
      <c r="U68" s="1752"/>
      <c r="V68" s="1752"/>
    </row>
    <row r="69" spans="1:22" ht="23.4" customHeight="1">
      <c r="A69" s="348"/>
      <c r="B69" s="3764" t="s">
        <v>360</v>
      </c>
      <c r="C69" s="3764"/>
      <c r="D69" s="349"/>
      <c r="E69" s="71"/>
      <c r="F69" s="347"/>
      <c r="G69" s="3824"/>
      <c r="H69" s="2750" t="s">
        <v>2259</v>
      </c>
      <c r="I69" s="2751"/>
      <c r="J69" s="1759"/>
      <c r="K69" s="1163">
        <v>4</v>
      </c>
      <c r="L69" s="3838" t="s">
        <v>2157</v>
      </c>
      <c r="M69" s="3839"/>
      <c r="N69" s="1164">
        <f ca="1">C44</f>
        <v>624</v>
      </c>
      <c r="O69" s="1164"/>
      <c r="P69" s="1164"/>
      <c r="Q69" s="1752"/>
      <c r="R69" s="1752"/>
      <c r="S69" s="1752"/>
      <c r="T69" s="1752"/>
      <c r="U69" s="1752"/>
      <c r="V69" s="1752"/>
    </row>
    <row r="70" spans="1:22" ht="24" customHeight="1">
      <c r="A70" s="350" t="s">
        <v>361</v>
      </c>
      <c r="B70" s="3764" t="s">
        <v>362</v>
      </c>
      <c r="C70" s="3764"/>
      <c r="D70" s="349">
        <f ca="1">ROUND(D63*'数据-取费表'!B41/(1+'数据-取费表'!C42),0)</f>
        <v>33</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65" t="s">
        <v>2286</v>
      </c>
      <c r="C71" s="3766"/>
      <c r="D71" s="349">
        <f ca="1">ROUND(D63*'数据-取费表'!B41/(1+'数据-取费表'!C42),0)</f>
        <v>33</v>
      </c>
      <c r="E71" s="15" t="s">
        <v>363</v>
      </c>
      <c r="F71" s="351">
        <f>'数据-取费表'!B41</f>
        <v>5.5000000000000007E-2</v>
      </c>
      <c r="G71" s="352"/>
      <c r="H71" s="302"/>
      <c r="I71" s="1161"/>
      <c r="J71" s="1759"/>
      <c r="K71" s="2521" t="s">
        <v>364</v>
      </c>
      <c r="L71" s="3840" t="s">
        <v>365</v>
      </c>
      <c r="M71" s="3840"/>
      <c r="N71" s="2521" t="s">
        <v>366</v>
      </c>
      <c r="O71" s="2521" t="s">
        <v>367</v>
      </c>
      <c r="P71" s="2521" t="s">
        <v>368</v>
      </c>
      <c r="Q71" s="1752"/>
      <c r="R71" s="1752"/>
      <c r="S71" s="1752"/>
      <c r="T71" s="1752"/>
      <c r="U71" s="1752"/>
      <c r="V71" s="1752"/>
    </row>
    <row r="72" spans="1:22" ht="12" customHeight="1">
      <c r="A72" s="350" t="s">
        <v>371</v>
      </c>
      <c r="B72" s="3765" t="s">
        <v>2287</v>
      </c>
      <c r="C72" s="3766"/>
      <c r="D72" s="349">
        <f ca="1">C86</f>
        <v>33</v>
      </c>
      <c r="E72" s="71" t="s">
        <v>372</v>
      </c>
      <c r="F72" s="351">
        <f>'数据-取费表'!B41</f>
        <v>5.5000000000000007E-2</v>
      </c>
      <c r="G72" s="352"/>
      <c r="H72" s="1167"/>
      <c r="I72" s="1161"/>
      <c r="J72" s="1759"/>
      <c r="K72" s="1731">
        <v>1</v>
      </c>
      <c r="L72" s="3815" t="s">
        <v>370</v>
      </c>
      <c r="M72" s="3815"/>
      <c r="N72" s="1165" t="b">
        <f>D66</f>
        <v>0</v>
      </c>
      <c r="O72" s="1636" t="str">
        <f>E66</f>
        <v>销售额×税（费）率</v>
      </c>
      <c r="P72" s="1166">
        <f>F66</f>
        <v>5.5000000000000007E-2</v>
      </c>
      <c r="Q72" s="1752"/>
      <c r="R72" s="1752"/>
      <c r="S72" s="1752"/>
      <c r="T72" s="1752"/>
      <c r="U72" s="1752"/>
      <c r="V72" s="1752"/>
    </row>
    <row r="73" spans="1:22" ht="24" customHeight="1">
      <c r="A73" s="3810" t="s">
        <v>374</v>
      </c>
      <c r="B73" s="3774"/>
      <c r="C73" s="3774"/>
      <c r="D73" s="353">
        <f ca="1">IF(H73="个人住宅",0,ROUND(D63*I73,0))</f>
        <v>0</v>
      </c>
      <c r="E73" s="15" t="s">
        <v>375</v>
      </c>
      <c r="F73" s="351" t="str">
        <f>IF(H73="正常",I73,"免征")</f>
        <v>免征</v>
      </c>
      <c r="G73" s="352"/>
      <c r="H73" s="184"/>
      <c r="I73" s="351">
        <f>'数据-取费表'!B49</f>
        <v>5.0000000000000001E-4</v>
      </c>
      <c r="J73" s="1759"/>
      <c r="K73" s="1731">
        <v>2</v>
      </c>
      <c r="L73" s="3815" t="s">
        <v>373</v>
      </c>
      <c r="M73" s="3815"/>
      <c r="N73" s="1165">
        <f t="shared" ref="N73:P74" ca="1" si="0">D73</f>
        <v>0</v>
      </c>
      <c r="O73" s="1636" t="str">
        <f t="shared" si="0"/>
        <v>销售额×税（费）率</v>
      </c>
      <c r="P73" s="1166" t="str">
        <f t="shared" si="0"/>
        <v>免征</v>
      </c>
      <c r="Q73" s="1752"/>
      <c r="R73" s="1752"/>
      <c r="S73" s="1752"/>
      <c r="T73" s="1752"/>
      <c r="U73" s="1752"/>
      <c r="V73" s="1752"/>
    </row>
    <row r="74" spans="1:22" ht="25.2">
      <c r="A74" s="3810" t="s">
        <v>377</v>
      </c>
      <c r="B74" s="3774"/>
      <c r="C74" s="3774"/>
      <c r="D74" s="353">
        <f ca="1">IF(H74="个人住宅",D75,D76)</f>
        <v>354</v>
      </c>
      <c r="E74" s="15" t="s">
        <v>378</v>
      </c>
      <c r="F74" s="351" t="str">
        <f>IF(H74="正常",F76,"免征")</f>
        <v>免征</v>
      </c>
      <c r="G74" s="945" t="s">
        <v>379</v>
      </c>
      <c r="H74" s="354"/>
      <c r="I74" s="40"/>
      <c r="J74" s="1759"/>
      <c r="K74" s="1731">
        <v>3</v>
      </c>
      <c r="L74" s="3815" t="s">
        <v>376</v>
      </c>
      <c r="M74" s="3815"/>
      <c r="N74" s="1165">
        <f t="shared" ca="1" si="0"/>
        <v>354</v>
      </c>
      <c r="O74" s="1636" t="str">
        <f t="shared" si="0"/>
        <v>增值额×税（费）率</v>
      </c>
      <c r="P74" s="1168" t="str">
        <f t="shared" si="0"/>
        <v>免征</v>
      </c>
      <c r="Q74" s="1752"/>
      <c r="R74" s="1752"/>
      <c r="S74" s="1752"/>
      <c r="T74" s="1752"/>
      <c r="U74" s="1752"/>
      <c r="V74" s="1752"/>
    </row>
    <row r="75" spans="1:22" ht="13.2">
      <c r="A75" s="350" t="s">
        <v>380</v>
      </c>
      <c r="B75" s="3762" t="s">
        <v>381</v>
      </c>
      <c r="C75" s="3798"/>
      <c r="D75" s="355">
        <v>0</v>
      </c>
      <c r="E75" s="39" t="s">
        <v>382</v>
      </c>
      <c r="F75" s="356"/>
      <c r="G75" s="352"/>
      <c r="H75" s="40"/>
      <c r="I75" s="40"/>
      <c r="J75" s="1759"/>
      <c r="K75" s="2515">
        <f>IF(H77="非个人房产","",4)</f>
        <v>4</v>
      </c>
      <c r="L75" s="3815" t="str">
        <f>IF(H77="非个人房产","——","个人所得税")</f>
        <v>个人所得税</v>
      </c>
      <c r="M75" s="3815"/>
      <c r="N75" s="1169">
        <f>D77</f>
        <v>0</v>
      </c>
      <c r="O75" s="1637" t="str">
        <f>E77</f>
        <v>差额计税</v>
      </c>
      <c r="P75" s="1170">
        <f>F77</f>
        <v>0.01</v>
      </c>
      <c r="Q75" s="1752"/>
      <c r="R75" s="1752"/>
      <c r="S75" s="1752"/>
      <c r="T75" s="1752"/>
      <c r="U75" s="1752"/>
      <c r="V75" s="1752"/>
    </row>
    <row r="76" spans="1:22" ht="25.2">
      <c r="A76" s="350" t="s">
        <v>361</v>
      </c>
      <c r="B76" s="3762" t="s">
        <v>384</v>
      </c>
      <c r="C76" s="3763"/>
      <c r="D76" s="353">
        <f ca="1">IF(H76="转让取得",C99,C115)</f>
        <v>354</v>
      </c>
      <c r="E76" s="15" t="s">
        <v>385</v>
      </c>
      <c r="F76" s="51" t="s">
        <v>15</v>
      </c>
      <c r="G76" s="352"/>
      <c r="H76" s="354"/>
      <c r="I76" s="40"/>
      <c r="J76" s="1759"/>
      <c r="K76" s="2515" t="str">
        <f>IF(项目基本情况!K6="上海银行",IF(K75="",4,K75+1),"")</f>
        <v/>
      </c>
      <c r="L76" s="3830" t="str">
        <f>IF(项目基本情况!K6="上海银行","其他处置费用","")</f>
        <v/>
      </c>
      <c r="M76" s="3831"/>
      <c r="N76" s="1165" t="str">
        <f>IF(项目基本情况!K6="上海银行",N89,"")</f>
        <v/>
      </c>
      <c r="O76" s="3832" t="str">
        <f>IF(项目基本情况!K6="上海银行","包含处置中涉及的律师、诉讼、拍卖、评估等费用","")</f>
        <v/>
      </c>
      <c r="P76" s="3833"/>
      <c r="Q76" s="1752"/>
      <c r="R76" s="1752"/>
      <c r="S76" s="1752"/>
      <c r="T76" s="1752"/>
      <c r="U76" s="1752"/>
      <c r="V76" s="1752"/>
    </row>
    <row r="77" spans="1:22" ht="24.6" thickBot="1">
      <c r="A77" s="3817" t="s">
        <v>387</v>
      </c>
      <c r="B77" s="3818"/>
      <c r="C77" s="3818"/>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16">
        <f>IF(AND(K75="",K76=""),4,IF(项目基本情况!K6="上海银行",K76+1,K75+1))</f>
        <v>5</v>
      </c>
      <c r="L77" s="3815" t="s">
        <v>2158</v>
      </c>
      <c r="M77" s="2520" t="s">
        <v>383</v>
      </c>
      <c r="N77" s="1171"/>
      <c r="O77" s="1172">
        <f ca="1">SUMIF(N72:N76,"&lt;9e307")</f>
        <v>354</v>
      </c>
      <c r="P77" s="1173"/>
      <c r="Q77" s="2518">
        <f ca="1">O77/N69</f>
        <v>0.56730769230769229</v>
      </c>
      <c r="R77" s="1752"/>
      <c r="S77" s="1752"/>
      <c r="T77" s="1752"/>
      <c r="U77" s="1752"/>
      <c r="V77" s="1752"/>
    </row>
    <row r="78" spans="1:22" ht="12" customHeight="1">
      <c r="A78" s="1174"/>
      <c r="B78" s="302"/>
      <c r="C78" s="302"/>
      <c r="D78" s="302"/>
      <c r="E78" s="40"/>
      <c r="F78" s="40"/>
      <c r="G78" s="40"/>
      <c r="H78" s="965"/>
      <c r="I78" s="302"/>
      <c r="J78" s="1759"/>
      <c r="K78" s="3816"/>
      <c r="L78" s="3815"/>
      <c r="M78" s="2520" t="s">
        <v>386</v>
      </c>
      <c r="N78" s="1171"/>
      <c r="O78" s="1172" t="str">
        <f ca="1">NUMBERSTRING(INT(O77*10000),2)&amp;"元整"</f>
        <v>叁佰伍拾肆万元整</v>
      </c>
      <c r="P78" s="1173"/>
      <c r="Q78" s="1752"/>
      <c r="R78" s="1752"/>
      <c r="S78" s="1752"/>
      <c r="T78" s="1752"/>
      <c r="U78" s="1752"/>
      <c r="V78" s="1752"/>
    </row>
    <row r="79" spans="1:22" ht="13.8" thickBot="1">
      <c r="A79" s="3782" t="s">
        <v>388</v>
      </c>
      <c r="B79" s="3782"/>
      <c r="C79" s="3782"/>
      <c r="D79" s="3782"/>
      <c r="E79" s="3782"/>
      <c r="F79" s="40"/>
      <c r="G79" s="40"/>
      <c r="H79" s="965"/>
      <c r="I79" s="302"/>
      <c r="J79" s="1759"/>
      <c r="K79" s="3836">
        <f>K77+1</f>
        <v>6</v>
      </c>
      <c r="L79" s="3815" t="s">
        <v>2159</v>
      </c>
      <c r="M79" s="2520" t="s">
        <v>383</v>
      </c>
      <c r="N79" s="1171"/>
      <c r="O79" s="1172">
        <f ca="1">N69-O77</f>
        <v>270</v>
      </c>
      <c r="P79" s="1173"/>
      <c r="Q79" s="1752"/>
      <c r="R79" s="1752"/>
      <c r="S79" s="1752"/>
      <c r="T79" s="1752"/>
      <c r="U79" s="1752"/>
      <c r="V79" s="1752"/>
    </row>
    <row r="80" spans="1:22" ht="26.4">
      <c r="A80" s="3783" t="s">
        <v>389</v>
      </c>
      <c r="B80" s="3784"/>
      <c r="C80" s="956"/>
      <c r="D80" s="956" t="s">
        <v>390</v>
      </c>
      <c r="E80" s="357" t="s">
        <v>391</v>
      </c>
      <c r="F80" s="40"/>
      <c r="G80" s="40"/>
      <c r="H80" s="965"/>
      <c r="I80" s="302"/>
      <c r="J80" s="1752"/>
      <c r="K80" s="3837"/>
      <c r="L80" s="3815"/>
      <c r="M80" s="2520" t="s">
        <v>386</v>
      </c>
      <c r="N80" s="1171"/>
      <c r="O80" s="1172" t="str">
        <f ca="1">NUMBERSTRING(INT(O79*10000),2)&amp;"元整"</f>
        <v>贰佰柒拾万元整</v>
      </c>
      <c r="P80" s="1173"/>
      <c r="Q80" s="1752"/>
      <c r="R80" s="1752"/>
      <c r="S80" s="1752"/>
      <c r="T80" s="1752"/>
      <c r="U80" s="1752"/>
      <c r="V80" s="1752"/>
    </row>
    <row r="81" spans="1:26" ht="13.8" thickBot="1">
      <c r="A81" s="368" t="s">
        <v>1352</v>
      </c>
      <c r="B81" s="358" t="s">
        <v>392</v>
      </c>
      <c r="C81" s="359">
        <f ca="1">ROUND((C82+C83)/(1+'数据-取费表'!C42),0)</f>
        <v>594</v>
      </c>
      <c r="D81" s="360"/>
      <c r="E81" s="361"/>
      <c r="F81" s="40"/>
      <c r="G81" s="40"/>
      <c r="H81" s="965"/>
      <c r="I81" s="302"/>
      <c r="J81" s="1752"/>
      <c r="K81" s="2515">
        <f>K79+1</f>
        <v>7</v>
      </c>
      <c r="L81" s="3813" t="s">
        <v>2160</v>
      </c>
      <c r="M81" s="3814"/>
      <c r="N81" s="1175"/>
      <c r="O81" s="1176">
        <f ca="1">ROUND(O79*10000/'数据-汇总表'!E3,0)</f>
        <v>748</v>
      </c>
      <c r="P81" s="1177"/>
      <c r="Q81" s="1752"/>
      <c r="R81" s="1752"/>
      <c r="S81" s="1752"/>
      <c r="T81" s="1752"/>
      <c r="U81" s="1752"/>
      <c r="V81" s="1752"/>
    </row>
    <row r="82" spans="1:26" ht="13.8" thickTop="1">
      <c r="A82" s="362" t="s">
        <v>1353</v>
      </c>
      <c r="B82" s="363" t="s">
        <v>393</v>
      </c>
      <c r="C82" s="364">
        <f ca="1">D63</f>
        <v>624</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29" t="s">
        <v>2148</v>
      </c>
      <c r="L83" s="2526" t="s">
        <v>2149</v>
      </c>
      <c r="M83" s="2516">
        <f ca="1">IF(N69&gt;10000,N69*0.5%,IF(AND(N69&gt;1000,N69&lt;=10000),N69*1%,IF(AND(N69&gt;100,N69&lt;=1000),N69*3%,IF(AND(N69&gt;10,N69&lt;=100),N69*5%,N69*8%))))</f>
        <v>18.72</v>
      </c>
      <c r="N83" s="51">
        <f ca="1">ROUND(M83,1)</f>
        <v>18.7</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29"/>
      <c r="L84" s="2526" t="s">
        <v>2150</v>
      </c>
      <c r="M84" s="2516">
        <f ca="1">IF(N69&gt;2000,N69*0.5%,IF(AND(N69&gt;1000,N69&lt;=2000),N69*0.6%,IF(AND(N69&gt;500,N69&lt;=1000),N69*0.7%,IF(AND(N69&gt;200,N69&lt;=500),N69*0.8%,IF(AND(N69&gt;100,N69&lt;=200),N69*0.9%,IF(AND(N69&gt;50,N69&lt;=100),N69*1%,IF(AND(N69&gt;20,N69&lt;=50),N69*1.5%,IF(AND(N69&gt;10,N69&lt;=20),N69*2%,IF(AND(N69&gt;1,N69&lt;=10),N69*2.5%)))))))))</f>
        <v>4.3679999999999994</v>
      </c>
      <c r="N84" s="51">
        <f ca="1">ROUND(M84,1)</f>
        <v>4.4000000000000004</v>
      </c>
      <c r="O84" s="1752" t="s">
        <v>2151</v>
      </c>
      <c r="P84" s="1752"/>
      <c r="Q84" s="1752"/>
      <c r="R84" s="1752"/>
      <c r="S84" s="1752"/>
      <c r="T84" s="1752"/>
      <c r="U84" s="1752"/>
      <c r="V84" s="1752"/>
    </row>
    <row r="85" spans="1:26" ht="13.2">
      <c r="A85" s="368" t="s">
        <v>1356</v>
      </c>
      <c r="B85" s="369" t="s">
        <v>396</v>
      </c>
      <c r="C85" s="372">
        <f ca="1">C81-C84</f>
        <v>594</v>
      </c>
      <c r="D85" s="365" t="s">
        <v>13</v>
      </c>
      <c r="E85" s="366"/>
      <c r="F85" s="40"/>
      <c r="G85" s="40"/>
      <c r="H85" s="965"/>
      <c r="I85" s="302"/>
      <c r="J85" s="1752"/>
      <c r="K85" s="3829"/>
      <c r="L85" s="2526" t="s">
        <v>2152</v>
      </c>
      <c r="M85" s="2516">
        <f ca="1">IF(N69&gt;1000,N69*0.1%,IF(AND(N69&gt;500,N69&lt;=1000),N69*0.5%,IF(AND(N69&gt;50,N69&lt;=500),N69*1%,IF(AND(N69&gt;1,N69&lt;=50),N69*1.5%))))</f>
        <v>3.12</v>
      </c>
      <c r="N85" s="51">
        <f ca="1">ROUND(M85,1)</f>
        <v>3.1</v>
      </c>
      <c r="O85" s="1752" t="s">
        <v>2151</v>
      </c>
      <c r="P85" s="1752"/>
      <c r="Q85" s="1752"/>
      <c r="R85" s="1752"/>
      <c r="S85" s="1752"/>
      <c r="T85" s="1752"/>
      <c r="U85" s="1752"/>
      <c r="V85" s="1752"/>
    </row>
    <row r="86" spans="1:26" ht="13.8" thickBot="1">
      <c r="A86" s="373" t="s">
        <v>1357</v>
      </c>
      <c r="B86" s="374" t="s">
        <v>397</v>
      </c>
      <c r="C86" s="375">
        <f ca="1">IF(C85&lt;=0,0,ROUND(C85*D86,0))</f>
        <v>33</v>
      </c>
      <c r="D86" s="376">
        <f>'数据-取费表'!B41</f>
        <v>5.5000000000000007E-2</v>
      </c>
      <c r="E86" s="377"/>
      <c r="F86" s="40"/>
      <c r="G86" s="40"/>
      <c r="H86" s="965"/>
      <c r="I86" s="302"/>
      <c r="J86" s="1752"/>
      <c r="K86" s="3829"/>
      <c r="L86" s="2526" t="s">
        <v>2153</v>
      </c>
      <c r="M86" s="2516">
        <f ca="1">N69*0.5%</f>
        <v>3.12</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9"/>
      <c r="L87" s="2526" t="s">
        <v>2155</v>
      </c>
      <c r="M87" s="2516">
        <f ca="1">IF(N69&gt;=10000,(8.25+(N69-10000)*0.01%),IF(AND(N69&gt;=8000,N69&lt;10000),(7.85+(N69-8000)*0.02%),IF(AND(N69&gt;=5000,N69&lt;8000),(6.65+(N69-5000)*0.04%),IF(AND(N69&gt;=2000,N69&lt;5000),(4.25+(PN69-2000)*0.08%),IF(AND(N69&gt;=1000,N69&lt;2000),(2.75+(N69-1000)*0.15%),IF(AND(N69&gt;=100,N69&lt;1000),(0.5+(N69-100)*0.25%),IF(AND(N69&gt;0,N69&lt;100),N69*0.5%)))))))</f>
        <v>1.81</v>
      </c>
      <c r="N87" s="51">
        <f ca="1">ROUND(M87*0.9,1)</f>
        <v>1.6</v>
      </c>
      <c r="O87" s="2519"/>
      <c r="P87" s="1752"/>
      <c r="Q87" s="1752"/>
      <c r="R87" s="1752"/>
      <c r="S87" s="1752"/>
      <c r="T87" s="1752"/>
      <c r="U87" s="1752"/>
      <c r="V87" s="1752"/>
      <c r="W87" s="283"/>
      <c r="X87" s="283"/>
      <c r="Y87" s="283"/>
      <c r="Z87" s="283"/>
    </row>
    <row r="88" spans="1:26" s="1183" customFormat="1" ht="14.4" thickBot="1">
      <c r="A88" s="3808" t="s">
        <v>398</v>
      </c>
      <c r="B88" s="3809"/>
      <c r="C88" s="3809"/>
      <c r="D88" s="3809"/>
      <c r="E88" s="3809"/>
      <c r="F88" s="3809"/>
      <c r="G88" s="3809"/>
      <c r="H88" s="3809"/>
      <c r="I88" s="1184"/>
      <c r="J88" s="1760"/>
      <c r="K88" s="3829"/>
      <c r="L88" s="2526" t="s">
        <v>2156</v>
      </c>
      <c r="M88" s="2516">
        <f ca="1">IF(N69&gt;10000,N69*0.5%,IF(AND(N69&gt;5000,N69&lt;=10000),N69*1%,IF(AND(N69&gt;1000,N69&lt;=5000),N69*2%,IF(AND(N69&gt;200,N69&lt;=1000),N69*3%,N69*5%))))</f>
        <v>18.72</v>
      </c>
      <c r="N88" s="51">
        <f ca="1">ROUND(M88,1)</f>
        <v>18.7</v>
      </c>
      <c r="O88" s="2519"/>
      <c r="P88" s="1757"/>
      <c r="Q88" s="1757"/>
      <c r="R88" s="1757"/>
      <c r="S88" s="1757"/>
      <c r="T88" s="1757"/>
      <c r="U88" s="1757"/>
      <c r="V88" s="1757"/>
      <c r="W88" s="1761"/>
      <c r="X88" s="1761"/>
      <c r="Y88" s="1761"/>
      <c r="Z88" s="1761"/>
    </row>
    <row r="89" spans="1:26" s="1183" customFormat="1" ht="13.8">
      <c r="A89" s="3783" t="s">
        <v>389</v>
      </c>
      <c r="B89" s="3784"/>
      <c r="C89" s="956"/>
      <c r="D89" s="956" t="s">
        <v>390</v>
      </c>
      <c r="E89" s="378" t="s">
        <v>399</v>
      </c>
      <c r="F89" s="379"/>
      <c r="G89" s="379"/>
      <c r="H89" s="380"/>
      <c r="I89" s="1185"/>
      <c r="J89" s="1762"/>
      <c r="K89" s="3829"/>
      <c r="L89" s="2526" t="s">
        <v>16</v>
      </c>
      <c r="M89" s="2517"/>
      <c r="N89" s="51">
        <f ca="1">ROUND(SUM(N83:N88),0)</f>
        <v>47</v>
      </c>
      <c r="O89" s="2527">
        <f ca="1">N89/N69</f>
        <v>7.5320512820512817E-2</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594</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3</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65" t="s">
        <v>407</v>
      </c>
      <c r="F94" s="3764"/>
      <c r="G94" s="3764"/>
      <c r="H94" s="3807"/>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3</v>
      </c>
      <c r="D96" s="393">
        <f>'数据-取费表'!B43</f>
        <v>5.000000000000001E-3</v>
      </c>
      <c r="E96" s="3799" t="s">
        <v>1780</v>
      </c>
      <c r="F96" s="3800"/>
      <c r="G96" s="3800"/>
      <c r="H96" s="3801"/>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591</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f ca="1">ROUND(IF(C97&lt;=0,0,IF(C98&gt;=200%,C97*60%-C91*35%,IF(C98&gt;=100%,C97*50%-C91*15%,IF(C98&gt;=50%,C97*40%-C91*5%,IF(C98&lt;50%,C97*30%,0))))),0)</f>
        <v>354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08" t="s">
        <v>414</v>
      </c>
      <c r="B101" s="3809"/>
      <c r="C101" s="3809"/>
      <c r="D101" s="3809"/>
      <c r="E101" s="3809"/>
      <c r="F101" s="3809"/>
      <c r="G101" s="3809"/>
      <c r="H101" s="3809"/>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783" t="s">
        <v>389</v>
      </c>
      <c r="B102" s="378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594</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5" t="s">
        <v>2280</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759" t="s">
        <v>2252</v>
      </c>
      <c r="H108" s="3760"/>
      <c r="I108" s="2612"/>
      <c r="J108" s="1757"/>
      <c r="K108" s="2985"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02" t="s">
        <v>422</v>
      </c>
      <c r="F109" s="3800"/>
      <c r="G109" s="3800"/>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02" t="s">
        <v>424</v>
      </c>
      <c r="F110" s="3800"/>
      <c r="G110" s="3800"/>
      <c r="H110" s="3801"/>
      <c r="I110" s="9"/>
      <c r="J110" s="1757"/>
      <c r="K110" s="2986"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3</v>
      </c>
      <c r="D111" s="393">
        <f>'数据-取费表'!B43</f>
        <v>5.000000000000001E-3</v>
      </c>
      <c r="E111" s="3799" t="s">
        <v>1780</v>
      </c>
      <c r="F111" s="3800"/>
      <c r="G111" s="3800"/>
      <c r="H111" s="3801"/>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02" t="s">
        <v>1799</v>
      </c>
      <c r="F112" s="3800"/>
      <c r="G112" s="3800"/>
      <c r="H112" s="3801"/>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591</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197</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f ca="1">ROUND(IF(C113&lt;=0,0,IF(C114&gt;=200%,C113*60%-C104*35%,IF(C114&gt;=100%,C113*50%-C104*15%,IF(C114&gt;=50%,C113*40%-C104*5%,IF(C114&lt;50%,C113*30%,0))))),0)</f>
        <v>354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K33" sqref="K33"/>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679</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f>ROUND(B2*10000/'数据-汇总表'!E3,0)</f>
        <v>1880</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4071</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271</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857" t="s">
        <v>471</v>
      </c>
      <c r="D6" s="3858"/>
      <c r="E6" s="3859" t="s">
        <v>472</v>
      </c>
      <c r="F6" s="3860"/>
      <c r="G6" s="3857" t="s">
        <v>473</v>
      </c>
      <c r="H6" s="3858"/>
      <c r="I6" s="3857" t="s">
        <v>474</v>
      </c>
      <c r="J6" s="3858"/>
      <c r="K6" s="484" t="s">
        <v>475</v>
      </c>
      <c r="L6" s="1856"/>
      <c r="M6" s="1857"/>
      <c r="N6" s="1857"/>
      <c r="O6" s="1857"/>
      <c r="P6" s="3861" t="s">
        <v>476</v>
      </c>
      <c r="Q6" s="3862"/>
      <c r="R6" s="3843" t="s">
        <v>472</v>
      </c>
      <c r="S6" s="3844"/>
      <c r="T6" s="3843" t="s">
        <v>473</v>
      </c>
      <c r="U6" s="3844"/>
      <c r="V6" s="3869" t="s">
        <v>474</v>
      </c>
      <c r="W6" s="3869"/>
      <c r="X6" s="1380"/>
      <c r="Y6" s="3843" t="s">
        <v>476</v>
      </c>
      <c r="Z6" s="3844"/>
      <c r="AA6" s="3854" t="s">
        <v>472</v>
      </c>
      <c r="AB6" s="3855" t="s">
        <v>473</v>
      </c>
      <c r="AC6" s="3854" t="s">
        <v>474</v>
      </c>
    </row>
    <row r="7" spans="1:29">
      <c r="A7" s="485"/>
      <c r="B7" s="486"/>
      <c r="C7" s="3847" t="s">
        <v>2192</v>
      </c>
      <c r="D7" s="3848"/>
      <c r="E7" s="3870" t="str">
        <f>Sheet1!A2</f>
        <v>北京市房山区窦店新城组团FS00-0308-0030地块M1一类工业用地项目</v>
      </c>
      <c r="F7" s="3871"/>
      <c r="G7" s="3847" t="str">
        <f>Sheet1!A4</f>
        <v>北京石化新材料科技产业基地核心区东区B7-13、B7-18地块工业用地项目</v>
      </c>
      <c r="H7" s="3848"/>
      <c r="I7" s="3847" t="str">
        <f>Sheet1!A6</f>
        <v>北京高端制造业基地01街区01-02(2)地块工业用地项目</v>
      </c>
      <c r="J7" s="3848"/>
      <c r="K7" s="484"/>
      <c r="L7" s="1856"/>
      <c r="M7" s="1857"/>
      <c r="N7" s="1857"/>
      <c r="O7" s="1857"/>
      <c r="P7" s="3863"/>
      <c r="Q7" s="3864"/>
      <c r="R7" s="3845"/>
      <c r="S7" s="3846"/>
      <c r="T7" s="3845"/>
      <c r="U7" s="3846"/>
      <c r="V7" s="3869"/>
      <c r="W7" s="3869"/>
      <c r="X7" s="1380"/>
      <c r="Y7" s="3845"/>
      <c r="Z7" s="3846"/>
      <c r="AA7" s="3855"/>
      <c r="AB7" s="3855"/>
      <c r="AC7" s="3855"/>
    </row>
    <row r="8" spans="1:29" ht="15" thickBot="1">
      <c r="A8" s="487"/>
      <c r="B8" s="488"/>
      <c r="C8" s="3849" t="s">
        <v>2196</v>
      </c>
      <c r="D8" s="3850"/>
      <c r="E8" s="3852" t="s">
        <v>2196</v>
      </c>
      <c r="F8" s="3853"/>
      <c r="G8" s="3849" t="s">
        <v>2196</v>
      </c>
      <c r="H8" s="3850"/>
      <c r="I8" s="3849" t="s">
        <v>2196</v>
      </c>
      <c r="J8" s="3850"/>
      <c r="K8" s="484" t="s">
        <v>477</v>
      </c>
      <c r="L8" s="1856"/>
      <c r="M8" s="1857"/>
      <c r="N8" s="1857"/>
      <c r="O8" s="1857"/>
      <c r="P8" s="3865"/>
      <c r="Q8" s="3866"/>
      <c r="R8" s="3845"/>
      <c r="S8" s="3846"/>
      <c r="T8" s="3867"/>
      <c r="U8" s="3868"/>
      <c r="V8" s="3869"/>
      <c r="W8" s="3869"/>
      <c r="X8" s="1380"/>
      <c r="Y8" s="3867"/>
      <c r="Z8" s="3868"/>
      <c r="AA8" s="3856"/>
      <c r="AB8" s="3856"/>
      <c r="AC8" s="3856"/>
    </row>
    <row r="9" spans="1:29" s="1118" customFormat="1" ht="15" thickBot="1">
      <c r="A9" s="2392"/>
      <c r="B9" s="2399" t="s">
        <v>478</v>
      </c>
      <c r="C9" s="489">
        <f>'数据-取费表'!B2</f>
        <v>44986</v>
      </c>
      <c r="D9" s="490">
        <v>100</v>
      </c>
      <c r="E9" s="491" t="str">
        <f>Sheet1!K2</f>
        <v>2023-02-06</v>
      </c>
      <c r="F9" s="492">
        <f>SUMIF(66:66,YEAR(E9)&amp;"-"&amp;INT((MONTH(E9)+2)/3),67:67)</f>
        <v>100</v>
      </c>
      <c r="G9" s="493" t="str">
        <f>Sheet1!K4</f>
        <v>2021-08-25</v>
      </c>
      <c r="H9" s="490">
        <f>SUMIF(66:66,YEAR(G9)&amp;"-"&amp;INT((MONTH(G9)+2)/3),67:67)</f>
        <v>100</v>
      </c>
      <c r="I9" s="493" t="str">
        <f>Sheet1!K6</f>
        <v>2020-12-07</v>
      </c>
      <c r="J9" s="490">
        <f>SUMIF(66:66,YEAR(I9)&amp;"-"&amp;INT((MONTH(I9)+2)/3),67:67)</f>
        <v>100</v>
      </c>
      <c r="K9" s="494"/>
      <c r="L9" s="1858"/>
      <c r="M9" s="1859"/>
      <c r="N9" s="1859"/>
      <c r="O9" s="1859"/>
      <c r="P9" s="3841" t="s">
        <v>479</v>
      </c>
      <c r="Q9" s="3851"/>
      <c r="R9" s="1381" t="s">
        <v>5</v>
      </c>
      <c r="S9" s="1382">
        <f t="shared" ref="S9:S17" si="0">F9</f>
        <v>100</v>
      </c>
      <c r="T9" s="1381" t="s">
        <v>5</v>
      </c>
      <c r="U9" s="1382">
        <f t="shared" ref="U9:U17" si="1">H9</f>
        <v>100</v>
      </c>
      <c r="V9" s="1381" t="s">
        <v>5</v>
      </c>
      <c r="W9" s="1382">
        <f t="shared" ref="W9:W17" si="2">J9</f>
        <v>100</v>
      </c>
      <c r="X9" s="1383"/>
      <c r="Y9" s="3841" t="s">
        <v>479</v>
      </c>
      <c r="Z9" s="3842"/>
      <c r="AA9" s="1384">
        <f>D9/F9</f>
        <v>1</v>
      </c>
      <c r="AB9" s="1384">
        <f>D9/H9</f>
        <v>1</v>
      </c>
      <c r="AC9" s="1384">
        <f>D9/J9</f>
        <v>1</v>
      </c>
    </row>
    <row r="10" spans="1:29" s="1118" customFormat="1" ht="15" thickBot="1">
      <c r="A10" s="2393"/>
      <c r="B10" s="2400" t="s">
        <v>480</v>
      </c>
      <c r="C10" s="495" t="s">
        <v>481</v>
      </c>
      <c r="D10" s="490">
        <v>100</v>
      </c>
      <c r="E10" s="495" t="s">
        <v>3277</v>
      </c>
      <c r="F10" s="492">
        <f>SUMIF(69:69,E10,70:70)-SUMIF(69:69,C10,70:70)+100</f>
        <v>100</v>
      </c>
      <c r="G10" s="3665" t="s">
        <v>3285</v>
      </c>
      <c r="H10" s="490">
        <f>SUMIF(69:69,G10,70:70)-SUMIF(69:69,C10,70:70)+100</f>
        <v>100</v>
      </c>
      <c r="I10" s="3665" t="s">
        <v>3285</v>
      </c>
      <c r="J10" s="490">
        <f>SUMIF(69:69,I10,70:70)-SUMIF(69:69,C10,70:70)+100</f>
        <v>100</v>
      </c>
      <c r="K10" s="494"/>
      <c r="L10" s="1858"/>
      <c r="M10" s="1859"/>
      <c r="N10" s="1859"/>
      <c r="O10" s="1859"/>
      <c r="P10" s="3841" t="s">
        <v>482</v>
      </c>
      <c r="Q10" s="3842"/>
      <c r="R10" s="1381" t="s">
        <v>5</v>
      </c>
      <c r="S10" s="1382">
        <f t="shared" si="0"/>
        <v>100</v>
      </c>
      <c r="T10" s="1381" t="s">
        <v>5</v>
      </c>
      <c r="U10" s="1382">
        <f t="shared" si="1"/>
        <v>100</v>
      </c>
      <c r="V10" s="1381" t="s">
        <v>5</v>
      </c>
      <c r="W10" s="1382">
        <f t="shared" si="2"/>
        <v>100</v>
      </c>
      <c r="X10" s="1383"/>
      <c r="Y10" s="3841" t="s">
        <v>482</v>
      </c>
      <c r="Z10" s="3842"/>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76" t="s">
        <v>484</v>
      </c>
      <c r="Q11" s="1050" t="str">
        <f t="shared" ref="Q11:Q17" si="6">B11</f>
        <v>用途</v>
      </c>
      <c r="R11" s="1381" t="s">
        <v>5</v>
      </c>
      <c r="S11" s="1382">
        <f t="shared" si="0"/>
        <v>100</v>
      </c>
      <c r="T11" s="1381" t="s">
        <v>5</v>
      </c>
      <c r="U11" s="1382">
        <f t="shared" si="1"/>
        <v>100</v>
      </c>
      <c r="V11" s="1381" t="s">
        <v>5</v>
      </c>
      <c r="W11" s="1382">
        <f t="shared" si="2"/>
        <v>100</v>
      </c>
      <c r="X11" s="1383"/>
      <c r="Y11" s="3790"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127</v>
      </c>
      <c r="G12" s="498"/>
      <c r="H12" s="246">
        <f>ROUND(100/'数据-取费表'!G16,0)</f>
        <v>127</v>
      </c>
      <c r="I12" s="498"/>
      <c r="J12" s="246">
        <f>ROUND(100/'数据-取费表'!G16,0)</f>
        <v>127</v>
      </c>
      <c r="K12" s="501"/>
      <c r="L12" s="1861"/>
      <c r="M12" s="1900"/>
      <c r="N12" s="1900"/>
      <c r="O12" s="1862"/>
      <c r="P12" s="3876"/>
      <c r="Q12" s="1050" t="str">
        <f t="shared" si="6"/>
        <v>土地使用年限（年）</v>
      </c>
      <c r="R12" s="1381" t="s">
        <v>5</v>
      </c>
      <c r="S12" s="1382">
        <f t="shared" si="0"/>
        <v>127</v>
      </c>
      <c r="T12" s="1381" t="s">
        <v>5</v>
      </c>
      <c r="U12" s="1382">
        <f t="shared" si="1"/>
        <v>127</v>
      </c>
      <c r="V12" s="1381" t="s">
        <v>5</v>
      </c>
      <c r="W12" s="1382">
        <f t="shared" si="2"/>
        <v>127</v>
      </c>
      <c r="X12" s="1383"/>
      <c r="Y12" s="3790"/>
      <c r="Z12" s="1049" t="str">
        <f t="shared" si="7"/>
        <v>土地使用年限（年）</v>
      </c>
      <c r="AA12" s="1384">
        <f t="shared" si="3"/>
        <v>0.78740157480314965</v>
      </c>
      <c r="AB12" s="1384">
        <f t="shared" si="4"/>
        <v>0.78740157480314965</v>
      </c>
      <c r="AC12" s="1384">
        <f t="shared" si="5"/>
        <v>0.78740157480314965</v>
      </c>
    </row>
    <row r="13" spans="1:29" ht="15">
      <c r="A13" s="2396"/>
      <c r="B13" s="2400" t="s">
        <v>2040</v>
      </c>
      <c r="C13" s="503">
        <f>'数据-汇总表'!I5</f>
        <v>2.17</v>
      </c>
      <c r="D13" s="246">
        <v>100</v>
      </c>
      <c r="E13" s="503">
        <v>1.5</v>
      </c>
      <c r="F13" s="246">
        <f>LOOKUP(E13,76:76,77:77)-LOOKUP(C13,76:76,77:77)+100</f>
        <v>102</v>
      </c>
      <c r="G13" s="504">
        <v>1</v>
      </c>
      <c r="H13" s="246">
        <f>LOOKUP(G13,76:76,77:77)-LOOKUP(C13,76:76,77:77)+100</f>
        <v>104</v>
      </c>
      <c r="I13" s="503">
        <v>1.2</v>
      </c>
      <c r="J13" s="246">
        <f>LOOKUP(I13,76:76,77:77)-LOOKUP(C13,76:76,77:77)+100</f>
        <v>104</v>
      </c>
      <c r="K13" s="505">
        <v>2</v>
      </c>
      <c r="L13" s="1863"/>
      <c r="M13" s="1857"/>
      <c r="N13" s="1857"/>
      <c r="O13" s="1864"/>
      <c r="P13" s="3876"/>
      <c r="Q13" s="1050" t="str">
        <f t="shared" si="6"/>
        <v>容积率</v>
      </c>
      <c r="R13" s="1381" t="s">
        <v>5</v>
      </c>
      <c r="S13" s="1382">
        <f t="shared" si="0"/>
        <v>102</v>
      </c>
      <c r="T13" s="1381" t="s">
        <v>5</v>
      </c>
      <c r="U13" s="1382">
        <f t="shared" si="1"/>
        <v>104</v>
      </c>
      <c r="V13" s="1381" t="s">
        <v>5</v>
      </c>
      <c r="W13" s="1382">
        <f t="shared" si="2"/>
        <v>104</v>
      </c>
      <c r="X13" s="1383"/>
      <c r="Y13" s="3790"/>
      <c r="Z13" s="1049" t="str">
        <f t="shared" si="7"/>
        <v>容积率</v>
      </c>
      <c r="AA13" s="1384">
        <f t="shared" si="3"/>
        <v>0.98039215686274506</v>
      </c>
      <c r="AB13" s="1384">
        <f t="shared" si="4"/>
        <v>0.96153846153846156</v>
      </c>
      <c r="AC13" s="1384">
        <f t="shared" si="5"/>
        <v>0.96153846153846156</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76"/>
      <c r="Q14" s="1050">
        <f t="shared" si="6"/>
        <v>111</v>
      </c>
      <c r="R14" s="1381" t="s">
        <v>5</v>
      </c>
      <c r="S14" s="1382">
        <f t="shared" si="0"/>
        <v>100</v>
      </c>
      <c r="T14" s="1381" t="s">
        <v>5</v>
      </c>
      <c r="U14" s="1382">
        <f t="shared" si="1"/>
        <v>100</v>
      </c>
      <c r="V14" s="1381" t="s">
        <v>5</v>
      </c>
      <c r="W14" s="1382">
        <f t="shared" si="2"/>
        <v>100</v>
      </c>
      <c r="X14" s="1383"/>
      <c r="Y14" s="379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76"/>
      <c r="Q15" s="1050">
        <f t="shared" si="6"/>
        <v>111</v>
      </c>
      <c r="R15" s="1381" t="s">
        <v>5</v>
      </c>
      <c r="S15" s="1382">
        <f t="shared" si="0"/>
        <v>100</v>
      </c>
      <c r="T15" s="1381" t="s">
        <v>5</v>
      </c>
      <c r="U15" s="1382">
        <f t="shared" si="1"/>
        <v>100</v>
      </c>
      <c r="V15" s="1381" t="s">
        <v>5</v>
      </c>
      <c r="W15" s="1382">
        <f t="shared" si="2"/>
        <v>100</v>
      </c>
      <c r="X15" s="1383"/>
      <c r="Y15" s="3790"/>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76"/>
      <c r="Q16" s="1050">
        <f t="shared" si="6"/>
        <v>111</v>
      </c>
      <c r="R16" s="1381" t="s">
        <v>5</v>
      </c>
      <c r="S16" s="1382">
        <f t="shared" si="0"/>
        <v>100</v>
      </c>
      <c r="T16" s="1381" t="s">
        <v>5</v>
      </c>
      <c r="U16" s="1382">
        <f t="shared" si="1"/>
        <v>100</v>
      </c>
      <c r="V16" s="1381" t="s">
        <v>5</v>
      </c>
      <c r="W16" s="1382">
        <f t="shared" si="2"/>
        <v>100</v>
      </c>
      <c r="X16" s="1383"/>
      <c r="Y16" s="3790"/>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2" t="s">
        <v>489</v>
      </c>
      <c r="Q17" s="1385" t="str">
        <f t="shared" si="6"/>
        <v>产业集聚程度</v>
      </c>
      <c r="R17" s="1386" t="s">
        <v>5</v>
      </c>
      <c r="S17" s="1387">
        <f t="shared" si="0"/>
        <v>100</v>
      </c>
      <c r="T17" s="1386" t="s">
        <v>5</v>
      </c>
      <c r="U17" s="1387">
        <f t="shared" si="1"/>
        <v>100</v>
      </c>
      <c r="V17" s="1386" t="s">
        <v>5</v>
      </c>
      <c r="W17" s="1387">
        <f t="shared" si="2"/>
        <v>100</v>
      </c>
      <c r="X17" s="1380"/>
      <c r="Y17" s="3872"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3"/>
      <c r="Q18" s="1385"/>
      <c r="R18" s="1386"/>
      <c r="S18" s="1387"/>
      <c r="T18" s="1386"/>
      <c r="U18" s="1387"/>
      <c r="V18" s="1386"/>
      <c r="W18" s="1387"/>
      <c r="X18" s="1380"/>
      <c r="Y18" s="3873"/>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3"/>
      <c r="Q19" s="1385" t="str">
        <f>B19</f>
        <v>交通便捷度</v>
      </c>
      <c r="R19" s="1386" t="s">
        <v>5</v>
      </c>
      <c r="S19" s="1387">
        <f>F19</f>
        <v>100</v>
      </c>
      <c r="T19" s="1386" t="s">
        <v>5</v>
      </c>
      <c r="U19" s="1387">
        <f>H19</f>
        <v>100</v>
      </c>
      <c r="V19" s="1386" t="s">
        <v>5</v>
      </c>
      <c r="W19" s="1387">
        <f>J19</f>
        <v>100</v>
      </c>
      <c r="X19" s="1380"/>
      <c r="Y19" s="3873"/>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3"/>
      <c r="Q20" s="1385"/>
      <c r="R20" s="1386"/>
      <c r="S20" s="1387"/>
      <c r="T20" s="1386"/>
      <c r="U20" s="1387"/>
      <c r="V20" s="1386"/>
      <c r="W20" s="1387"/>
      <c r="X20" s="1380"/>
      <c r="Y20" s="3873"/>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3"/>
      <c r="Q21" s="1385" t="str">
        <f t="shared" ref="Q21:Q35" si="8">B21</f>
        <v>区域土地利用方向</v>
      </c>
      <c r="R21" s="1386" t="s">
        <v>5</v>
      </c>
      <c r="S21" s="1387">
        <f>F21</f>
        <v>100</v>
      </c>
      <c r="T21" s="1386" t="s">
        <v>5</v>
      </c>
      <c r="U21" s="1387">
        <f>H21</f>
        <v>100</v>
      </c>
      <c r="V21" s="1386" t="s">
        <v>5</v>
      </c>
      <c r="W21" s="1387">
        <f>J21</f>
        <v>100</v>
      </c>
      <c r="X21" s="1380"/>
      <c r="Y21" s="387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3"/>
      <c r="Q22" s="1385"/>
      <c r="R22" s="1386"/>
      <c r="S22" s="1387"/>
      <c r="T22" s="1386"/>
      <c r="U22" s="1387"/>
      <c r="V22" s="1386"/>
      <c r="W22" s="1387"/>
      <c r="X22" s="1380"/>
      <c r="Y22" s="3873"/>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3"/>
      <c r="Q23" s="1385" t="str">
        <f t="shared" si="8"/>
        <v>环境状况</v>
      </c>
      <c r="R23" s="1386" t="s">
        <v>5</v>
      </c>
      <c r="S23" s="1387">
        <f>F23</f>
        <v>100</v>
      </c>
      <c r="T23" s="1386" t="s">
        <v>5</v>
      </c>
      <c r="U23" s="1387">
        <f>H23</f>
        <v>100</v>
      </c>
      <c r="V23" s="1386" t="s">
        <v>5</v>
      </c>
      <c r="W23" s="1387">
        <f>J23</f>
        <v>100</v>
      </c>
      <c r="X23" s="1380"/>
      <c r="Y23" s="387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3"/>
      <c r="Q24" s="1385"/>
      <c r="R24" s="1386"/>
      <c r="S24" s="1387"/>
      <c r="T24" s="1386"/>
      <c r="U24" s="1387"/>
      <c r="V24" s="1386"/>
      <c r="W24" s="1387"/>
      <c r="X24" s="1380"/>
      <c r="Y24" s="3873"/>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3"/>
      <c r="Q25" s="1050" t="str">
        <f t="shared" si="8"/>
        <v>公共配套设施</v>
      </c>
      <c r="R25" s="1381" t="s">
        <v>5</v>
      </c>
      <c r="S25" s="1382">
        <f>F25</f>
        <v>100</v>
      </c>
      <c r="T25" s="1381" t="s">
        <v>5</v>
      </c>
      <c r="U25" s="1382">
        <f>H25</f>
        <v>100</v>
      </c>
      <c r="V25" s="1381" t="s">
        <v>5</v>
      </c>
      <c r="W25" s="1382">
        <f>J25</f>
        <v>100</v>
      </c>
      <c r="X25" s="1383"/>
      <c r="Y25" s="3873"/>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3"/>
      <c r="Q26" s="1050"/>
      <c r="R26" s="1381"/>
      <c r="S26" s="1382"/>
      <c r="T26" s="1381"/>
      <c r="U26" s="1382"/>
      <c r="V26" s="1381"/>
      <c r="W26" s="1382"/>
      <c r="X26" s="1383"/>
      <c r="Y26" s="3873"/>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3"/>
      <c r="Q27" s="2192" t="str">
        <f>B27</f>
        <v>基础设施水平</v>
      </c>
      <c r="R27" s="1381" t="s">
        <v>5</v>
      </c>
      <c r="S27" s="1382">
        <f>F27</f>
        <v>100</v>
      </c>
      <c r="T27" s="1381" t="s">
        <v>5</v>
      </c>
      <c r="U27" s="1382">
        <f>H27</f>
        <v>100</v>
      </c>
      <c r="V27" s="1381" t="s">
        <v>5</v>
      </c>
      <c r="W27" s="1382">
        <f>J27</f>
        <v>100</v>
      </c>
      <c r="X27" s="1383"/>
      <c r="Y27" s="3873"/>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3"/>
      <c r="Q28" s="2192"/>
      <c r="R28" s="1381"/>
      <c r="S28" s="1382"/>
      <c r="T28" s="1381"/>
      <c r="U28" s="1382"/>
      <c r="V28" s="1381"/>
      <c r="W28" s="1382"/>
      <c r="X28" s="1383"/>
      <c r="Y28" s="3873"/>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3"/>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3"/>
      <c r="Q30" s="1385" t="str">
        <f t="shared" si="8"/>
        <v>毗邻道路的类型与等级</v>
      </c>
      <c r="R30" s="1386" t="s">
        <v>5</v>
      </c>
      <c r="S30" s="1387">
        <f t="shared" si="9"/>
        <v>100</v>
      </c>
      <c r="T30" s="1386" t="s">
        <v>5</v>
      </c>
      <c r="U30" s="1387">
        <f t="shared" si="10"/>
        <v>100</v>
      </c>
      <c r="V30" s="1386" t="s">
        <v>5</v>
      </c>
      <c r="W30" s="1387">
        <f t="shared" si="11"/>
        <v>100</v>
      </c>
      <c r="X30" s="1380"/>
      <c r="Y30" s="387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3"/>
      <c r="Q31" s="1385"/>
      <c r="R31" s="1386"/>
      <c r="S31" s="1387"/>
      <c r="T31" s="1386"/>
      <c r="U31" s="1387"/>
      <c r="V31" s="1386"/>
      <c r="W31" s="1387"/>
      <c r="X31" s="1380"/>
      <c r="Y31" s="3873"/>
      <c r="Z31" s="1388"/>
      <c r="AA31" s="1389">
        <v>1</v>
      </c>
      <c r="AB31" s="1389">
        <v>1</v>
      </c>
      <c r="AC31" s="1389">
        <v>1</v>
      </c>
    </row>
    <row r="32" spans="1:29" ht="15">
      <c r="A32" s="502"/>
      <c r="B32" s="497" t="s">
        <v>498</v>
      </c>
      <c r="C32" s="2204" t="str">
        <f>估价对象房地状况!G23</f>
        <v>七级</v>
      </c>
      <c r="D32" s="510">
        <v>100</v>
      </c>
      <c r="E32" s="3663" t="s">
        <v>3280</v>
      </c>
      <c r="F32" s="510">
        <f>SUMIF(100:100,E32,101:101)-SUMIF(100:100,C32,101:101)+100</f>
        <v>96</v>
      </c>
      <c r="G32" s="3663" t="s">
        <v>3326</v>
      </c>
      <c r="H32" s="510">
        <f>SUMIF(100:100,G32,101:101)-SUMIF(100:100,C32,101:101)+100</f>
        <v>94</v>
      </c>
      <c r="I32" s="550" t="s">
        <v>1156</v>
      </c>
      <c r="J32" s="510">
        <f>SUMIF(100:100,I32,101:101)-SUMIF(100:100,C32,101:101)+100</f>
        <v>96</v>
      </c>
      <c r="K32" s="554">
        <v>2</v>
      </c>
      <c r="L32" s="1865"/>
      <c r="M32" s="1857"/>
      <c r="N32" s="1857"/>
      <c r="O32" s="1864"/>
      <c r="P32" s="3873"/>
      <c r="Q32" s="1385" t="str">
        <f t="shared" si="8"/>
        <v>土地级别</v>
      </c>
      <c r="R32" s="1386" t="s">
        <v>5</v>
      </c>
      <c r="S32" s="1387">
        <f t="shared" si="9"/>
        <v>96</v>
      </c>
      <c r="T32" s="1386" t="s">
        <v>5</v>
      </c>
      <c r="U32" s="1387">
        <f t="shared" si="10"/>
        <v>94</v>
      </c>
      <c r="V32" s="1386" t="s">
        <v>5</v>
      </c>
      <c r="W32" s="1387">
        <f t="shared" si="11"/>
        <v>96</v>
      </c>
      <c r="X32" s="1380"/>
      <c r="Y32" s="3873"/>
      <c r="Z32" s="1388" t="str">
        <f t="shared" si="12"/>
        <v>土地级别</v>
      </c>
      <c r="AA32" s="1389">
        <f t="shared" si="3"/>
        <v>1.0416666666666667</v>
      </c>
      <c r="AB32" s="1389">
        <f t="shared" si="4"/>
        <v>1.0638297872340425</v>
      </c>
      <c r="AC32" s="1389">
        <f t="shared" si="5"/>
        <v>1.0416666666666667</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3"/>
      <c r="Q33" s="1385">
        <f t="shared" si="8"/>
        <v>111</v>
      </c>
      <c r="R33" s="1386" t="s">
        <v>5</v>
      </c>
      <c r="S33" s="1387">
        <f t="shared" si="9"/>
        <v>100</v>
      </c>
      <c r="T33" s="1386" t="s">
        <v>5</v>
      </c>
      <c r="U33" s="1387">
        <f t="shared" si="10"/>
        <v>100</v>
      </c>
      <c r="V33" s="1386" t="s">
        <v>5</v>
      </c>
      <c r="W33" s="1387">
        <f t="shared" si="11"/>
        <v>100</v>
      </c>
      <c r="X33" s="1380"/>
      <c r="Y33" s="387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4" t="s">
        <v>499</v>
      </c>
      <c r="Q34" s="1385">
        <f t="shared" si="8"/>
        <v>111</v>
      </c>
      <c r="R34" s="1386" t="s">
        <v>5</v>
      </c>
      <c r="S34" s="1387">
        <f t="shared" si="9"/>
        <v>100</v>
      </c>
      <c r="T34" s="1386" t="s">
        <v>5</v>
      </c>
      <c r="U34" s="1387">
        <f t="shared" si="10"/>
        <v>100</v>
      </c>
      <c r="V34" s="1386" t="s">
        <v>5</v>
      </c>
      <c r="W34" s="1387">
        <f t="shared" si="11"/>
        <v>100</v>
      </c>
      <c r="X34" s="1380"/>
      <c r="Y34" s="3875"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5"/>
      <c r="Q35" s="1385">
        <f t="shared" si="8"/>
        <v>111</v>
      </c>
      <c r="R35" s="1390" t="s">
        <v>5</v>
      </c>
      <c r="S35" s="1391">
        <f t="shared" si="9"/>
        <v>100</v>
      </c>
      <c r="T35" s="1390" t="s">
        <v>5</v>
      </c>
      <c r="U35" s="1391">
        <f t="shared" si="10"/>
        <v>100</v>
      </c>
      <c r="V35" s="1390" t="s">
        <v>5</v>
      </c>
      <c r="W35" s="1391">
        <f t="shared" si="11"/>
        <v>100</v>
      </c>
      <c r="X35" s="1392"/>
      <c r="Y35" s="3875"/>
      <c r="Z35" s="1393">
        <f t="shared" si="12"/>
        <v>111</v>
      </c>
      <c r="AA35" s="1389">
        <f t="shared" si="3"/>
        <v>1</v>
      </c>
      <c r="AB35" s="1389">
        <f t="shared" si="4"/>
        <v>1</v>
      </c>
      <c r="AC35" s="1389">
        <f t="shared" si="5"/>
        <v>1</v>
      </c>
    </row>
    <row r="36" spans="1:29" ht="15">
      <c r="A36" s="2387" t="s">
        <v>2037</v>
      </c>
      <c r="B36" s="565" t="s">
        <v>501</v>
      </c>
      <c r="C36" s="566">
        <f>'数据-基础表'!A3</f>
        <v>1667.9</v>
      </c>
      <c r="D36" s="567">
        <v>100</v>
      </c>
      <c r="E36" s="566">
        <v>101127</v>
      </c>
      <c r="F36" s="567">
        <f>LOOKUP(E36,109:109,110:110)-LOOKUP(C36,109:109,110:110)+100</f>
        <v>105</v>
      </c>
      <c r="G36" s="566">
        <f>Sheet1!D4</f>
        <v>60631.73</v>
      </c>
      <c r="H36" s="567">
        <f>LOOKUP(G36,109:109,110:110)-LOOKUP(C36,109:109,110:110)+100</f>
        <v>103</v>
      </c>
      <c r="I36" s="568">
        <f>Sheet1!D6</f>
        <v>47600.14</v>
      </c>
      <c r="J36" s="567">
        <f>LOOKUP(I36,109:109,110:110)-LOOKUP(C36,109:109,110:110)+100</f>
        <v>102</v>
      </c>
      <c r="K36" s="551"/>
      <c r="L36" s="1865"/>
      <c r="M36" s="1857"/>
      <c r="N36" s="1857"/>
      <c r="O36" s="1864"/>
      <c r="P36" s="3875"/>
      <c r="Q36" s="1385" t="str">
        <f>B36</f>
        <v>宗地面积</v>
      </c>
      <c r="R36" s="1386" t="s">
        <v>5</v>
      </c>
      <c r="S36" s="1387">
        <f t="shared" si="9"/>
        <v>105</v>
      </c>
      <c r="T36" s="1386" t="s">
        <v>5</v>
      </c>
      <c r="U36" s="1387">
        <f t="shared" si="10"/>
        <v>103</v>
      </c>
      <c r="V36" s="1386" t="s">
        <v>5</v>
      </c>
      <c r="W36" s="1387">
        <f t="shared" si="11"/>
        <v>102</v>
      </c>
      <c r="X36" s="1380"/>
      <c r="Y36" s="3875"/>
      <c r="Z36" s="1388" t="str">
        <f t="shared" si="12"/>
        <v>宗地面积</v>
      </c>
      <c r="AA36" s="1389">
        <f t="shared" si="3"/>
        <v>0.95238095238095233</v>
      </c>
      <c r="AB36" s="1389">
        <f t="shared" si="4"/>
        <v>0.970873786407767</v>
      </c>
      <c r="AC36" s="1389">
        <f t="shared" si="5"/>
        <v>0.98039215686274506</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5"/>
      <c r="Q37" s="1385" t="str">
        <f t="shared" ref="Q37:Q42" si="13">B37</f>
        <v>宗地形状</v>
      </c>
      <c r="R37" s="1386" t="s">
        <v>5</v>
      </c>
      <c r="S37" s="1387">
        <f t="shared" si="9"/>
        <v>100</v>
      </c>
      <c r="T37" s="1386" t="s">
        <v>5</v>
      </c>
      <c r="U37" s="1387">
        <f t="shared" si="10"/>
        <v>100</v>
      </c>
      <c r="V37" s="1386" t="s">
        <v>5</v>
      </c>
      <c r="W37" s="1387">
        <f t="shared" si="11"/>
        <v>100</v>
      </c>
      <c r="X37" s="1380"/>
      <c r="Y37" s="3875"/>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5"/>
      <c r="Q38" s="1385" t="str">
        <f t="shared" si="13"/>
        <v>宗地开发程度</v>
      </c>
      <c r="R38" s="1381" t="s">
        <v>5</v>
      </c>
      <c r="S38" s="1382">
        <f t="shared" si="9"/>
        <v>100</v>
      </c>
      <c r="T38" s="1381" t="s">
        <v>5</v>
      </c>
      <c r="U38" s="1382">
        <f t="shared" si="10"/>
        <v>100</v>
      </c>
      <c r="V38" s="1381" t="s">
        <v>5</v>
      </c>
      <c r="W38" s="1382">
        <f t="shared" si="11"/>
        <v>100</v>
      </c>
      <c r="X38" s="1383"/>
      <c r="Y38" s="387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5" t="s">
        <v>549</v>
      </c>
      <c r="Q39" s="1385" t="str">
        <f t="shared" si="13"/>
        <v>工程地质条件</v>
      </c>
      <c r="R39" s="1386" t="s">
        <v>5</v>
      </c>
      <c r="S39" s="1387">
        <f t="shared" si="9"/>
        <v>100</v>
      </c>
      <c r="T39" s="1386" t="s">
        <v>5</v>
      </c>
      <c r="U39" s="1387">
        <f t="shared" si="10"/>
        <v>100</v>
      </c>
      <c r="V39" s="1386" t="s">
        <v>5</v>
      </c>
      <c r="W39" s="1387">
        <f t="shared" si="11"/>
        <v>100</v>
      </c>
      <c r="X39" s="1380"/>
      <c r="Y39" s="387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5"/>
      <c r="Q40" s="1385">
        <f t="shared" si="13"/>
        <v>111</v>
      </c>
      <c r="R40" s="1386" t="s">
        <v>5</v>
      </c>
      <c r="S40" s="1387">
        <f t="shared" si="9"/>
        <v>100</v>
      </c>
      <c r="T40" s="1386" t="s">
        <v>5</v>
      </c>
      <c r="U40" s="1387">
        <f t="shared" si="10"/>
        <v>100</v>
      </c>
      <c r="V40" s="1386" t="s">
        <v>5</v>
      </c>
      <c r="W40" s="1387">
        <f t="shared" si="11"/>
        <v>100</v>
      </c>
      <c r="X40" s="1380"/>
      <c r="Y40" s="387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5"/>
      <c r="Q41" s="1385">
        <f t="shared" si="13"/>
        <v>111</v>
      </c>
      <c r="R41" s="1386" t="s">
        <v>5</v>
      </c>
      <c r="S41" s="1387">
        <f t="shared" si="9"/>
        <v>100</v>
      </c>
      <c r="T41" s="1386" t="s">
        <v>5</v>
      </c>
      <c r="U41" s="1387">
        <f t="shared" si="10"/>
        <v>100</v>
      </c>
      <c r="V41" s="1386" t="s">
        <v>5</v>
      </c>
      <c r="W41" s="1387">
        <f t="shared" si="11"/>
        <v>100</v>
      </c>
      <c r="X41" s="1380"/>
      <c r="Y41" s="3875"/>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5"/>
      <c r="Q42" s="1385">
        <f t="shared" si="13"/>
        <v>111</v>
      </c>
      <c r="R42" s="1390" t="s">
        <v>5</v>
      </c>
      <c r="S42" s="1391">
        <f t="shared" si="9"/>
        <v>100</v>
      </c>
      <c r="T42" s="1390" t="s">
        <v>5</v>
      </c>
      <c r="U42" s="1391">
        <f t="shared" si="10"/>
        <v>100</v>
      </c>
      <c r="V42" s="1390" t="s">
        <v>5</v>
      </c>
      <c r="W42" s="1391">
        <f t="shared" si="11"/>
        <v>100</v>
      </c>
      <c r="X42" s="1392"/>
      <c r="Y42" s="3875"/>
      <c r="Z42" s="1393">
        <f t="shared" si="12"/>
        <v>111</v>
      </c>
      <c r="AA42" s="1389">
        <f t="shared" si="3"/>
        <v>1</v>
      </c>
      <c r="AB42" s="1389">
        <f t="shared" si="4"/>
        <v>1</v>
      </c>
      <c r="AC42" s="1389">
        <f t="shared" si="5"/>
        <v>1</v>
      </c>
    </row>
    <row r="43" spans="1:29" ht="14.4">
      <c r="A43" s="577" t="s">
        <v>505</v>
      </c>
      <c r="B43" s="578" t="s">
        <v>3278</v>
      </c>
      <c r="C43" s="579" t="s">
        <v>0</v>
      </c>
      <c r="D43" s="580"/>
      <c r="E43" s="581">
        <f>Sheet1!S2</f>
        <v>2143</v>
      </c>
      <c r="F43" s="582"/>
      <c r="G43" s="583">
        <f>Sheet1!S4</f>
        <v>2325</v>
      </c>
      <c r="H43" s="584"/>
      <c r="I43" s="581">
        <f>Sheet1!S6</f>
        <v>2826</v>
      </c>
      <c r="J43" s="584"/>
      <c r="K43" s="1201"/>
      <c r="L43" s="1867"/>
      <c r="M43" s="1857"/>
      <c r="N43" s="1857"/>
      <c r="O43" s="1868"/>
      <c r="P43" s="3876" t="str">
        <f>A43</f>
        <v>成交单价</v>
      </c>
      <c r="Q43" s="3876"/>
      <c r="R43" s="3869">
        <f>E43</f>
        <v>2143</v>
      </c>
      <c r="S43" s="3869"/>
      <c r="T43" s="3869">
        <f>G43</f>
        <v>2325</v>
      </c>
      <c r="U43" s="3869"/>
      <c r="V43" s="3869">
        <f>I43</f>
        <v>2826</v>
      </c>
      <c r="W43" s="3869"/>
      <c r="X43" s="1375"/>
      <c r="Y43" s="1394"/>
      <c r="Z43" s="1375"/>
      <c r="AA43" s="1375"/>
      <c r="AB43" s="1375"/>
      <c r="AC43" s="1375"/>
    </row>
    <row r="44" spans="1:29" ht="15" thickBot="1">
      <c r="A44" s="585" t="s">
        <v>1975</v>
      </c>
      <c r="B44" s="586"/>
      <c r="C44" s="587">
        <f>R45</f>
        <v>1881</v>
      </c>
      <c r="D44" s="2757" t="s">
        <v>2261</v>
      </c>
      <c r="E44" s="587">
        <f>R44</f>
        <v>1641</v>
      </c>
      <c r="F44" s="2758"/>
      <c r="G44" s="588">
        <f>T44</f>
        <v>1818</v>
      </c>
      <c r="H44" s="2758"/>
      <c r="I44" s="587">
        <f>V44</f>
        <v>2185</v>
      </c>
      <c r="J44" s="2758"/>
      <c r="K44" s="2759">
        <f>F44+H44+J44</f>
        <v>0</v>
      </c>
      <c r="L44" s="1867"/>
      <c r="M44" s="1857"/>
      <c r="N44" s="1857"/>
      <c r="O44" s="1868"/>
      <c r="P44" s="3876" t="str">
        <f>A44</f>
        <v>比较价格（元/平方米）</v>
      </c>
      <c r="Q44" s="3876"/>
      <c r="R44" s="3884">
        <f>ROUND(PRODUCT(R43,AA9:AA42),0)</f>
        <v>1641</v>
      </c>
      <c r="S44" s="3884"/>
      <c r="T44" s="3884">
        <f>ROUND(PRODUCT(T43,AB9:AB42),0)</f>
        <v>1818</v>
      </c>
      <c r="U44" s="3884"/>
      <c r="V44" s="3884">
        <f>ROUND(PRODUCT(V43,AC9:AC42),0)</f>
        <v>2185</v>
      </c>
      <c r="W44" s="3884"/>
      <c r="X44" s="1375"/>
      <c r="Y44" s="1375"/>
      <c r="Z44" s="1375"/>
      <c r="AA44" s="1375"/>
      <c r="AB44" s="1375"/>
      <c r="AC44" s="1375"/>
    </row>
    <row r="45" spans="1:29" ht="15" thickBot="1">
      <c r="A45" s="589" t="s">
        <v>2198</v>
      </c>
      <c r="B45" s="590"/>
      <c r="C45" s="591">
        <f>R45</f>
        <v>1881</v>
      </c>
      <c r="D45" s="591"/>
      <c r="E45" s="591"/>
      <c r="F45" s="591"/>
      <c r="G45" s="591"/>
      <c r="H45" s="591"/>
      <c r="I45" s="591"/>
      <c r="J45" s="591"/>
      <c r="K45" s="1202"/>
      <c r="L45" s="1867"/>
      <c r="M45" s="1857"/>
      <c r="N45" s="1857"/>
      <c r="O45" s="1868"/>
      <c r="P45" s="3881" t="str">
        <f>A45</f>
        <v>估价对象XX用房的比较价格（楼面单价，元/平方米）</v>
      </c>
      <c r="Q45" s="3882"/>
      <c r="R45" s="3883">
        <f>ROUND(IF(D44="简单平均",AVERAGE(R44:W44),R44*F44+T44*H44+V44*J44),0)</f>
        <v>1881</v>
      </c>
      <c r="S45" s="3883"/>
      <c r="T45" s="3883"/>
      <c r="U45" s="3883"/>
      <c r="V45" s="3883"/>
      <c r="W45" s="3883"/>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0.30591102985984153</v>
      </c>
      <c r="F48" s="595" t="str">
        <f>IF(OR(E48&gt;=0.3,E48&lt;=-0.3),"超过30%","")</f>
        <v>超过30%</v>
      </c>
      <c r="G48" s="594">
        <f>IF(G43&lt;G44,G44/G43-1,G43/G44-1)</f>
        <v>0.27887788778877898</v>
      </c>
      <c r="H48" s="595" t="str">
        <f>IF(OR(G48&gt;=0.3,G48&lt;=-0.3),"超过30%","")</f>
        <v/>
      </c>
      <c r="I48" s="594">
        <f>IF(I43&lt;I44,I44/I43-1,I43/I44-1)</f>
        <v>0.29336384439359264</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0.10786106032906773</v>
      </c>
      <c r="F49" s="595" t="str">
        <f>IF(OR(E49&gt;=0.2,E49&lt;=-0.2),"超过20%","")</f>
        <v/>
      </c>
      <c r="G49" s="594">
        <f>IF(G44&lt;I44,I44/G44-1,G44/I44-1)</f>
        <v>0.20187018701870185</v>
      </c>
      <c r="H49" s="595" t="str">
        <f>IF(OR(G49&gt;=0.2,G49&lt;=-0.2),"超过20%","")</f>
        <v>超过20%</v>
      </c>
      <c r="I49" s="594">
        <f>IF(I44&lt;E44,E44/I44-1,I44/E44-1)</f>
        <v>0.33150517976843386</v>
      </c>
      <c r="J49" s="595" t="str">
        <f>IF(OR(I49&gt;=0.2,I49&lt;=-0.2),"超过20%","")</f>
        <v>超过20%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8.4927671488567391E-2</v>
      </c>
      <c r="F50" s="595" t="str">
        <f>IF(OR(E50&gt;=0.3,E50&lt;=-0.3),"超过30%","")</f>
        <v/>
      </c>
      <c r="G50" s="594">
        <f>IF(G43&lt;I43,I43/G43-1,G43/I43-1)</f>
        <v>0.21548387096774202</v>
      </c>
      <c r="H50" s="595" t="str">
        <f>IF(OR(G50&gt;=0.3,G50&lt;=-0.3),"超过30%","")</f>
        <v/>
      </c>
      <c r="I50" s="594">
        <f>IF(I43&lt;E43,E43/I43-1,I43/E43-1)</f>
        <v>0.31871208586094268</v>
      </c>
      <c r="J50" s="595" t="str">
        <f>IF(OR(I50&gt;=0.3,I50&lt;=-0.3),"超过30%","")</f>
        <v>超过30%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877" t="s">
        <v>1642</v>
      </c>
      <c r="H52" s="387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1881</v>
      </c>
      <c r="C53" s="603">
        <v>1</v>
      </c>
      <c r="D53" s="1947">
        <v>1</v>
      </c>
      <c r="E53" s="603">
        <f>'数据-汇总表'!E8+'数据-汇总表'!E9</f>
        <v>3611.7</v>
      </c>
      <c r="F53" s="1706">
        <f t="shared" ref="F53:F61" si="14">ROUND(B53*E53/10000,0)</f>
        <v>679</v>
      </c>
      <c r="G53" s="3879"/>
      <c r="H53" s="3880"/>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3611.7</v>
      </c>
      <c r="F62" s="612">
        <f>IF(B43="楼面地价",SUM(F53:F61),ROUND(C45*E62/10000,0))</f>
        <v>679</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v>100</v>
      </c>
      <c r="E67" s="698">
        <v>100</v>
      </c>
      <c r="F67" s="698">
        <v>100</v>
      </c>
      <c r="G67" s="698">
        <v>100</v>
      </c>
      <c r="H67" s="698">
        <v>100</v>
      </c>
      <c r="I67" s="698">
        <v>100</v>
      </c>
      <c r="J67" s="698">
        <v>100</v>
      </c>
      <c r="K67" s="698">
        <v>100</v>
      </c>
      <c r="L67" s="698">
        <v>100</v>
      </c>
      <c r="M67" s="698">
        <v>100</v>
      </c>
      <c r="N67" s="698">
        <v>100</v>
      </c>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0（含）-0.5</v>
      </c>
      <c r="D75" s="650" t="str">
        <f t="shared" ref="D75:L75" si="19">D76&amp;"（含）"&amp;"-"&amp;E76</f>
        <v>0.5（含）-1</v>
      </c>
      <c r="E75" s="650" t="str">
        <f t="shared" si="19"/>
        <v>1（含）-1.5</v>
      </c>
      <c r="F75" s="650" t="str">
        <f t="shared" si="19"/>
        <v>1.5（含）-2</v>
      </c>
      <c r="G75" s="650" t="str">
        <f t="shared" si="19"/>
        <v>2（含）-2.5</v>
      </c>
      <c r="H75" s="650" t="str">
        <f t="shared" si="19"/>
        <v>2.5（含）-3</v>
      </c>
      <c r="I75" s="650" t="str">
        <f t="shared" si="19"/>
        <v>3（含）-</v>
      </c>
      <c r="J75" s="650" t="str">
        <f t="shared" si="19"/>
        <v>（含）-</v>
      </c>
      <c r="K75" s="650" t="str">
        <f t="shared" si="19"/>
        <v>（含）-</v>
      </c>
      <c r="L75" s="650" t="str">
        <f t="shared" si="19"/>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v>0</v>
      </c>
      <c r="D76" s="511">
        <v>0.5</v>
      </c>
      <c r="E76" s="511">
        <v>1</v>
      </c>
      <c r="F76" s="511">
        <v>1.5</v>
      </c>
      <c r="G76" s="511">
        <v>2</v>
      </c>
      <c r="H76" s="511">
        <v>2.5</v>
      </c>
      <c r="I76" s="511">
        <v>3</v>
      </c>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98</v>
      </c>
      <c r="E77" s="647">
        <f t="shared" si="20"/>
        <v>96</v>
      </c>
      <c r="F77" s="647">
        <f t="shared" si="20"/>
        <v>94</v>
      </c>
      <c r="G77" s="647">
        <f t="shared" si="20"/>
        <v>92</v>
      </c>
      <c r="H77" s="647">
        <f t="shared" si="20"/>
        <v>90</v>
      </c>
      <c r="I77" s="647">
        <f t="shared" si="20"/>
        <v>88</v>
      </c>
      <c r="J77" s="647">
        <f t="shared" si="20"/>
        <v>86</v>
      </c>
      <c r="K77" s="647">
        <f t="shared" si="20"/>
        <v>84</v>
      </c>
      <c r="L77" s="647">
        <f t="shared" si="20"/>
        <v>82</v>
      </c>
      <c r="M77" s="647">
        <f t="shared" si="20"/>
        <v>80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664" t="s">
        <v>3281</v>
      </c>
      <c r="D100" s="3664" t="s">
        <v>3282</v>
      </c>
      <c r="E100" s="3664" t="s">
        <v>3283</v>
      </c>
      <c r="F100" s="3664" t="s">
        <v>3284</v>
      </c>
      <c r="G100" s="3664" t="s">
        <v>3280</v>
      </c>
      <c r="H100" s="3664" t="s">
        <v>3326</v>
      </c>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98</v>
      </c>
      <c r="E101" s="647">
        <f t="shared" si="23"/>
        <v>96</v>
      </c>
      <c r="F101" s="647">
        <f t="shared" si="23"/>
        <v>94</v>
      </c>
      <c r="G101" s="647">
        <f t="shared" si="23"/>
        <v>92</v>
      </c>
      <c r="H101" s="647">
        <f t="shared" si="23"/>
        <v>90</v>
      </c>
      <c r="I101" s="647">
        <f t="shared" si="23"/>
        <v>88</v>
      </c>
      <c r="J101" s="647">
        <f t="shared" si="23"/>
        <v>86</v>
      </c>
      <c r="K101" s="647">
        <f t="shared" si="23"/>
        <v>84</v>
      </c>
      <c r="L101" s="647">
        <f t="shared" si="23"/>
        <v>82</v>
      </c>
      <c r="M101" s="647">
        <f t="shared" si="23"/>
        <v>80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24">C109&amp;"(含)"&amp;"-"&amp;D109</f>
        <v>0(含)-20000</v>
      </c>
      <c r="D108" s="672" t="str">
        <f t="shared" si="24"/>
        <v>20000(含)-40000</v>
      </c>
      <c r="E108" s="672" t="str">
        <f t="shared" si="24"/>
        <v>40000(含)-60000</v>
      </c>
      <c r="F108" s="672" t="str">
        <f t="shared" si="24"/>
        <v>60000(含)-80000</v>
      </c>
      <c r="G108" s="672" t="str">
        <f t="shared" si="24"/>
        <v>80000(含)-100000</v>
      </c>
      <c r="H108" s="672" t="str">
        <f t="shared" si="24"/>
        <v>100000(含)-120000</v>
      </c>
      <c r="I108" s="672" t="str">
        <f t="shared" si="24"/>
        <v>120000(含)-</v>
      </c>
      <c r="J108" s="672" t="str">
        <f t="shared" si="24"/>
        <v>(含)-</v>
      </c>
      <c r="K108" s="2537" t="str">
        <f t="shared" si="24"/>
        <v>(含)-</v>
      </c>
      <c r="L108" s="2538" t="str">
        <f t="shared" si="24"/>
        <v>(含)-</v>
      </c>
      <c r="M108" s="2539"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20000</v>
      </c>
      <c r="E109" s="698">
        <v>40000</v>
      </c>
      <c r="F109" s="698">
        <v>60000</v>
      </c>
      <c r="G109" s="698">
        <v>80000</v>
      </c>
      <c r="H109" s="698">
        <v>100000</v>
      </c>
      <c r="I109" s="698">
        <v>120000</v>
      </c>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101</v>
      </c>
      <c r="E110" s="694">
        <v>102</v>
      </c>
      <c r="F110" s="694">
        <v>103</v>
      </c>
      <c r="G110" s="694">
        <v>104</v>
      </c>
      <c r="H110" s="694">
        <v>105</v>
      </c>
      <c r="I110" s="694">
        <v>106</v>
      </c>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38" sqref="E38"/>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1153</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3192</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6913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461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3272</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4.4">
      <c r="A7" s="2312" t="s">
        <v>430</v>
      </c>
      <c r="B7" s="2313" t="s">
        <v>431</v>
      </c>
      <c r="C7" s="423" t="s">
        <v>905</v>
      </c>
      <c r="D7" s="423"/>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9059</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3611.7</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3272</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1264</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38</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0.05</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72</v>
      </c>
      <c r="D16" s="2324">
        <f ca="1">IF(B1="",'数据-汇总表'!E3,INDIRECT("'数据-取费表'!K"&amp;$K$1)+INDIRECT("'数据-取费表'!S"&amp;$K$1))</f>
        <v>3611.7</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19</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1393</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3611.7</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72</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72</v>
      </c>
      <c r="D22" s="2324">
        <f ca="1">IF(B1="",'数据-汇总表'!E6,IF(INDIRECT("'数据-取费表'!c"&amp;$K$1)="住宅",INDIRECT("'数据-取费表'!s"&amp;$K$1),INDIRECT("'数据-取费表'!k"&amp;$K$1)+INDIRECT("'数据-取费表'!s"&amp;$K$1)))</f>
        <v>3611.7</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29</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65</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32</v>
      </c>
      <c r="D26" s="453">
        <f ca="1">C27</f>
        <v>4.2700000000000002E-2</v>
      </c>
      <c r="E26" s="455" t="s">
        <v>455</v>
      </c>
      <c r="F26" s="457">
        <f ca="1">'数据-取费表'!B40</f>
        <v>4.1499999999999995E-2</v>
      </c>
      <c r="G26" s="2188" t="str">
        <f>IF('数据-取费表'!B22&lt;=1,"单利计息。","复利计息。")&amp;"后续开发成本、管理费用及销售费用产生的利息。"</f>
        <v>单利计息。后续开发成本、管理费用及销售费用产生的利息。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4.2700000000000002E-2</v>
      </c>
      <c r="D27" s="458"/>
      <c r="E27" s="459"/>
      <c r="F27" s="460"/>
      <c r="G27" s="2188" t="str">
        <f>IF('数据-取费表'!B22&lt;=1,"（1+取得税费率/(1+5%)）×年利率×建设期","（1+取得税费率）/(1+5%)×((1+年利率)^建设期-1)")</f>
        <v>（1+取得税费率/(1+5%)）×年利率×建设期</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32</v>
      </c>
      <c r="D28" s="458"/>
      <c r="E28" s="459"/>
      <c r="F28" s="460"/>
      <c r="G28" s="2188" t="str">
        <f>IF('数据-取费表'!B22&lt;=1,"（1）-（4）项×年利率×建设期÷2","（1）-（4）项×((1+年利率)^(建设期÷2)-1)")</f>
        <v>（1）-（4）项×年利率×建设期÷2</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 ca="1">ROUND(C6*F29/(1+'数据-取费表'!C42),0)</f>
        <v>171</v>
      </c>
      <c r="D29" s="454"/>
      <c r="E29" s="454"/>
      <c r="F29" s="2508">
        <f>'数据-取费表'!B41</f>
        <v>5.5000000000000007E-2</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1762</v>
      </c>
      <c r="D30" s="463">
        <f ca="1">C32</f>
        <v>7.17E-2</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1762</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7.17E-2</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f ca="1">C35</f>
        <v>156</v>
      </c>
      <c r="D33" s="453">
        <f ca="1">C34</f>
        <v>0.10290000000000001</v>
      </c>
      <c r="E33" s="455" t="s">
        <v>455</v>
      </c>
      <c r="F33" s="465">
        <f ca="1">IF(B1="",'数据-取费表'!Q16,INDIRECT("'数据-取费表'!q"&amp;$K$1))</f>
        <v>0.1</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f ca="1">ROUND((1+C25)*F33,4)</f>
        <v>0.10290000000000001</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f ca="1">ROUND((C18+C19+C20+C23+C24)*F33,0)</f>
        <v>156</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f ca="1">ROUND((C6-C30-C33)/(1+D30+D33),0)</f>
        <v>1153</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670" t="str">
        <f>项目基本情况!B1</f>
        <v>北京市出让国有建设用地使用权抵押价格预评估</v>
      </c>
      <c r="C37" s="3670"/>
      <c r="D37" s="3670"/>
      <c r="E37" s="3670"/>
      <c r="F37" s="3670"/>
      <c r="G37" s="3670"/>
      <c r="H37" s="3670"/>
      <c r="I37" s="367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4.4">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1264</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38</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0.05</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72</v>
      </c>
      <c r="D16" s="437">
        <f ca="1">IF(B1="",'数据-汇总表'!E3,INDIRECT("'数据-取费表'!K"&amp;$K$1)+INDIRECT("'数据-取费表'!S"&amp;$K$1))</f>
        <v>3611.7</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19</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1393</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28</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29</v>
      </c>
      <c r="D20" s="448">
        <f ca="1">ROUND(((1+F20)^'数据-取费表'!B20)-1,4)</f>
        <v>4.1500000000000002E-2</v>
      </c>
      <c r="E20" s="448"/>
      <c r="F20" s="457">
        <f ca="1">'数据-取费表'!B40</f>
        <v>4.1499999999999995E-2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2298</v>
      </c>
      <c r="B21" s="2503" t="s">
        <v>2107</v>
      </c>
      <c r="C21" s="464">
        <f ca="1">ROUND((C18+C19)*F21,0)</f>
        <v>142</v>
      </c>
      <c r="D21" s="3028"/>
      <c r="E21" s="448"/>
      <c r="F21" s="465">
        <f ca="1">IF(B1="",'数据-取费表'!Q16,INDIRECT("'数据-取费表'!q"&amp;$K$1))</f>
        <v>0.1</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2299</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85" t="s">
        <v>1394</v>
      </c>
      <c r="B24" s="3886"/>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85" t="s">
        <v>2296</v>
      </c>
      <c r="B25" s="3886"/>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85" t="s">
        <v>2297</v>
      </c>
      <c r="B26" s="3886"/>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87" t="s">
        <v>2295</v>
      </c>
      <c r="B27" s="3888"/>
      <c r="C27" s="3046">
        <f ca="1">(C6-C23-C24-C25)/((1+F26)*(1+D20+F21))</f>
        <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857" t="s">
        <v>471</v>
      </c>
      <c r="D6" s="3858"/>
      <c r="E6" s="3857" t="s">
        <v>472</v>
      </c>
      <c r="F6" s="3858"/>
      <c r="G6" s="3857" t="s">
        <v>473</v>
      </c>
      <c r="H6" s="3858"/>
      <c r="I6" s="3857" t="s">
        <v>474</v>
      </c>
      <c r="J6" s="3858"/>
      <c r="K6" s="484" t="s">
        <v>475</v>
      </c>
      <c r="L6" s="1856"/>
      <c r="M6" s="1855"/>
      <c r="N6" s="1855"/>
      <c r="O6" s="1857"/>
      <c r="P6" s="3861" t="s">
        <v>476</v>
      </c>
      <c r="Q6" s="3862"/>
      <c r="R6" s="3843" t="s">
        <v>472</v>
      </c>
      <c r="S6" s="3844"/>
      <c r="T6" s="3843" t="s">
        <v>473</v>
      </c>
      <c r="U6" s="3844"/>
      <c r="V6" s="3869" t="s">
        <v>474</v>
      </c>
      <c r="W6" s="3869"/>
      <c r="X6" s="1380"/>
      <c r="Y6" s="3843" t="s">
        <v>476</v>
      </c>
      <c r="Z6" s="3844"/>
      <c r="AA6" s="3854" t="s">
        <v>472</v>
      </c>
      <c r="AB6" s="3855" t="s">
        <v>473</v>
      </c>
      <c r="AC6" s="3854" t="s">
        <v>474</v>
      </c>
    </row>
    <row r="7" spans="1:30" ht="21">
      <c r="A7" s="485"/>
      <c r="B7" s="486"/>
      <c r="C7" s="3847" t="s">
        <v>2192</v>
      </c>
      <c r="D7" s="3848"/>
      <c r="E7" s="3847" t="s">
        <v>2193</v>
      </c>
      <c r="F7" s="3848"/>
      <c r="G7" s="3847" t="s">
        <v>2194</v>
      </c>
      <c r="H7" s="3848"/>
      <c r="I7" s="3847" t="s">
        <v>2195</v>
      </c>
      <c r="J7" s="3848"/>
      <c r="K7" s="484"/>
      <c r="L7" s="1856"/>
      <c r="M7" s="1855"/>
      <c r="N7" s="1855"/>
      <c r="O7" s="1857"/>
      <c r="P7" s="3863"/>
      <c r="Q7" s="3864"/>
      <c r="R7" s="3845"/>
      <c r="S7" s="3846"/>
      <c r="T7" s="3845"/>
      <c r="U7" s="3846"/>
      <c r="V7" s="3869"/>
      <c r="W7" s="3869"/>
      <c r="X7" s="1380"/>
      <c r="Y7" s="3845"/>
      <c r="Z7" s="3846"/>
      <c r="AA7" s="3855"/>
      <c r="AB7" s="3855"/>
      <c r="AC7" s="3855"/>
    </row>
    <row r="8" spans="1:30" ht="21.6" thickBot="1">
      <c r="A8" s="485"/>
      <c r="B8" s="486"/>
      <c r="C8" s="3890" t="s">
        <v>2196</v>
      </c>
      <c r="D8" s="3891"/>
      <c r="E8" s="3890" t="s">
        <v>2196</v>
      </c>
      <c r="F8" s="3891"/>
      <c r="G8" s="3849" t="s">
        <v>2196</v>
      </c>
      <c r="H8" s="3850"/>
      <c r="I8" s="3849" t="s">
        <v>2196</v>
      </c>
      <c r="J8" s="3850"/>
      <c r="K8" s="484" t="s">
        <v>477</v>
      </c>
      <c r="L8" s="1856"/>
      <c r="M8" s="1855"/>
      <c r="N8" s="1855"/>
      <c r="O8" s="1857"/>
      <c r="P8" s="3865"/>
      <c r="Q8" s="3866"/>
      <c r="R8" s="3845"/>
      <c r="S8" s="3846"/>
      <c r="T8" s="3867"/>
      <c r="U8" s="3868"/>
      <c r="V8" s="3869"/>
      <c r="W8" s="3869"/>
      <c r="X8" s="1380"/>
      <c r="Y8" s="3867"/>
      <c r="Z8" s="3868"/>
      <c r="AA8" s="3856"/>
      <c r="AB8" s="3856"/>
      <c r="AC8" s="3856"/>
    </row>
    <row r="9" spans="1:30" s="1118" customFormat="1" ht="21.6" thickBot="1">
      <c r="A9" s="2392"/>
      <c r="B9" s="2399" t="s">
        <v>478</v>
      </c>
      <c r="C9" s="2391">
        <f>'数据-取费表'!B2</f>
        <v>44986</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41" t="s">
        <v>479</v>
      </c>
      <c r="Q9" s="3851"/>
      <c r="R9" s="1381" t="s">
        <v>5</v>
      </c>
      <c r="S9" s="1382">
        <f t="shared" ref="S9:S17" si="0">F9</f>
        <v>0</v>
      </c>
      <c r="T9" s="1381" t="s">
        <v>5</v>
      </c>
      <c r="U9" s="1382">
        <f t="shared" ref="U9:U17" si="1">H9</f>
        <v>0</v>
      </c>
      <c r="V9" s="1381" t="s">
        <v>5</v>
      </c>
      <c r="W9" s="1382">
        <f t="shared" ref="W9:W17" si="2">J9</f>
        <v>0</v>
      </c>
      <c r="X9" s="1383"/>
      <c r="Y9" s="3841" t="s">
        <v>479</v>
      </c>
      <c r="Z9" s="3842"/>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41" t="s">
        <v>482</v>
      </c>
      <c r="Q10" s="3842"/>
      <c r="R10" s="1381" t="s">
        <v>5</v>
      </c>
      <c r="S10" s="1382">
        <f t="shared" si="0"/>
        <v>0</v>
      </c>
      <c r="T10" s="1381" t="s">
        <v>5</v>
      </c>
      <c r="U10" s="1382">
        <f t="shared" si="1"/>
        <v>0</v>
      </c>
      <c r="V10" s="1381" t="s">
        <v>5</v>
      </c>
      <c r="W10" s="1382">
        <f t="shared" si="2"/>
        <v>0</v>
      </c>
      <c r="X10" s="1383"/>
      <c r="Y10" s="3841" t="s">
        <v>482</v>
      </c>
      <c r="Z10" s="3842"/>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76" t="s">
        <v>484</v>
      </c>
      <c r="Q11" s="1050" t="str">
        <f t="shared" ref="Q11:Q17" si="6">B11</f>
        <v>用途</v>
      </c>
      <c r="R11" s="1381" t="s">
        <v>5</v>
      </c>
      <c r="S11" s="1382">
        <f t="shared" si="0"/>
        <v>100</v>
      </c>
      <c r="T11" s="1381" t="s">
        <v>5</v>
      </c>
      <c r="U11" s="1382">
        <f t="shared" si="1"/>
        <v>100</v>
      </c>
      <c r="V11" s="1381" t="s">
        <v>5</v>
      </c>
      <c r="W11" s="1382">
        <f t="shared" si="2"/>
        <v>100</v>
      </c>
      <c r="X11" s="1383"/>
      <c r="Y11" s="3790"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f>ROUND(100/'数据-取费表'!G16,0)</f>
        <v>127</v>
      </c>
      <c r="G12" s="500"/>
      <c r="H12" s="246">
        <f>ROUND(100/'数据-取费表'!G16,0)</f>
        <v>127</v>
      </c>
      <c r="I12" s="500"/>
      <c r="J12" s="246">
        <f>ROUND(100/'数据-取费表'!G16,0)</f>
        <v>127</v>
      </c>
      <c r="K12" s="501"/>
      <c r="L12" s="1861"/>
      <c r="M12" s="1855"/>
      <c r="N12" s="1855"/>
      <c r="O12" s="1862"/>
      <c r="P12" s="3876"/>
      <c r="Q12" s="1050" t="str">
        <f t="shared" si="6"/>
        <v>土地使用年限（年）</v>
      </c>
      <c r="R12" s="1381" t="s">
        <v>5</v>
      </c>
      <c r="S12" s="1382">
        <f t="shared" si="0"/>
        <v>127</v>
      </c>
      <c r="T12" s="1381" t="s">
        <v>5</v>
      </c>
      <c r="U12" s="1382">
        <f t="shared" si="1"/>
        <v>127</v>
      </c>
      <c r="V12" s="1381" t="s">
        <v>5</v>
      </c>
      <c r="W12" s="1382">
        <f t="shared" si="2"/>
        <v>127</v>
      </c>
      <c r="X12" s="1383"/>
      <c r="Y12" s="3790"/>
      <c r="Z12" s="1049" t="str">
        <f t="shared" si="7"/>
        <v>土地使用年限（年）</v>
      </c>
      <c r="AA12" s="1384">
        <f t="shared" si="3"/>
        <v>0.78740157480314965</v>
      </c>
      <c r="AB12" s="1384">
        <f t="shared" si="4"/>
        <v>0.78740157480314965</v>
      </c>
      <c r="AC12" s="1384">
        <f t="shared" si="5"/>
        <v>0.78740157480314965</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76"/>
      <c r="Q13" s="1050" t="str">
        <f t="shared" si="6"/>
        <v>容积率</v>
      </c>
      <c r="R13" s="1381" t="s">
        <v>5</v>
      </c>
      <c r="S13" s="1382" t="e">
        <f t="shared" si="0"/>
        <v>#N/A</v>
      </c>
      <c r="T13" s="1381" t="s">
        <v>5</v>
      </c>
      <c r="U13" s="1382" t="e">
        <f t="shared" si="1"/>
        <v>#N/A</v>
      </c>
      <c r="V13" s="1381" t="s">
        <v>5</v>
      </c>
      <c r="W13" s="1382" t="e">
        <f t="shared" si="2"/>
        <v>#N/A</v>
      </c>
      <c r="X13" s="1383"/>
      <c r="Y13" s="3790"/>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76"/>
      <c r="Q14" s="1050" t="str">
        <f t="shared" si="6"/>
        <v>配建</v>
      </c>
      <c r="R14" s="1381" t="s">
        <v>5</v>
      </c>
      <c r="S14" s="1382">
        <f t="shared" si="0"/>
        <v>100</v>
      </c>
      <c r="T14" s="1381" t="s">
        <v>5</v>
      </c>
      <c r="U14" s="1382">
        <f t="shared" si="1"/>
        <v>100</v>
      </c>
      <c r="V14" s="1381" t="s">
        <v>5</v>
      </c>
      <c r="W14" s="1382">
        <f t="shared" si="2"/>
        <v>100</v>
      </c>
      <c r="X14" s="1383"/>
      <c r="Y14" s="3790"/>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76"/>
      <c r="Q15" s="1050">
        <f t="shared" si="6"/>
        <v>111</v>
      </c>
      <c r="R15" s="1381" t="s">
        <v>5</v>
      </c>
      <c r="S15" s="1382">
        <f t="shared" si="0"/>
        <v>100</v>
      </c>
      <c r="T15" s="1381" t="s">
        <v>5</v>
      </c>
      <c r="U15" s="1382">
        <f t="shared" si="1"/>
        <v>100</v>
      </c>
      <c r="V15" s="1381" t="s">
        <v>5</v>
      </c>
      <c r="W15" s="1382">
        <f t="shared" si="2"/>
        <v>100</v>
      </c>
      <c r="X15" s="1383"/>
      <c r="Y15" s="3790"/>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76"/>
      <c r="Q16" s="1050">
        <f t="shared" si="6"/>
        <v>111</v>
      </c>
      <c r="R16" s="1381" t="s">
        <v>5</v>
      </c>
      <c r="S16" s="1382">
        <f t="shared" si="0"/>
        <v>100</v>
      </c>
      <c r="T16" s="1381" t="s">
        <v>5</v>
      </c>
      <c r="U16" s="1382">
        <f t="shared" si="1"/>
        <v>100</v>
      </c>
      <c r="V16" s="1381" t="s">
        <v>5</v>
      </c>
      <c r="W16" s="1382">
        <f t="shared" si="2"/>
        <v>100</v>
      </c>
      <c r="X16" s="1383"/>
      <c r="Y16" s="3790"/>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2" t="s">
        <v>489</v>
      </c>
      <c r="Q17" s="1385" t="str">
        <f t="shared" si="6"/>
        <v>居住社区成熟度</v>
      </c>
      <c r="R17" s="1386" t="s">
        <v>5</v>
      </c>
      <c r="S17" s="1387">
        <f t="shared" si="0"/>
        <v>100</v>
      </c>
      <c r="T17" s="1386" t="s">
        <v>5</v>
      </c>
      <c r="U17" s="1387">
        <f t="shared" si="1"/>
        <v>100</v>
      </c>
      <c r="V17" s="1386" t="s">
        <v>5</v>
      </c>
      <c r="W17" s="1387">
        <f t="shared" si="2"/>
        <v>100</v>
      </c>
      <c r="X17" s="1380"/>
      <c r="Y17" s="3872"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873"/>
      <c r="Q18" s="1385"/>
      <c r="R18" s="1386"/>
      <c r="S18" s="1387"/>
      <c r="T18" s="1386"/>
      <c r="U18" s="1387"/>
      <c r="V18" s="1386"/>
      <c r="W18" s="1387"/>
      <c r="X18" s="1380"/>
      <c r="Y18" s="3873"/>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3"/>
      <c r="Q19" s="1385" t="str">
        <f>B19</f>
        <v>商业繁华度</v>
      </c>
      <c r="R19" s="1386" t="s">
        <v>5</v>
      </c>
      <c r="S19" s="1387">
        <f>F19</f>
        <v>100</v>
      </c>
      <c r="T19" s="1386" t="s">
        <v>5</v>
      </c>
      <c r="U19" s="1387">
        <f>H19</f>
        <v>100</v>
      </c>
      <c r="V19" s="1386" t="s">
        <v>5</v>
      </c>
      <c r="W19" s="1387">
        <f>J19</f>
        <v>100</v>
      </c>
      <c r="X19" s="1380"/>
      <c r="Y19" s="3873"/>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873"/>
      <c r="Q20" s="1385"/>
      <c r="R20" s="1386"/>
      <c r="S20" s="1387"/>
      <c r="T20" s="1386"/>
      <c r="U20" s="1387"/>
      <c r="V20" s="1386"/>
      <c r="W20" s="1387"/>
      <c r="X20" s="1380"/>
      <c r="Y20" s="3873"/>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3"/>
      <c r="Q21" s="1385" t="str">
        <f>B21</f>
        <v>办公集聚程度</v>
      </c>
      <c r="R21" s="1386" t="s">
        <v>5</v>
      </c>
      <c r="S21" s="1387">
        <f>F21</f>
        <v>100</v>
      </c>
      <c r="T21" s="1386" t="s">
        <v>5</v>
      </c>
      <c r="U21" s="1387">
        <f>H21</f>
        <v>100</v>
      </c>
      <c r="V21" s="1386" t="s">
        <v>5</v>
      </c>
      <c r="W21" s="1387">
        <f>J21</f>
        <v>100</v>
      </c>
      <c r="X21" s="1380"/>
      <c r="Y21" s="3873"/>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873"/>
      <c r="Q22" s="1385"/>
      <c r="R22" s="1386"/>
      <c r="S22" s="1387"/>
      <c r="T22" s="1386"/>
      <c r="U22" s="1387"/>
      <c r="V22" s="1386"/>
      <c r="W22" s="1387"/>
      <c r="X22" s="1380"/>
      <c r="Y22" s="3873"/>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3"/>
      <c r="Q23" s="1385" t="str">
        <f>B23</f>
        <v>交通便捷度</v>
      </c>
      <c r="R23" s="1386" t="s">
        <v>5</v>
      </c>
      <c r="S23" s="1387">
        <f>F23</f>
        <v>100</v>
      </c>
      <c r="T23" s="1386" t="s">
        <v>5</v>
      </c>
      <c r="U23" s="1387">
        <f>H23</f>
        <v>100</v>
      </c>
      <c r="V23" s="1386" t="s">
        <v>5</v>
      </c>
      <c r="W23" s="1387">
        <f>J23</f>
        <v>100</v>
      </c>
      <c r="X23" s="1380"/>
      <c r="Y23" s="3873"/>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873"/>
      <c r="Q24" s="1385"/>
      <c r="R24" s="1386"/>
      <c r="S24" s="1387"/>
      <c r="T24" s="1386"/>
      <c r="U24" s="1387"/>
      <c r="V24" s="1386"/>
      <c r="W24" s="1387"/>
      <c r="X24" s="1380"/>
      <c r="Y24" s="3873"/>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3"/>
      <c r="Q25" s="1385" t="str">
        <f t="shared" ref="Q25:Q39" si="8">B25</f>
        <v>区域土地利用方向</v>
      </c>
      <c r="R25" s="1386" t="s">
        <v>5</v>
      </c>
      <c r="S25" s="1387">
        <f>F25</f>
        <v>100</v>
      </c>
      <c r="T25" s="1386" t="s">
        <v>5</v>
      </c>
      <c r="U25" s="1387">
        <f>H25</f>
        <v>100</v>
      </c>
      <c r="V25" s="1386" t="s">
        <v>5</v>
      </c>
      <c r="W25" s="1387">
        <f>J25</f>
        <v>100</v>
      </c>
      <c r="X25" s="1380"/>
      <c r="Y25" s="3873"/>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873"/>
      <c r="Q26" s="1385"/>
      <c r="R26" s="1386"/>
      <c r="S26" s="1387"/>
      <c r="T26" s="1386"/>
      <c r="U26" s="1387"/>
      <c r="V26" s="1386"/>
      <c r="W26" s="1387"/>
      <c r="X26" s="1380"/>
      <c r="Y26" s="3873"/>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3"/>
      <c r="Q27" s="1385" t="str">
        <f t="shared" si="8"/>
        <v>自然及人文环境状况</v>
      </c>
      <c r="R27" s="1386" t="s">
        <v>5</v>
      </c>
      <c r="S27" s="1387">
        <f>F27</f>
        <v>100</v>
      </c>
      <c r="T27" s="1386" t="s">
        <v>5</v>
      </c>
      <c r="U27" s="1387">
        <f>H27</f>
        <v>100</v>
      </c>
      <c r="V27" s="1386" t="s">
        <v>5</v>
      </c>
      <c r="W27" s="1387">
        <f>J27</f>
        <v>100</v>
      </c>
      <c r="X27" s="1380"/>
      <c r="Y27" s="3873"/>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873"/>
      <c r="Q28" s="1385"/>
      <c r="R28" s="1386"/>
      <c r="S28" s="1387"/>
      <c r="T28" s="1386"/>
      <c r="U28" s="1387"/>
      <c r="V28" s="1386"/>
      <c r="W28" s="1387"/>
      <c r="X28" s="1380"/>
      <c r="Y28" s="3873"/>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3"/>
      <c r="Q29" s="1050" t="str">
        <f t="shared" si="8"/>
        <v>公共配套设施</v>
      </c>
      <c r="R29" s="1381" t="s">
        <v>5</v>
      </c>
      <c r="S29" s="1382">
        <f>F29</f>
        <v>100</v>
      </c>
      <c r="T29" s="1381" t="s">
        <v>5</v>
      </c>
      <c r="U29" s="1382">
        <f>H29</f>
        <v>100</v>
      </c>
      <c r="V29" s="1381" t="s">
        <v>5</v>
      </c>
      <c r="W29" s="1382">
        <f>J29</f>
        <v>100</v>
      </c>
      <c r="X29" s="1383"/>
      <c r="Y29" s="3873"/>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873"/>
      <c r="Q30" s="1050"/>
      <c r="R30" s="1381"/>
      <c r="S30" s="1382"/>
      <c r="T30" s="1381"/>
      <c r="U30" s="1382"/>
      <c r="V30" s="1381"/>
      <c r="W30" s="1382"/>
      <c r="X30" s="1383"/>
      <c r="Y30" s="3873"/>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3"/>
      <c r="Q31" s="2192" t="str">
        <f>B31</f>
        <v>基础设施水平</v>
      </c>
      <c r="R31" s="1381" t="s">
        <v>5</v>
      </c>
      <c r="S31" s="1382">
        <f>F31</f>
        <v>100</v>
      </c>
      <c r="T31" s="1381" t="s">
        <v>5</v>
      </c>
      <c r="U31" s="1382">
        <f>H31</f>
        <v>100</v>
      </c>
      <c r="V31" s="1381" t="s">
        <v>5</v>
      </c>
      <c r="W31" s="1382">
        <f>J31</f>
        <v>100</v>
      </c>
      <c r="X31" s="1383"/>
      <c r="Y31" s="3873"/>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873"/>
      <c r="Q32" s="2192"/>
      <c r="R32" s="1381"/>
      <c r="S32" s="1382"/>
      <c r="T32" s="1381"/>
      <c r="U32" s="1382"/>
      <c r="V32" s="1381"/>
      <c r="W32" s="1382"/>
      <c r="X32" s="1383"/>
      <c r="Y32" s="3873"/>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3"/>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3"/>
      <c r="Q34" s="1385" t="str">
        <f t="shared" si="8"/>
        <v>毗邻道路的类型与等级</v>
      </c>
      <c r="R34" s="1386" t="s">
        <v>5</v>
      </c>
      <c r="S34" s="1387">
        <f t="shared" si="9"/>
        <v>100</v>
      </c>
      <c r="T34" s="1386" t="s">
        <v>5</v>
      </c>
      <c r="U34" s="1387">
        <f t="shared" si="10"/>
        <v>100</v>
      </c>
      <c r="V34" s="1386" t="s">
        <v>5</v>
      </c>
      <c r="W34" s="1387">
        <f t="shared" si="11"/>
        <v>100</v>
      </c>
      <c r="X34" s="1380"/>
      <c r="Y34" s="3873"/>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873"/>
      <c r="Q35" s="1385"/>
      <c r="R35" s="1386"/>
      <c r="S35" s="1387"/>
      <c r="T35" s="1386"/>
      <c r="U35" s="1387"/>
      <c r="V35" s="1386"/>
      <c r="W35" s="1387"/>
      <c r="X35" s="1380"/>
      <c r="Y35" s="3873"/>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3"/>
      <c r="Q36" s="1385" t="str">
        <f t="shared" si="8"/>
        <v>土地级别</v>
      </c>
      <c r="R36" s="1386" t="s">
        <v>5</v>
      </c>
      <c r="S36" s="1387">
        <f t="shared" si="9"/>
        <v>100</v>
      </c>
      <c r="T36" s="1386" t="s">
        <v>5</v>
      </c>
      <c r="U36" s="1387">
        <f t="shared" si="10"/>
        <v>100</v>
      </c>
      <c r="V36" s="1386" t="s">
        <v>5</v>
      </c>
      <c r="W36" s="1387">
        <f t="shared" si="11"/>
        <v>100</v>
      </c>
      <c r="X36" s="1380"/>
      <c r="Y36" s="3873"/>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3"/>
      <c r="Q37" s="1385">
        <f t="shared" si="8"/>
        <v>111</v>
      </c>
      <c r="R37" s="1386" t="s">
        <v>5</v>
      </c>
      <c r="S37" s="1387">
        <f t="shared" si="9"/>
        <v>100</v>
      </c>
      <c r="T37" s="1386" t="s">
        <v>5</v>
      </c>
      <c r="U37" s="1387">
        <f t="shared" si="10"/>
        <v>100</v>
      </c>
      <c r="V37" s="1386" t="s">
        <v>5</v>
      </c>
      <c r="W37" s="1387">
        <f t="shared" si="11"/>
        <v>100</v>
      </c>
      <c r="X37" s="1380"/>
      <c r="Y37" s="3873"/>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4" t="s">
        <v>499</v>
      </c>
      <c r="Q38" s="1385">
        <f t="shared" si="8"/>
        <v>111</v>
      </c>
      <c r="R38" s="1386" t="s">
        <v>5</v>
      </c>
      <c r="S38" s="1387">
        <f t="shared" si="9"/>
        <v>100</v>
      </c>
      <c r="T38" s="1386" t="s">
        <v>5</v>
      </c>
      <c r="U38" s="1387">
        <f t="shared" si="10"/>
        <v>100</v>
      </c>
      <c r="V38" s="1386" t="s">
        <v>5</v>
      </c>
      <c r="W38" s="1387">
        <f t="shared" si="11"/>
        <v>100</v>
      </c>
      <c r="X38" s="1380"/>
      <c r="Y38" s="3875"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5"/>
      <c r="Q39" s="1385">
        <f t="shared" si="8"/>
        <v>111</v>
      </c>
      <c r="R39" s="1390" t="s">
        <v>5</v>
      </c>
      <c r="S39" s="1391">
        <f t="shared" si="9"/>
        <v>100</v>
      </c>
      <c r="T39" s="1390" t="s">
        <v>5</v>
      </c>
      <c r="U39" s="1391">
        <f t="shared" si="10"/>
        <v>100</v>
      </c>
      <c r="V39" s="1390" t="s">
        <v>5</v>
      </c>
      <c r="W39" s="1391">
        <f t="shared" si="11"/>
        <v>100</v>
      </c>
      <c r="X39" s="1392"/>
      <c r="Y39" s="3875"/>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5"/>
      <c r="Q40" s="1385" t="str">
        <f>B40</f>
        <v>宗地面积</v>
      </c>
      <c r="R40" s="1386" t="s">
        <v>5</v>
      </c>
      <c r="S40" s="1387" t="e">
        <f t="shared" si="9"/>
        <v>#N/A</v>
      </c>
      <c r="T40" s="1386" t="s">
        <v>5</v>
      </c>
      <c r="U40" s="1387" t="e">
        <f t="shared" si="10"/>
        <v>#N/A</v>
      </c>
      <c r="V40" s="1386" t="s">
        <v>5</v>
      </c>
      <c r="W40" s="1387" t="e">
        <f t="shared" si="11"/>
        <v>#N/A</v>
      </c>
      <c r="X40" s="1380"/>
      <c r="Y40" s="3875"/>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5"/>
      <c r="Q41" s="1385" t="str">
        <f t="shared" ref="Q41:Q47" si="13">B41</f>
        <v>宗地形状</v>
      </c>
      <c r="R41" s="1386" t="s">
        <v>5</v>
      </c>
      <c r="S41" s="1387">
        <f t="shared" si="9"/>
        <v>100</v>
      </c>
      <c r="T41" s="1386" t="s">
        <v>5</v>
      </c>
      <c r="U41" s="1387">
        <f t="shared" si="10"/>
        <v>100</v>
      </c>
      <c r="V41" s="1386" t="s">
        <v>5</v>
      </c>
      <c r="W41" s="1387">
        <f t="shared" si="11"/>
        <v>100</v>
      </c>
      <c r="X41" s="1380"/>
      <c r="Y41" s="3875"/>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5"/>
      <c r="Q42" s="1385" t="str">
        <f t="shared" si="13"/>
        <v>临街宽度及深度</v>
      </c>
      <c r="R42" s="1386" t="s">
        <v>5</v>
      </c>
      <c r="S42" s="1387">
        <f t="shared" si="9"/>
        <v>100</v>
      </c>
      <c r="T42" s="1386" t="s">
        <v>5</v>
      </c>
      <c r="U42" s="1387">
        <f t="shared" si="10"/>
        <v>100</v>
      </c>
      <c r="V42" s="1386" t="s">
        <v>5</v>
      </c>
      <c r="W42" s="1387">
        <f t="shared" si="11"/>
        <v>100</v>
      </c>
      <c r="X42" s="1380"/>
      <c r="Y42" s="3875"/>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5"/>
      <c r="Q43" s="1385" t="str">
        <f t="shared" si="13"/>
        <v>宗地开发程度</v>
      </c>
      <c r="R43" s="1381" t="s">
        <v>5</v>
      </c>
      <c r="S43" s="1382">
        <f t="shared" si="9"/>
        <v>100</v>
      </c>
      <c r="T43" s="1381" t="s">
        <v>5</v>
      </c>
      <c r="U43" s="1382">
        <f t="shared" si="10"/>
        <v>100</v>
      </c>
      <c r="V43" s="1381" t="s">
        <v>5</v>
      </c>
      <c r="W43" s="1382">
        <f t="shared" si="11"/>
        <v>100</v>
      </c>
      <c r="X43" s="1383"/>
      <c r="Y43" s="3875"/>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5" t="s">
        <v>499</v>
      </c>
      <c r="Q44" s="1385" t="str">
        <f t="shared" si="13"/>
        <v>工程地质条件</v>
      </c>
      <c r="R44" s="1386" t="s">
        <v>5</v>
      </c>
      <c r="S44" s="1387">
        <f t="shared" si="9"/>
        <v>100</v>
      </c>
      <c r="T44" s="1386" t="s">
        <v>5</v>
      </c>
      <c r="U44" s="1387">
        <f t="shared" si="10"/>
        <v>100</v>
      </c>
      <c r="V44" s="1386" t="s">
        <v>5</v>
      </c>
      <c r="W44" s="1387">
        <f t="shared" si="11"/>
        <v>100</v>
      </c>
      <c r="X44" s="1380"/>
      <c r="Y44" s="3875"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5"/>
      <c r="Q45" s="1385">
        <f t="shared" si="13"/>
        <v>111</v>
      </c>
      <c r="R45" s="1386" t="s">
        <v>5</v>
      </c>
      <c r="S45" s="1387">
        <f t="shared" si="9"/>
        <v>100</v>
      </c>
      <c r="T45" s="1386" t="s">
        <v>5</v>
      </c>
      <c r="U45" s="1387">
        <f t="shared" si="10"/>
        <v>100</v>
      </c>
      <c r="V45" s="1386" t="s">
        <v>5</v>
      </c>
      <c r="W45" s="1387">
        <f t="shared" si="11"/>
        <v>100</v>
      </c>
      <c r="X45" s="1380"/>
      <c r="Y45" s="3875"/>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5"/>
      <c r="Q46" s="1385">
        <f t="shared" si="13"/>
        <v>111</v>
      </c>
      <c r="R46" s="1386" t="s">
        <v>5</v>
      </c>
      <c r="S46" s="1387">
        <f t="shared" si="9"/>
        <v>100</v>
      </c>
      <c r="T46" s="1386" t="s">
        <v>5</v>
      </c>
      <c r="U46" s="1387">
        <f t="shared" si="10"/>
        <v>100</v>
      </c>
      <c r="V46" s="1386" t="s">
        <v>5</v>
      </c>
      <c r="W46" s="1387">
        <f t="shared" si="11"/>
        <v>100</v>
      </c>
      <c r="X46" s="1380"/>
      <c r="Y46" s="3875"/>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5"/>
      <c r="Q47" s="1385">
        <f t="shared" si="13"/>
        <v>111</v>
      </c>
      <c r="R47" s="1390" t="s">
        <v>5</v>
      </c>
      <c r="S47" s="1391">
        <f t="shared" si="9"/>
        <v>100</v>
      </c>
      <c r="T47" s="1390" t="s">
        <v>5</v>
      </c>
      <c r="U47" s="1391">
        <f t="shared" si="10"/>
        <v>100</v>
      </c>
      <c r="V47" s="1390" t="s">
        <v>5</v>
      </c>
      <c r="W47" s="1391">
        <f t="shared" si="11"/>
        <v>100</v>
      </c>
      <c r="X47" s="1392"/>
      <c r="Y47" s="3875"/>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876" t="str">
        <f>A48</f>
        <v>成交单价</v>
      </c>
      <c r="Q48" s="3876"/>
      <c r="R48" s="3869">
        <f>E48</f>
        <v>0</v>
      </c>
      <c r="S48" s="3869"/>
      <c r="T48" s="3869">
        <f>G48</f>
        <v>0</v>
      </c>
      <c r="U48" s="3869"/>
      <c r="V48" s="3869">
        <f>I48</f>
        <v>0</v>
      </c>
      <c r="W48" s="3869"/>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76" t="str">
        <f>A49</f>
        <v>比较价格（元/平方米）</v>
      </c>
      <c r="Q49" s="3876"/>
      <c r="R49" s="3884" t="e">
        <f>ROUND(PRODUCT(R48,AA9:AA47),0)</f>
        <v>#DIV/0!</v>
      </c>
      <c r="S49" s="3884"/>
      <c r="T49" s="3884" t="e">
        <f>ROUND(PRODUCT(T48,AB9:AB47),0)</f>
        <v>#DIV/0!</v>
      </c>
      <c r="U49" s="3884"/>
      <c r="V49" s="3884" t="e">
        <f>ROUND(PRODUCT(V48,AC9:AC47),0)</f>
        <v>#DIV/0!</v>
      </c>
      <c r="W49" s="3884"/>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881" t="str">
        <f>A50</f>
        <v>估价对象XX用房的比较价格（楼面单价，元/平方米）</v>
      </c>
      <c r="Q50" s="3882"/>
      <c r="R50" s="3889" t="e">
        <f>ROUND(IF(D49="简单平均",AVERAGE(R49:W49),R49*F49+T49*H49+V49*J49),0)</f>
        <v>#DIV/0!</v>
      </c>
      <c r="S50" s="3889"/>
      <c r="T50" s="3889"/>
      <c r="U50" s="3889"/>
      <c r="V50" s="3889"/>
      <c r="W50" s="3889"/>
      <c r="X50" s="1375"/>
      <c r="Y50" s="1375"/>
      <c r="Z50" s="1375"/>
      <c r="AA50" s="1375"/>
      <c r="AB50" s="1375"/>
      <c r="AC50" s="1375"/>
    </row>
    <row r="51" spans="1:29" ht="21">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1">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92" t="s">
        <v>1639</v>
      </c>
      <c r="H57" s="3893"/>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3611.7</v>
      </c>
      <c r="F58" s="604" t="e">
        <f t="shared" ref="F58:F66" si="14">ROUND(B58*E58/10000,0)</f>
        <v>#DIV/0!</v>
      </c>
      <c r="G58" s="3894"/>
      <c r="H58" s="3895"/>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1667.9</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3" t="s">
        <v>2741</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2767</v>
      </c>
      <c r="B6" s="3243">
        <v>2.5</v>
      </c>
      <c r="C6" s="3243">
        <v>2.5</v>
      </c>
      <c r="D6" s="3243">
        <v>2</v>
      </c>
      <c r="E6" s="3243">
        <v>2</v>
      </c>
      <c r="F6" s="3243">
        <v>2</v>
      </c>
      <c r="G6" s="3243">
        <v>2</v>
      </c>
      <c r="H6" s="3243">
        <v>2</v>
      </c>
      <c r="I6" s="3244">
        <v>1.5</v>
      </c>
      <c r="J6" s="3244">
        <v>1.5</v>
      </c>
      <c r="K6" s="3244">
        <v>1.5</v>
      </c>
      <c r="L6" s="3244">
        <v>1.5</v>
      </c>
      <c r="M6" s="3245">
        <v>1.5</v>
      </c>
    </row>
    <row r="7" spans="1:13" ht="15" thickBot="1">
      <c r="A7" s="3246" t="s">
        <v>2739</v>
      </c>
      <c r="B7" s="3247">
        <v>2.5</v>
      </c>
      <c r="C7" s="3247">
        <v>2.5</v>
      </c>
      <c r="D7" s="3247">
        <v>2</v>
      </c>
      <c r="E7" s="3247">
        <v>2</v>
      </c>
      <c r="F7" s="3247">
        <v>2</v>
      </c>
      <c r="G7" s="3247">
        <v>2</v>
      </c>
      <c r="H7" s="3247">
        <v>2</v>
      </c>
      <c r="I7" s="3248">
        <v>1.5</v>
      </c>
      <c r="J7" s="3248">
        <v>1.5</v>
      </c>
      <c r="K7" s="3248">
        <v>1.5</v>
      </c>
      <c r="L7" s="3248">
        <v>1.5</v>
      </c>
      <c r="M7" s="3249">
        <v>1.5</v>
      </c>
    </row>
    <row r="8" spans="1:13">
      <c r="A8" s="1027" t="s">
        <v>2768</v>
      </c>
      <c r="B8" s="3250">
        <v>80</v>
      </c>
      <c r="C8" s="3250">
        <v>80</v>
      </c>
      <c r="D8" s="3250">
        <v>70</v>
      </c>
      <c r="E8" s="3250">
        <v>70</v>
      </c>
      <c r="F8" s="3250">
        <v>70</v>
      </c>
      <c r="G8" s="3250">
        <v>70</v>
      </c>
      <c r="H8" s="3250">
        <v>70</v>
      </c>
      <c r="I8" s="3250">
        <v>60</v>
      </c>
      <c r="J8" s="3250">
        <v>60</v>
      </c>
      <c r="K8" s="3250">
        <v>60</v>
      </c>
      <c r="L8" s="3250">
        <v>60</v>
      </c>
      <c r="M8" s="3251">
        <v>60</v>
      </c>
    </row>
    <row r="9" spans="1:13">
      <c r="A9" s="1009" t="s">
        <v>2769</v>
      </c>
      <c r="B9" s="3252">
        <v>70</v>
      </c>
      <c r="C9" s="3252">
        <v>70</v>
      </c>
      <c r="D9" s="3252">
        <v>60</v>
      </c>
      <c r="E9" s="3252">
        <v>60</v>
      </c>
      <c r="F9" s="3252">
        <v>60</v>
      </c>
      <c r="G9" s="3252">
        <v>60</v>
      </c>
      <c r="H9" s="3252">
        <v>60</v>
      </c>
      <c r="I9" s="3252">
        <v>50</v>
      </c>
      <c r="J9" s="3252">
        <v>50</v>
      </c>
      <c r="K9" s="3252">
        <v>50</v>
      </c>
      <c r="L9" s="3252">
        <v>50</v>
      </c>
      <c r="M9" s="3253">
        <v>50</v>
      </c>
    </row>
    <row r="10" spans="1:13">
      <c r="A10" s="1009" t="s">
        <v>2770</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2771</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2772</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2773</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2774</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2775</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4" t="s">
        <v>2458</v>
      </c>
      <c r="B19" s="3256" t="s">
        <v>2459</v>
      </c>
      <c r="C19" s="3257" t="s">
        <v>2460</v>
      </c>
      <c r="D19" s="3258"/>
      <c r="E19" s="3252" t="s">
        <v>2461</v>
      </c>
      <c r="F19" s="1033"/>
      <c r="G19" s="1033"/>
    </row>
    <row r="20" spans="1:13" s="1408" customFormat="1">
      <c r="A20" s="3896" t="s">
        <v>2452</v>
      </c>
      <c r="B20" s="3899" t="s">
        <v>2462</v>
      </c>
      <c r="C20" s="3259" t="s">
        <v>2463</v>
      </c>
      <c r="D20" s="3260"/>
      <c r="E20" s="3261">
        <v>1</v>
      </c>
      <c r="F20" s="3262" t="s">
        <v>2464</v>
      </c>
      <c r="G20" s="1035"/>
      <c r="H20" s="1025"/>
      <c r="I20" s="1025"/>
    </row>
    <row r="21" spans="1:13" s="1408" customFormat="1">
      <c r="A21" s="3897"/>
      <c r="B21" s="3900"/>
      <c r="C21" s="3263" t="s">
        <v>2465</v>
      </c>
      <c r="D21" s="3264"/>
      <c r="E21" s="3265">
        <v>1</v>
      </c>
      <c r="F21" s="3262" t="s">
        <v>2466</v>
      </c>
      <c r="G21" s="1035"/>
      <c r="H21" s="1025"/>
      <c r="I21" s="1025"/>
    </row>
    <row r="22" spans="1:13" s="1408" customFormat="1">
      <c r="A22" s="3897"/>
      <c r="B22" s="3900"/>
      <c r="C22" s="3263" t="s">
        <v>2467</v>
      </c>
      <c r="D22" s="3264"/>
      <c r="E22" s="3265">
        <v>0.9</v>
      </c>
      <c r="F22" s="3262" t="s">
        <v>2468</v>
      </c>
      <c r="G22" s="1035"/>
      <c r="H22" s="1025"/>
      <c r="I22" s="1025"/>
    </row>
    <row r="23" spans="1:13" s="1408" customFormat="1">
      <c r="A23" s="3897"/>
      <c r="B23" s="3900"/>
      <c r="C23" s="3263" t="s">
        <v>2469</v>
      </c>
      <c r="D23" s="3264"/>
      <c r="E23" s="3265">
        <v>0.9</v>
      </c>
      <c r="F23" s="3262" t="s">
        <v>2470</v>
      </c>
      <c r="G23" s="1035"/>
      <c r="H23" s="1025"/>
      <c r="I23" s="1025"/>
    </row>
    <row r="24" spans="1:13" s="1408" customFormat="1">
      <c r="A24" s="3897"/>
      <c r="B24" s="3900"/>
      <c r="C24" s="3263" t="s">
        <v>2471</v>
      </c>
      <c r="D24" s="3264"/>
      <c r="E24" s="3265">
        <v>0.8</v>
      </c>
      <c r="F24" s="3262" t="s">
        <v>2472</v>
      </c>
      <c r="G24" s="1035"/>
      <c r="H24" s="1025"/>
      <c r="I24" s="1025"/>
    </row>
    <row r="25" spans="1:13" s="1408" customFormat="1" ht="15" thickBot="1">
      <c r="A25" s="3898"/>
      <c r="B25" s="3901"/>
      <c r="C25" s="3266" t="s">
        <v>2473</v>
      </c>
      <c r="D25" s="3267"/>
      <c r="E25" s="3268">
        <v>0.8</v>
      </c>
      <c r="F25" s="3262" t="s">
        <v>2474</v>
      </c>
      <c r="G25" s="1035"/>
      <c r="H25" s="1025"/>
      <c r="I25" s="1025"/>
    </row>
    <row r="26" spans="1:13" s="1408" customFormat="1" ht="15" thickBot="1">
      <c r="A26" s="3269" t="s">
        <v>2453</v>
      </c>
      <c r="B26" s="3270" t="s">
        <v>2462</v>
      </c>
      <c r="C26" s="3271" t="s">
        <v>2475</v>
      </c>
      <c r="D26" s="3272"/>
      <c r="E26" s="3273">
        <v>1</v>
      </c>
      <c r="F26" s="3262" t="s">
        <v>2476</v>
      </c>
      <c r="G26" s="1035"/>
      <c r="H26" s="1025"/>
      <c r="I26" s="1025"/>
    </row>
    <row r="27" spans="1:13" s="1408" customFormat="1">
      <c r="A27" s="3902" t="s">
        <v>2457</v>
      </c>
      <c r="B27" s="3899" t="s">
        <v>2457</v>
      </c>
      <c r="C27" s="3259" t="s">
        <v>2477</v>
      </c>
      <c r="D27" s="3260"/>
      <c r="E27" s="3261">
        <v>1</v>
      </c>
      <c r="F27" s="3262" t="s">
        <v>2478</v>
      </c>
      <c r="G27" s="1035"/>
      <c r="H27" s="1025"/>
      <c r="I27" s="1025"/>
    </row>
    <row r="28" spans="1:13" s="1408" customFormat="1">
      <c r="A28" s="3903"/>
      <c r="B28" s="3900"/>
      <c r="C28" s="3263" t="s">
        <v>2479</v>
      </c>
      <c r="D28" s="3264"/>
      <c r="E28" s="3265">
        <v>1</v>
      </c>
      <c r="F28" s="3262" t="s">
        <v>2480</v>
      </c>
      <c r="G28" s="1035"/>
      <c r="H28" s="1025"/>
      <c r="I28" s="1025"/>
    </row>
    <row r="29" spans="1:13" s="1408" customFormat="1">
      <c r="A29" s="3903"/>
      <c r="B29" s="3900"/>
      <c r="C29" s="3263" t="s">
        <v>2481</v>
      </c>
      <c r="D29" s="3264"/>
      <c r="E29" s="3265">
        <v>0.8</v>
      </c>
      <c r="F29" s="3262" t="s">
        <v>2482</v>
      </c>
      <c r="G29" s="1035"/>
      <c r="H29" s="1025"/>
      <c r="I29" s="1025"/>
    </row>
    <row r="30" spans="1:13" s="1408" customFormat="1">
      <c r="A30" s="3903"/>
      <c r="B30" s="3900"/>
      <c r="C30" s="3263" t="s">
        <v>2483</v>
      </c>
      <c r="D30" s="3264"/>
      <c r="E30" s="3265">
        <v>0.8</v>
      </c>
      <c r="F30" s="3262" t="s">
        <v>2484</v>
      </c>
      <c r="G30" s="1035"/>
      <c r="H30" s="1025"/>
      <c r="I30" s="1025"/>
    </row>
    <row r="31" spans="1:13" s="1408" customFormat="1">
      <c r="A31" s="3903"/>
      <c r="B31" s="3900"/>
      <c r="C31" s="3263" t="s">
        <v>2485</v>
      </c>
      <c r="D31" s="3264"/>
      <c r="E31" s="3265">
        <v>0.8</v>
      </c>
      <c r="F31" s="3262" t="s">
        <v>2486</v>
      </c>
      <c r="G31" s="1035"/>
      <c r="H31" s="1025"/>
      <c r="I31" s="1025"/>
    </row>
    <row r="32" spans="1:13" s="1408" customFormat="1">
      <c r="A32" s="3903"/>
      <c r="B32" s="3900"/>
      <c r="C32" s="3263" t="s">
        <v>2487</v>
      </c>
      <c r="D32" s="3264"/>
      <c r="E32" s="3265">
        <v>0.7</v>
      </c>
      <c r="F32" s="3262" t="s">
        <v>2488</v>
      </c>
      <c r="G32" s="1035"/>
      <c r="H32" s="1025"/>
      <c r="I32" s="1025"/>
    </row>
    <row r="33" spans="1:9" s="1408" customFormat="1">
      <c r="A33" s="3903"/>
      <c r="B33" s="3900"/>
      <c r="C33" s="3263" t="s">
        <v>2489</v>
      </c>
      <c r="D33" s="3264"/>
      <c r="E33" s="3265">
        <v>0.8</v>
      </c>
      <c r="F33" s="3262" t="s">
        <v>2490</v>
      </c>
      <c r="G33" s="1035"/>
      <c r="H33" s="1025"/>
      <c r="I33" s="1025"/>
    </row>
    <row r="34" spans="1:9" s="1408" customFormat="1">
      <c r="A34" s="3903"/>
      <c r="B34" s="3900"/>
      <c r="C34" s="3263" t="s">
        <v>2491</v>
      </c>
      <c r="D34" s="3264"/>
      <c r="E34" s="3265">
        <v>0.6</v>
      </c>
      <c r="F34" s="3262" t="s">
        <v>2492</v>
      </c>
      <c r="G34" s="1035"/>
      <c r="H34" s="1025"/>
      <c r="I34" s="1025"/>
    </row>
    <row r="35" spans="1:9" s="1408" customFormat="1">
      <c r="A35" s="3903"/>
      <c r="B35" s="3900"/>
      <c r="C35" s="3263" t="s">
        <v>2493</v>
      </c>
      <c r="D35" s="3264"/>
      <c r="E35" s="3265">
        <v>0.2</v>
      </c>
      <c r="F35" s="3262" t="s">
        <v>2494</v>
      </c>
      <c r="G35" s="1035"/>
      <c r="H35" s="1025"/>
      <c r="I35" s="1025"/>
    </row>
    <row r="36" spans="1:9" s="1408" customFormat="1">
      <c r="A36" s="3903"/>
      <c r="B36" s="3900"/>
      <c r="C36" s="3263" t="s">
        <v>2495</v>
      </c>
      <c r="D36" s="3264"/>
      <c r="E36" s="3265">
        <v>0.2</v>
      </c>
      <c r="F36" s="3262" t="s">
        <v>2496</v>
      </c>
      <c r="G36" s="1035"/>
      <c r="H36" s="1025"/>
      <c r="I36" s="1025"/>
    </row>
    <row r="37" spans="1:9" s="1408" customFormat="1">
      <c r="A37" s="3903"/>
      <c r="B37" s="3905" t="s">
        <v>2497</v>
      </c>
      <c r="C37" s="3263" t="s">
        <v>2498</v>
      </c>
      <c r="D37" s="3264"/>
      <c r="E37" s="3265">
        <v>0.6</v>
      </c>
      <c r="F37" s="3262" t="s">
        <v>2499</v>
      </c>
      <c r="G37" s="1035"/>
      <c r="H37" s="1025"/>
      <c r="I37" s="1025"/>
    </row>
    <row r="38" spans="1:9" s="1408" customFormat="1">
      <c r="A38" s="3903"/>
      <c r="B38" s="3900"/>
      <c r="C38" s="3263" t="s">
        <v>2500</v>
      </c>
      <c r="D38" s="3264"/>
      <c r="E38" s="3265">
        <v>0.6</v>
      </c>
      <c r="F38" s="3262" t="s">
        <v>2501</v>
      </c>
      <c r="G38" s="1035"/>
      <c r="H38" s="1025"/>
      <c r="I38" s="1025"/>
    </row>
    <row r="39" spans="1:9" s="1408" customFormat="1" ht="15" thickBot="1">
      <c r="A39" s="3904"/>
      <c r="B39" s="3901"/>
      <c r="C39" s="3266" t="s">
        <v>2502</v>
      </c>
      <c r="D39" s="3267"/>
      <c r="E39" s="3268">
        <v>0.6</v>
      </c>
      <c r="F39" s="3262" t="s">
        <v>2503</v>
      </c>
      <c r="G39" s="1035"/>
      <c r="H39" s="1025"/>
      <c r="I39" s="1025"/>
    </row>
    <row r="40" spans="1:9" s="1408" customFormat="1" ht="15" thickBot="1">
      <c r="A40" s="3269" t="s">
        <v>2454</v>
      </c>
      <c r="B40" s="3270" t="s">
        <v>2454</v>
      </c>
      <c r="C40" s="3271" t="s">
        <v>2504</v>
      </c>
      <c r="D40" s="3272"/>
      <c r="E40" s="3273">
        <v>1</v>
      </c>
      <c r="F40" s="3262" t="s">
        <v>2505</v>
      </c>
      <c r="G40" s="1035"/>
      <c r="H40" s="1025"/>
      <c r="I40" s="1025"/>
    </row>
    <row r="41" spans="1:9" s="1408" customFormat="1">
      <c r="A41" s="3896" t="s">
        <v>2455</v>
      </c>
      <c r="B41" s="3899" t="s">
        <v>2506</v>
      </c>
      <c r="C41" s="3259" t="s">
        <v>2507</v>
      </c>
      <c r="D41" s="3260"/>
      <c r="E41" s="3261">
        <v>1</v>
      </c>
      <c r="F41" s="3262" t="s">
        <v>2508</v>
      </c>
      <c r="G41" s="1035"/>
      <c r="H41" s="1025"/>
      <c r="I41" s="1025"/>
    </row>
    <row r="42" spans="1:9" s="1408" customFormat="1">
      <c r="A42" s="3897"/>
      <c r="B42" s="3900"/>
      <c r="C42" s="3263" t="s">
        <v>2509</v>
      </c>
      <c r="D42" s="3264"/>
      <c r="E42" s="3265">
        <v>1</v>
      </c>
      <c r="F42" s="3262" t="s">
        <v>2510</v>
      </c>
      <c r="G42" s="1035"/>
      <c r="H42" s="1025"/>
      <c r="I42" s="1025"/>
    </row>
    <row r="43" spans="1:9" s="1408" customFormat="1">
      <c r="A43" s="3897"/>
      <c r="B43" s="3906"/>
      <c r="C43" s="3263" t="s">
        <v>2511</v>
      </c>
      <c r="D43" s="3264"/>
      <c r="E43" s="3265">
        <v>1.5</v>
      </c>
      <c r="F43" s="3262" t="s">
        <v>2512</v>
      </c>
      <c r="G43" s="1035"/>
      <c r="H43" s="1025"/>
      <c r="I43" s="1025"/>
    </row>
    <row r="44" spans="1:9" s="1408" customFormat="1">
      <c r="A44" s="3897"/>
      <c r="B44" s="3274" t="s">
        <v>2457</v>
      </c>
      <c r="C44" s="3263" t="s">
        <v>2456</v>
      </c>
      <c r="D44" s="3264"/>
      <c r="E44" s="3265">
        <v>2</v>
      </c>
      <c r="F44" s="3262" t="s">
        <v>2513</v>
      </c>
      <c r="G44" s="1035"/>
      <c r="H44" s="1025"/>
      <c r="I44" s="1025"/>
    </row>
    <row r="45" spans="1:9" s="1408" customFormat="1">
      <c r="A45" s="3897"/>
      <c r="B45" s="3905" t="s">
        <v>2514</v>
      </c>
      <c r="C45" s="3263" t="s">
        <v>2515</v>
      </c>
      <c r="D45" s="3264"/>
      <c r="E45" s="3265">
        <v>1</v>
      </c>
      <c r="F45" s="3262" t="s">
        <v>2516</v>
      </c>
      <c r="G45" s="1035"/>
      <c r="H45" s="1025"/>
      <c r="I45" s="1025"/>
    </row>
    <row r="46" spans="1:9" s="1408" customFormat="1">
      <c r="A46" s="3897"/>
      <c r="B46" s="3900"/>
      <c r="C46" s="3263" t="s">
        <v>2517</v>
      </c>
      <c r="D46" s="3264"/>
      <c r="E46" s="3265">
        <v>1</v>
      </c>
      <c r="F46" s="3262" t="s">
        <v>2518</v>
      </c>
      <c r="G46" s="1035"/>
      <c r="H46" s="1025"/>
      <c r="I46" s="1025"/>
    </row>
    <row r="47" spans="1:9" s="1408" customFormat="1">
      <c r="A47" s="3897"/>
      <c r="B47" s="3900"/>
      <c r="C47" s="3263" t="s">
        <v>2519</v>
      </c>
      <c r="D47" s="3264"/>
      <c r="E47" s="3265">
        <v>1</v>
      </c>
      <c r="F47" s="3262" t="s">
        <v>2520</v>
      </c>
      <c r="G47" s="1035"/>
      <c r="H47" s="1025"/>
      <c r="I47" s="1025"/>
    </row>
    <row r="48" spans="1:9" s="1408" customFormat="1">
      <c r="A48" s="3897"/>
      <c r="B48" s="3900"/>
      <c r="C48" s="3263" t="s">
        <v>2521</v>
      </c>
      <c r="D48" s="3264"/>
      <c r="E48" s="3265">
        <v>1</v>
      </c>
      <c r="F48" s="3262" t="s">
        <v>2522</v>
      </c>
      <c r="G48" s="1035"/>
      <c r="H48" s="1025"/>
      <c r="I48" s="1025"/>
    </row>
    <row r="49" spans="1:9" s="1408" customFormat="1">
      <c r="A49" s="3897"/>
      <c r="B49" s="3900"/>
      <c r="C49" s="3263" t="s">
        <v>2523</v>
      </c>
      <c r="D49" s="3264"/>
      <c r="E49" s="3265">
        <v>1</v>
      </c>
      <c r="F49" s="3262" t="s">
        <v>2524</v>
      </c>
      <c r="G49" s="1035"/>
      <c r="H49" s="1025"/>
      <c r="I49" s="1025"/>
    </row>
    <row r="50" spans="1:9" s="1408" customFormat="1">
      <c r="A50" s="3897"/>
      <c r="B50" s="3900"/>
      <c r="C50" s="3263" t="s">
        <v>2525</v>
      </c>
      <c r="D50" s="3264"/>
      <c r="E50" s="3265">
        <v>1</v>
      </c>
      <c r="F50" s="3262" t="s">
        <v>2526</v>
      </c>
      <c r="G50" s="1035"/>
      <c r="H50" s="1025"/>
      <c r="I50" s="1025"/>
    </row>
    <row r="51" spans="1:9" s="1408" customFormat="1" ht="15" thickBot="1">
      <c r="A51" s="3898"/>
      <c r="B51" s="3901"/>
      <c r="C51" s="3266" t="s">
        <v>2527</v>
      </c>
      <c r="D51" s="3267"/>
      <c r="E51" s="3268">
        <v>1</v>
      </c>
      <c r="F51" s="3262"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ht="24">
      <c r="A73" s="3274">
        <v>1</v>
      </c>
      <c r="B73" s="3905" t="s">
        <v>2530</v>
      </c>
      <c r="C73" s="3252" t="s">
        <v>2531</v>
      </c>
      <c r="D73" s="3252" t="s">
        <v>2532</v>
      </c>
      <c r="E73" s="3275">
        <v>0.2</v>
      </c>
      <c r="F73" s="3274">
        <v>25</v>
      </c>
      <c r="H73" s="1025">
        <f>SUMIF(C71:C139,基准地价!C8,E71:E139)</f>
        <v>0</v>
      </c>
    </row>
    <row r="74" spans="1:8" s="1025" customFormat="1" ht="36">
      <c r="A74" s="3274">
        <v>2</v>
      </c>
      <c r="B74" s="3900"/>
      <c r="C74" s="3252" t="s">
        <v>2533</v>
      </c>
      <c r="D74" s="3252" t="s">
        <v>2534</v>
      </c>
      <c r="E74" s="3275">
        <v>0.2</v>
      </c>
      <c r="F74" s="3274">
        <v>25</v>
      </c>
    </row>
    <row r="75" spans="1:8" s="1025" customFormat="1" ht="24">
      <c r="A75" s="3274">
        <v>3</v>
      </c>
      <c r="B75" s="3900"/>
      <c r="C75" s="3252" t="s">
        <v>2535</v>
      </c>
      <c r="D75" s="3252" t="s">
        <v>2536</v>
      </c>
      <c r="E75" s="3275">
        <v>0.2</v>
      </c>
      <c r="F75" s="3274">
        <v>25</v>
      </c>
    </row>
    <row r="76" spans="1:8" s="1025" customFormat="1" ht="24">
      <c r="A76" s="3274">
        <v>4</v>
      </c>
      <c r="B76" s="3900"/>
      <c r="C76" s="3252" t="s">
        <v>2537</v>
      </c>
      <c r="D76" s="3252" t="s">
        <v>2538</v>
      </c>
      <c r="E76" s="3275">
        <v>0.15</v>
      </c>
      <c r="F76" s="3274">
        <v>20</v>
      </c>
    </row>
    <row r="77" spans="1:8" s="1025" customFormat="1" ht="24">
      <c r="A77" s="3274">
        <v>5</v>
      </c>
      <c r="B77" s="3900"/>
      <c r="C77" s="3252" t="s">
        <v>2539</v>
      </c>
      <c r="D77" s="3252" t="s">
        <v>2540</v>
      </c>
      <c r="E77" s="3275">
        <v>0.15</v>
      </c>
      <c r="F77" s="3274">
        <v>20</v>
      </c>
    </row>
    <row r="78" spans="1:8" s="1025" customFormat="1" ht="24">
      <c r="A78" s="3274">
        <v>6</v>
      </c>
      <c r="B78" s="3900"/>
      <c r="C78" s="3252" t="s">
        <v>2541</v>
      </c>
      <c r="D78" s="3252" t="s">
        <v>2542</v>
      </c>
      <c r="E78" s="3275">
        <v>0.15</v>
      </c>
      <c r="F78" s="3274">
        <v>20</v>
      </c>
    </row>
    <row r="79" spans="1:8" s="1025" customFormat="1" ht="36">
      <c r="A79" s="3274">
        <v>7</v>
      </c>
      <c r="B79" s="3900"/>
      <c r="C79" s="3252" t="s">
        <v>2543</v>
      </c>
      <c r="D79" s="3252" t="s">
        <v>2544</v>
      </c>
      <c r="E79" s="3275">
        <v>0.15</v>
      </c>
      <c r="F79" s="3274">
        <v>20</v>
      </c>
    </row>
    <row r="80" spans="1:8" s="1025" customFormat="1" ht="24">
      <c r="A80" s="3274">
        <v>8</v>
      </c>
      <c r="B80" s="3900"/>
      <c r="C80" s="3252" t="s">
        <v>2545</v>
      </c>
      <c r="D80" s="3252" t="s">
        <v>2546</v>
      </c>
      <c r="E80" s="3275">
        <v>0.1</v>
      </c>
      <c r="F80" s="3274">
        <v>15</v>
      </c>
    </row>
    <row r="81" spans="1:6" s="1025" customFormat="1" ht="24">
      <c r="A81" s="3274">
        <v>9</v>
      </c>
      <c r="B81" s="3900"/>
      <c r="C81" s="3252" t="s">
        <v>2547</v>
      </c>
      <c r="D81" s="3252" t="s">
        <v>2548</v>
      </c>
      <c r="E81" s="3275">
        <v>0.1</v>
      </c>
      <c r="F81" s="3274">
        <v>15</v>
      </c>
    </row>
    <row r="82" spans="1:6" s="1025" customFormat="1" ht="24">
      <c r="A82" s="3274">
        <v>10</v>
      </c>
      <c r="B82" s="3900"/>
      <c r="C82" s="3252" t="s">
        <v>2549</v>
      </c>
      <c r="D82" s="3252" t="s">
        <v>2550</v>
      </c>
      <c r="E82" s="3275">
        <v>0.1</v>
      </c>
      <c r="F82" s="3274">
        <v>15</v>
      </c>
    </row>
    <row r="83" spans="1:6" s="1025" customFormat="1" ht="36">
      <c r="A83" s="3274">
        <v>11</v>
      </c>
      <c r="B83" s="3900"/>
      <c r="C83" s="3252" t="s">
        <v>2551</v>
      </c>
      <c r="D83" s="3252" t="s">
        <v>2552</v>
      </c>
      <c r="E83" s="3275">
        <v>0.1</v>
      </c>
      <c r="F83" s="3274">
        <v>15</v>
      </c>
    </row>
    <row r="84" spans="1:6" s="1025" customFormat="1" ht="36">
      <c r="A84" s="3274">
        <v>12</v>
      </c>
      <c r="B84" s="3900"/>
      <c r="C84" s="3252" t="s">
        <v>2553</v>
      </c>
      <c r="D84" s="3252" t="s">
        <v>2554</v>
      </c>
      <c r="E84" s="3275">
        <v>0.1</v>
      </c>
      <c r="F84" s="3274">
        <v>15</v>
      </c>
    </row>
    <row r="85" spans="1:6" s="1025" customFormat="1" ht="24">
      <c r="A85" s="3274">
        <v>13</v>
      </c>
      <c r="B85" s="3900"/>
      <c r="C85" s="3252" t="s">
        <v>2555</v>
      </c>
      <c r="D85" s="3252" t="s">
        <v>2556</v>
      </c>
      <c r="E85" s="3275">
        <v>0.1</v>
      </c>
      <c r="F85" s="3274">
        <v>15</v>
      </c>
    </row>
    <row r="86" spans="1:6" s="1025" customFormat="1" ht="24">
      <c r="A86" s="3274">
        <v>14</v>
      </c>
      <c r="B86" s="3900"/>
      <c r="C86" s="3252" t="s">
        <v>2557</v>
      </c>
      <c r="D86" s="3252" t="s">
        <v>2558</v>
      </c>
      <c r="E86" s="3275">
        <v>0.1</v>
      </c>
      <c r="F86" s="3274">
        <v>15</v>
      </c>
    </row>
    <row r="87" spans="1:6" s="1025" customFormat="1" ht="24">
      <c r="A87" s="3274">
        <v>15</v>
      </c>
      <c r="B87" s="3900"/>
      <c r="C87" s="3252" t="s">
        <v>2559</v>
      </c>
      <c r="D87" s="3252" t="s">
        <v>2560</v>
      </c>
      <c r="E87" s="3275">
        <v>0.1</v>
      </c>
      <c r="F87" s="3274">
        <v>15</v>
      </c>
    </row>
    <row r="88" spans="1:6" s="1025" customFormat="1" ht="24">
      <c r="A88" s="3274">
        <v>16</v>
      </c>
      <c r="B88" s="3900"/>
      <c r="C88" s="3252" t="s">
        <v>2561</v>
      </c>
      <c r="D88" s="3252" t="s">
        <v>2562</v>
      </c>
      <c r="E88" s="3275">
        <v>0.1</v>
      </c>
      <c r="F88" s="3274">
        <v>15</v>
      </c>
    </row>
    <row r="89" spans="1:6" s="1025" customFormat="1" ht="36">
      <c r="A89" s="3274">
        <v>17</v>
      </c>
      <c r="B89" s="3906"/>
      <c r="C89" s="3252" t="s">
        <v>2563</v>
      </c>
      <c r="D89" s="3252" t="s">
        <v>2564</v>
      </c>
      <c r="E89" s="3275">
        <v>0.1</v>
      </c>
      <c r="F89" s="3274">
        <v>15</v>
      </c>
    </row>
    <row r="90" spans="1:6" s="1025" customFormat="1" ht="24">
      <c r="A90" s="3274">
        <v>18</v>
      </c>
      <c r="B90" s="3905" t="s">
        <v>2565</v>
      </c>
      <c r="C90" s="3252" t="s">
        <v>2566</v>
      </c>
      <c r="D90" s="3252" t="s">
        <v>2567</v>
      </c>
      <c r="E90" s="3275">
        <v>0.2</v>
      </c>
      <c r="F90" s="3274">
        <v>25</v>
      </c>
    </row>
    <row r="91" spans="1:6" s="1025" customFormat="1" ht="36">
      <c r="A91" s="3274">
        <v>19</v>
      </c>
      <c r="B91" s="3900"/>
      <c r="C91" s="3252" t="s">
        <v>2568</v>
      </c>
      <c r="D91" s="3252" t="s">
        <v>2569</v>
      </c>
      <c r="E91" s="3275">
        <v>0.2</v>
      </c>
      <c r="F91" s="3274">
        <v>25</v>
      </c>
    </row>
    <row r="92" spans="1:6" s="1025" customFormat="1" ht="24">
      <c r="A92" s="3274">
        <v>20</v>
      </c>
      <c r="B92" s="3900"/>
      <c r="C92" s="3252" t="s">
        <v>2570</v>
      </c>
      <c r="D92" s="3252" t="s">
        <v>2571</v>
      </c>
      <c r="E92" s="3275">
        <v>0.15</v>
      </c>
      <c r="F92" s="3274">
        <v>20</v>
      </c>
    </row>
    <row r="93" spans="1:6" s="1025" customFormat="1" ht="24">
      <c r="A93" s="3274">
        <v>21</v>
      </c>
      <c r="B93" s="3900"/>
      <c r="C93" s="3252" t="s">
        <v>2572</v>
      </c>
      <c r="D93" s="3252" t="s">
        <v>2573</v>
      </c>
      <c r="E93" s="3275">
        <v>0.15</v>
      </c>
      <c r="F93" s="3274">
        <v>20</v>
      </c>
    </row>
    <row r="94" spans="1:6" s="1025" customFormat="1" ht="24">
      <c r="A94" s="3274">
        <v>22</v>
      </c>
      <c r="B94" s="3900"/>
      <c r="C94" s="3252" t="s">
        <v>2574</v>
      </c>
      <c r="D94" s="3252" t="s">
        <v>2575</v>
      </c>
      <c r="E94" s="3275">
        <v>0.15</v>
      </c>
      <c r="F94" s="3274">
        <v>20</v>
      </c>
    </row>
    <row r="95" spans="1:6" s="1025" customFormat="1" ht="48">
      <c r="A95" s="3274">
        <v>23</v>
      </c>
      <c r="B95" s="3900"/>
      <c r="C95" s="3252" t="s">
        <v>2576</v>
      </c>
      <c r="D95" s="3252" t="s">
        <v>2577</v>
      </c>
      <c r="E95" s="3275">
        <v>0.15</v>
      </c>
      <c r="F95" s="3274">
        <v>20</v>
      </c>
    </row>
    <row r="96" spans="1:6" s="1025" customFormat="1" ht="24">
      <c r="A96" s="3274">
        <v>24</v>
      </c>
      <c r="B96" s="3900"/>
      <c r="C96" s="3252" t="s">
        <v>2578</v>
      </c>
      <c r="D96" s="3252" t="s">
        <v>2579</v>
      </c>
      <c r="E96" s="3275">
        <v>0.1</v>
      </c>
      <c r="F96" s="3274">
        <v>15</v>
      </c>
    </row>
    <row r="97" spans="1:6" s="1025" customFormat="1" ht="24">
      <c r="A97" s="3274">
        <v>25</v>
      </c>
      <c r="B97" s="3900"/>
      <c r="C97" s="3252" t="s">
        <v>2580</v>
      </c>
      <c r="D97" s="3252" t="s">
        <v>2581</v>
      </c>
      <c r="E97" s="3275">
        <v>0.1</v>
      </c>
      <c r="F97" s="3274">
        <v>15</v>
      </c>
    </row>
    <row r="98" spans="1:6" s="1025" customFormat="1" ht="36">
      <c r="A98" s="3274">
        <v>26</v>
      </c>
      <c r="B98" s="3900"/>
      <c r="C98" s="3252" t="s">
        <v>2582</v>
      </c>
      <c r="D98" s="3252" t="s">
        <v>2583</v>
      </c>
      <c r="E98" s="3275">
        <v>0.1</v>
      </c>
      <c r="F98" s="3274">
        <v>15</v>
      </c>
    </row>
    <row r="99" spans="1:6" s="1025" customFormat="1" ht="24">
      <c r="A99" s="3274">
        <v>27</v>
      </c>
      <c r="B99" s="3900"/>
      <c r="C99" s="3252" t="s">
        <v>2584</v>
      </c>
      <c r="D99" s="3252" t="s">
        <v>2585</v>
      </c>
      <c r="E99" s="3275">
        <v>0.1</v>
      </c>
      <c r="F99" s="3274">
        <v>15</v>
      </c>
    </row>
    <row r="100" spans="1:6" s="1025" customFormat="1" ht="24">
      <c r="A100" s="3274">
        <v>28</v>
      </c>
      <c r="B100" s="3900"/>
      <c r="C100" s="3252" t="s">
        <v>2586</v>
      </c>
      <c r="D100" s="3252" t="s">
        <v>2587</v>
      </c>
      <c r="E100" s="3275">
        <v>0.1</v>
      </c>
      <c r="F100" s="3274">
        <v>15</v>
      </c>
    </row>
    <row r="101" spans="1:6" s="1025" customFormat="1" ht="24">
      <c r="A101" s="3274">
        <v>29</v>
      </c>
      <c r="B101" s="3900"/>
      <c r="C101" s="3252" t="s">
        <v>2588</v>
      </c>
      <c r="D101" s="3252" t="s">
        <v>2589</v>
      </c>
      <c r="E101" s="3275">
        <v>0.1</v>
      </c>
      <c r="F101" s="3274">
        <v>15</v>
      </c>
    </row>
    <row r="102" spans="1:6" s="1025" customFormat="1" ht="24">
      <c r="A102" s="3274">
        <v>30</v>
      </c>
      <c r="B102" s="3900"/>
      <c r="C102" s="3252" t="s">
        <v>2590</v>
      </c>
      <c r="D102" s="3252" t="s">
        <v>2591</v>
      </c>
      <c r="E102" s="3275">
        <v>0.1</v>
      </c>
      <c r="F102" s="3274">
        <v>15</v>
      </c>
    </row>
    <row r="103" spans="1:6" s="1025" customFormat="1" ht="24">
      <c r="A103" s="3274">
        <v>31</v>
      </c>
      <c r="B103" s="3900"/>
      <c r="C103" s="3252" t="s">
        <v>2592</v>
      </c>
      <c r="D103" s="3252" t="s">
        <v>2593</v>
      </c>
      <c r="E103" s="3275">
        <v>0.1</v>
      </c>
      <c r="F103" s="3274">
        <v>15</v>
      </c>
    </row>
    <row r="104" spans="1:6" s="1025" customFormat="1" ht="36">
      <c r="A104" s="3274">
        <v>32</v>
      </c>
      <c r="B104" s="3900"/>
      <c r="C104" s="3252" t="s">
        <v>2594</v>
      </c>
      <c r="D104" s="3252" t="s">
        <v>2595</v>
      </c>
      <c r="E104" s="3275">
        <v>0.1</v>
      </c>
      <c r="F104" s="3274">
        <v>15</v>
      </c>
    </row>
    <row r="105" spans="1:6" s="1025" customFormat="1" ht="36">
      <c r="A105" s="3274">
        <v>33</v>
      </c>
      <c r="B105" s="3900"/>
      <c r="C105" s="3252" t="s">
        <v>2596</v>
      </c>
      <c r="D105" s="3252" t="s">
        <v>2597</v>
      </c>
      <c r="E105" s="3275">
        <v>0.1</v>
      </c>
      <c r="F105" s="3274">
        <v>15</v>
      </c>
    </row>
    <row r="106" spans="1:6" s="1025" customFormat="1" ht="24">
      <c r="A106" s="3274">
        <v>34</v>
      </c>
      <c r="B106" s="3906"/>
      <c r="C106" s="3252" t="s">
        <v>2598</v>
      </c>
      <c r="D106" s="3252" t="s">
        <v>2599</v>
      </c>
      <c r="E106" s="3275">
        <v>0.1</v>
      </c>
      <c r="F106" s="3274">
        <v>15</v>
      </c>
    </row>
    <row r="107" spans="1:6" s="1025" customFormat="1" ht="36">
      <c r="A107" s="3274">
        <v>35</v>
      </c>
      <c r="B107" s="3905" t="s">
        <v>2600</v>
      </c>
      <c r="C107" s="3274" t="s">
        <v>2601</v>
      </c>
      <c r="D107" s="3252" t="s">
        <v>2602</v>
      </c>
      <c r="E107" s="3275">
        <v>0.15</v>
      </c>
      <c r="F107" s="3274">
        <v>20</v>
      </c>
    </row>
    <row r="108" spans="1:6" s="1025" customFormat="1" ht="24">
      <c r="A108" s="3274">
        <v>36</v>
      </c>
      <c r="B108" s="3900"/>
      <c r="C108" s="3274" t="s">
        <v>2603</v>
      </c>
      <c r="D108" s="3252" t="s">
        <v>2604</v>
      </c>
      <c r="E108" s="3275">
        <v>0.15</v>
      </c>
      <c r="F108" s="3274">
        <v>20</v>
      </c>
    </row>
    <row r="109" spans="1:6" s="1025" customFormat="1" ht="24">
      <c r="A109" s="3274">
        <v>37</v>
      </c>
      <c r="B109" s="3900"/>
      <c r="C109" s="3274" t="s">
        <v>2605</v>
      </c>
      <c r="D109" s="3252" t="s">
        <v>2606</v>
      </c>
      <c r="E109" s="3275">
        <v>0.15</v>
      </c>
      <c r="F109" s="3274">
        <v>20</v>
      </c>
    </row>
    <row r="110" spans="1:6" s="1025" customFormat="1" ht="24">
      <c r="A110" s="3274">
        <v>38</v>
      </c>
      <c r="B110" s="3900"/>
      <c r="C110" s="3274" t="s">
        <v>2607</v>
      </c>
      <c r="D110" s="3252" t="s">
        <v>2608</v>
      </c>
      <c r="E110" s="3275">
        <v>0.1</v>
      </c>
      <c r="F110" s="3274">
        <v>15</v>
      </c>
    </row>
    <row r="111" spans="1:6" s="1025" customFormat="1" ht="24">
      <c r="A111" s="3274">
        <v>39</v>
      </c>
      <c r="B111" s="3900"/>
      <c r="C111" s="3274" t="s">
        <v>2609</v>
      </c>
      <c r="D111" s="3252" t="s">
        <v>2610</v>
      </c>
      <c r="E111" s="3275">
        <v>0.1</v>
      </c>
      <c r="F111" s="3274">
        <v>15</v>
      </c>
    </row>
    <row r="112" spans="1:6" s="1025" customFormat="1" ht="24">
      <c r="A112" s="3274">
        <v>40</v>
      </c>
      <c r="B112" s="3906"/>
      <c r="C112" s="3274" t="s">
        <v>2611</v>
      </c>
      <c r="D112" s="3252" t="s">
        <v>2612</v>
      </c>
      <c r="E112" s="3275">
        <v>0.1</v>
      </c>
      <c r="F112" s="3274">
        <v>15</v>
      </c>
    </row>
    <row r="113" spans="1:6" s="1025" customFormat="1" ht="24">
      <c r="A113" s="3274">
        <v>41</v>
      </c>
      <c r="B113" s="3907" t="s">
        <v>2613</v>
      </c>
      <c r="C113" s="3274" t="s">
        <v>2614</v>
      </c>
      <c r="D113" s="3252" t="s">
        <v>2615</v>
      </c>
      <c r="E113" s="3275">
        <v>0.1</v>
      </c>
      <c r="F113" s="3274">
        <v>15</v>
      </c>
    </row>
    <row r="114" spans="1:6" s="1025" customFormat="1" ht="24">
      <c r="A114" s="3274">
        <v>42</v>
      </c>
      <c r="B114" s="3907"/>
      <c r="C114" s="3274" t="s">
        <v>2616</v>
      </c>
      <c r="D114" s="3252" t="s">
        <v>2617</v>
      </c>
      <c r="E114" s="3275">
        <v>0.1</v>
      </c>
      <c r="F114" s="3274">
        <v>15</v>
      </c>
    </row>
    <row r="115" spans="1:6" s="1025" customFormat="1" ht="24">
      <c r="A115" s="3274">
        <v>43</v>
      </c>
      <c r="B115" s="3907"/>
      <c r="C115" s="3274" t="s">
        <v>2618</v>
      </c>
      <c r="D115" s="3252" t="s">
        <v>2619</v>
      </c>
      <c r="E115" s="3275">
        <v>0.1</v>
      </c>
      <c r="F115" s="3274">
        <v>15</v>
      </c>
    </row>
    <row r="116" spans="1:6" s="1025" customFormat="1" ht="24">
      <c r="A116" s="3274">
        <v>44</v>
      </c>
      <c r="B116" s="3905" t="s">
        <v>2620</v>
      </c>
      <c r="C116" s="3274" t="s">
        <v>2621</v>
      </c>
      <c r="D116" s="3252" t="s">
        <v>2622</v>
      </c>
      <c r="E116" s="3275">
        <v>0.1</v>
      </c>
      <c r="F116" s="3274">
        <v>15</v>
      </c>
    </row>
    <row r="117" spans="1:6" s="1025" customFormat="1" ht="24">
      <c r="A117" s="3274">
        <v>45</v>
      </c>
      <c r="B117" s="3906"/>
      <c r="C117" s="3252" t="s">
        <v>2623</v>
      </c>
      <c r="D117" s="3252" t="s">
        <v>2624</v>
      </c>
      <c r="E117" s="3275">
        <v>0.1</v>
      </c>
      <c r="F117" s="3274">
        <v>15</v>
      </c>
    </row>
    <row r="118" spans="1:6" s="1025" customFormat="1" ht="24">
      <c r="A118" s="3274">
        <v>46</v>
      </c>
      <c r="B118" s="3905" t="s">
        <v>2625</v>
      </c>
      <c r="C118" s="3274" t="s">
        <v>2626</v>
      </c>
      <c r="D118" s="3252" t="s">
        <v>2627</v>
      </c>
      <c r="E118" s="3275">
        <v>0.1</v>
      </c>
      <c r="F118" s="3274">
        <v>15</v>
      </c>
    </row>
    <row r="119" spans="1:6" s="1025" customFormat="1" ht="24">
      <c r="A119" s="3274">
        <v>47</v>
      </c>
      <c r="B119" s="3906"/>
      <c r="C119" s="3274" t="s">
        <v>2628</v>
      </c>
      <c r="D119" s="3252" t="s">
        <v>2629</v>
      </c>
      <c r="E119" s="3275">
        <v>0.1</v>
      </c>
      <c r="F119" s="3274">
        <v>15</v>
      </c>
    </row>
    <row r="120" spans="1:6" s="1025" customFormat="1" ht="24">
      <c r="A120" s="3274">
        <v>48</v>
      </c>
      <c r="B120" s="3905" t="s">
        <v>2630</v>
      </c>
      <c r="C120" s="3274" t="s">
        <v>2631</v>
      </c>
      <c r="D120" s="3252" t="s">
        <v>2632</v>
      </c>
      <c r="E120" s="3275">
        <v>0.1</v>
      </c>
      <c r="F120" s="3274">
        <v>15</v>
      </c>
    </row>
    <row r="121" spans="1:6" s="1025" customFormat="1" ht="24">
      <c r="A121" s="3274">
        <v>49</v>
      </c>
      <c r="B121" s="3906"/>
      <c r="C121" s="3274" t="s">
        <v>2633</v>
      </c>
      <c r="D121" s="3252" t="s">
        <v>2634</v>
      </c>
      <c r="E121" s="3275">
        <v>0.1</v>
      </c>
      <c r="F121" s="3274">
        <v>15</v>
      </c>
    </row>
    <row r="122" spans="1:6" s="1025" customFormat="1" ht="24">
      <c r="A122" s="3274">
        <v>50</v>
      </c>
      <c r="B122" s="3907" t="s">
        <v>2635</v>
      </c>
      <c r="C122" s="3274" t="s">
        <v>2636</v>
      </c>
      <c r="D122" s="3252" t="s">
        <v>2637</v>
      </c>
      <c r="E122" s="3275">
        <v>0.1</v>
      </c>
      <c r="F122" s="3274">
        <v>15</v>
      </c>
    </row>
    <row r="123" spans="1:6" s="1025" customFormat="1" ht="24">
      <c r="A123" s="3274">
        <v>51</v>
      </c>
      <c r="B123" s="3907"/>
      <c r="C123" s="3274" t="s">
        <v>2638</v>
      </c>
      <c r="D123" s="3252" t="s">
        <v>2639</v>
      </c>
      <c r="E123" s="3275">
        <v>0.1</v>
      </c>
      <c r="F123" s="3274">
        <v>15</v>
      </c>
    </row>
    <row r="124" spans="1:6" s="1025" customFormat="1" ht="24">
      <c r="A124" s="3274">
        <v>52</v>
      </c>
      <c r="B124" s="3907" t="s">
        <v>2640</v>
      </c>
      <c r="C124" s="3274" t="s">
        <v>2641</v>
      </c>
      <c r="D124" s="3252" t="s">
        <v>2642</v>
      </c>
      <c r="E124" s="3275">
        <v>0.1</v>
      </c>
      <c r="F124" s="3274">
        <v>15</v>
      </c>
    </row>
    <row r="125" spans="1:6" s="1025" customFormat="1" ht="24">
      <c r="A125" s="3274">
        <v>53</v>
      </c>
      <c r="B125" s="3907"/>
      <c r="C125" s="3274" t="s">
        <v>2643</v>
      </c>
      <c r="D125" s="3252" t="s">
        <v>2644</v>
      </c>
      <c r="E125" s="3275">
        <v>0.1</v>
      </c>
      <c r="F125" s="3274">
        <v>15</v>
      </c>
    </row>
    <row r="126" spans="1:6" ht="24">
      <c r="A126" s="3274">
        <v>54</v>
      </c>
      <c r="B126" s="3274" t="s">
        <v>2645</v>
      </c>
      <c r="C126" s="3274" t="s">
        <v>2646</v>
      </c>
      <c r="D126" s="3252" t="s">
        <v>2647</v>
      </c>
      <c r="E126" s="3275">
        <v>0.1</v>
      </c>
      <c r="F126" s="3274">
        <v>15</v>
      </c>
    </row>
    <row r="127" spans="1:6" ht="24">
      <c r="A127" s="3274">
        <v>55</v>
      </c>
      <c r="B127" s="3907" t="s">
        <v>2648</v>
      </c>
      <c r="C127" s="3274" t="s">
        <v>2649</v>
      </c>
      <c r="D127" s="3252" t="s">
        <v>2650</v>
      </c>
      <c r="E127" s="3275">
        <v>0.1</v>
      </c>
      <c r="F127" s="3274">
        <v>15</v>
      </c>
    </row>
    <row r="128" spans="1:6" ht="24">
      <c r="A128" s="3274">
        <v>56</v>
      </c>
      <c r="B128" s="3907"/>
      <c r="C128" s="3274" t="s">
        <v>2651</v>
      </c>
      <c r="D128" s="3252" t="s">
        <v>2652</v>
      </c>
      <c r="E128" s="3275">
        <v>0.1</v>
      </c>
      <c r="F128" s="3274">
        <v>15</v>
      </c>
    </row>
    <row r="129" spans="1:14" ht="24">
      <c r="A129" s="3274">
        <v>57</v>
      </c>
      <c r="B129" s="3907"/>
      <c r="C129" s="3274" t="s">
        <v>2653</v>
      </c>
      <c r="D129" s="3252" t="s">
        <v>2654</v>
      </c>
      <c r="E129" s="3275">
        <v>0.1</v>
      </c>
      <c r="F129" s="3274">
        <v>15</v>
      </c>
    </row>
    <row r="130" spans="1:14" ht="24">
      <c r="A130" s="3274">
        <v>58</v>
      </c>
      <c r="B130" s="3907" t="s">
        <v>2655</v>
      </c>
      <c r="C130" s="3274" t="s">
        <v>2656</v>
      </c>
      <c r="D130" s="3252" t="s">
        <v>2657</v>
      </c>
      <c r="E130" s="3275">
        <v>0.1</v>
      </c>
      <c r="F130" s="3274">
        <v>15</v>
      </c>
    </row>
    <row r="131" spans="1:14" ht="24">
      <c r="A131" s="3274">
        <v>59</v>
      </c>
      <c r="B131" s="3907"/>
      <c r="C131" s="3274" t="s">
        <v>2658</v>
      </c>
      <c r="D131" s="3252" t="s">
        <v>2659</v>
      </c>
      <c r="E131" s="3275">
        <v>0.1</v>
      </c>
      <c r="F131" s="3274">
        <v>15</v>
      </c>
    </row>
    <row r="132" spans="1:14" ht="24">
      <c r="A132" s="3274">
        <v>60</v>
      </c>
      <c r="B132" s="3905" t="s">
        <v>2660</v>
      </c>
      <c r="C132" s="3274" t="s">
        <v>2661</v>
      </c>
      <c r="D132" s="3252" t="s">
        <v>2662</v>
      </c>
      <c r="E132" s="3275">
        <v>0.1</v>
      </c>
      <c r="F132" s="3274">
        <v>15</v>
      </c>
    </row>
    <row r="133" spans="1:14" ht="24">
      <c r="A133" s="3274">
        <v>61</v>
      </c>
      <c r="B133" s="3906"/>
      <c r="C133" s="3274" t="s">
        <v>2663</v>
      </c>
      <c r="D133" s="3252" t="s">
        <v>2664</v>
      </c>
      <c r="E133" s="3275">
        <v>0.1</v>
      </c>
      <c r="F133" s="3274">
        <v>15</v>
      </c>
    </row>
    <row r="134" spans="1:14" ht="24">
      <c r="A134" s="3274">
        <v>62</v>
      </c>
      <c r="B134" s="3274" t="s">
        <v>2665</v>
      </c>
      <c r="C134" s="3274" t="s">
        <v>2666</v>
      </c>
      <c r="D134" s="3252" t="s">
        <v>2667</v>
      </c>
      <c r="E134" s="3275">
        <v>0.1</v>
      </c>
      <c r="F134" s="3274">
        <v>15</v>
      </c>
    </row>
    <row r="135" spans="1:14" ht="24">
      <c r="A135" s="3274">
        <v>63</v>
      </c>
      <c r="B135" s="3907" t="s">
        <v>2668</v>
      </c>
      <c r="C135" s="3274" t="s">
        <v>2669</v>
      </c>
      <c r="D135" s="3252" t="s">
        <v>2670</v>
      </c>
      <c r="E135" s="3275">
        <v>0.1</v>
      </c>
      <c r="F135" s="3274">
        <v>15</v>
      </c>
    </row>
    <row r="136" spans="1:14" ht="24">
      <c r="A136" s="3274">
        <v>64</v>
      </c>
      <c r="B136" s="3907"/>
      <c r="C136" s="3274" t="s">
        <v>2671</v>
      </c>
      <c r="D136" s="3252" t="s">
        <v>2672</v>
      </c>
      <c r="E136" s="3275">
        <v>0.1</v>
      </c>
      <c r="F136" s="3274">
        <v>15</v>
      </c>
    </row>
    <row r="137" spans="1:14" ht="24">
      <c r="A137" s="3274">
        <v>65</v>
      </c>
      <c r="B137" s="3274" t="s">
        <v>2673</v>
      </c>
      <c r="C137" s="3274" t="s">
        <v>2674</v>
      </c>
      <c r="D137" s="3252" t="s">
        <v>2675</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3908" t="s">
        <v>2817</v>
      </c>
      <c r="B1" s="3908"/>
      <c r="C1" s="3908"/>
      <c r="D1" s="3908"/>
      <c r="E1" s="3908"/>
      <c r="F1" s="3908"/>
      <c r="G1" s="3909"/>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2818</v>
      </c>
      <c r="B2" s="3419"/>
      <c r="C2" s="3419"/>
      <c r="D2" s="3419"/>
      <c r="E2" s="3419"/>
      <c r="F2" s="3419"/>
      <c r="G2" s="3414" t="s">
        <v>2819</v>
      </c>
      <c r="J2" s="3443" t="s">
        <v>2825</v>
      </c>
      <c r="K2" s="3423" t="s">
        <v>2827</v>
      </c>
      <c r="L2" s="3423" t="s">
        <v>2829</v>
      </c>
      <c r="M2" s="3423" t="s">
        <v>2835</v>
      </c>
      <c r="N2" s="3423" t="s">
        <v>2845</v>
      </c>
      <c r="O2" s="3423" t="s">
        <v>2860</v>
      </c>
      <c r="P2" s="3423" t="s">
        <v>2897</v>
      </c>
      <c r="Q2" s="3423" t="s">
        <v>2928</v>
      </c>
      <c r="R2" s="3423" t="s">
        <v>2956</v>
      </c>
      <c r="S2" s="3423" t="s">
        <v>2991</v>
      </c>
      <c r="T2" s="3423" t="s">
        <v>3011</v>
      </c>
      <c r="U2" s="3423" t="s">
        <v>3023</v>
      </c>
    </row>
    <row r="3" spans="1:21" s="1012" customFormat="1" ht="19.5" customHeight="1">
      <c r="A3" s="3910" t="s">
        <v>2820</v>
      </c>
      <c r="B3" s="3415"/>
      <c r="C3" s="3416" t="s">
        <v>2797</v>
      </c>
      <c r="D3" s="3416" t="s">
        <v>2821</v>
      </c>
      <c r="E3" s="3416" t="s">
        <v>2799</v>
      </c>
      <c r="F3" s="3416" t="s">
        <v>2822</v>
      </c>
      <c r="G3" s="3416" t="s">
        <v>2740</v>
      </c>
      <c r="H3" s="1015"/>
      <c r="J3" s="3443" t="s">
        <v>2826</v>
      </c>
      <c r="K3" s="3423" t="s">
        <v>973</v>
      </c>
      <c r="L3" s="3423" t="s">
        <v>974</v>
      </c>
      <c r="M3" s="3423" t="s">
        <v>975</v>
      </c>
      <c r="N3" s="3423" t="s">
        <v>976</v>
      </c>
      <c r="O3" s="3423" t="s">
        <v>977</v>
      </c>
      <c r="P3" s="3423" t="s">
        <v>978</v>
      </c>
      <c r="Q3" s="3423" t="s">
        <v>979</v>
      </c>
      <c r="R3" s="3423" t="s">
        <v>980</v>
      </c>
      <c r="S3" s="3423" t="s">
        <v>981</v>
      </c>
      <c r="T3" s="3423" t="s">
        <v>3012</v>
      </c>
      <c r="U3" s="3423" t="s">
        <v>3024</v>
      </c>
    </row>
    <row r="4" spans="1:21" s="1012" customFormat="1" ht="19.5" customHeight="1" thickBot="1">
      <c r="A4" s="3911"/>
      <c r="B4" s="3417" t="s">
        <v>2823</v>
      </c>
      <c r="C4" s="3417" t="s">
        <v>2824</v>
      </c>
      <c r="D4" s="3417" t="s">
        <v>2824</v>
      </c>
      <c r="E4" s="3417" t="s">
        <v>2824</v>
      </c>
      <c r="F4" s="3418" t="s">
        <v>2824</v>
      </c>
      <c r="G4" s="3418" t="s">
        <v>2824</v>
      </c>
      <c r="H4" s="1015"/>
      <c r="J4" s="3443" t="s">
        <v>982</v>
      </c>
      <c r="K4" s="3423" t="s">
        <v>983</v>
      </c>
      <c r="L4" s="3423" t="s">
        <v>984</v>
      </c>
      <c r="M4" s="3423" t="s">
        <v>985</v>
      </c>
      <c r="N4" s="3423" t="s">
        <v>986</v>
      </c>
      <c r="O4" s="3423" t="s">
        <v>987</v>
      </c>
      <c r="P4" s="3423" t="s">
        <v>988</v>
      </c>
      <c r="Q4" s="3423" t="s">
        <v>989</v>
      </c>
      <c r="R4" s="3423" t="s">
        <v>2957</v>
      </c>
      <c r="S4" s="3423" t="s">
        <v>2992</v>
      </c>
      <c r="T4" s="3423" t="s">
        <v>3013</v>
      </c>
      <c r="U4" s="3423" t="s">
        <v>3025</v>
      </c>
    </row>
    <row r="5" spans="1:21" ht="14.25" customHeight="1">
      <c r="A5" s="3420" t="s">
        <v>990</v>
      </c>
      <c r="B5" s="3421" t="s">
        <v>2825</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2958</v>
      </c>
      <c r="S5" s="3423" t="s">
        <v>2993</v>
      </c>
      <c r="T5" s="3423" t="s">
        <v>999</v>
      </c>
      <c r="U5" s="3423" t="s">
        <v>3026</v>
      </c>
    </row>
    <row r="6" spans="1:21" ht="14.25" customHeight="1">
      <c r="A6" s="3423" t="s">
        <v>990</v>
      </c>
      <c r="B6" s="3423" t="s">
        <v>2826</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2929</v>
      </c>
      <c r="R6" s="3423" t="s">
        <v>2959</v>
      </c>
      <c r="S6" s="3423" t="s">
        <v>1008</v>
      </c>
      <c r="T6" s="3423" t="s">
        <v>3014</v>
      </c>
      <c r="U6" s="3423" t="s">
        <v>3027</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2930</v>
      </c>
      <c r="R7" s="3423" t="s">
        <v>2960</v>
      </c>
      <c r="S7" s="3423" t="s">
        <v>2994</v>
      </c>
      <c r="T7" s="3423" t="s">
        <v>3015</v>
      </c>
      <c r="U7" s="1289" t="s">
        <v>3028</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2931</v>
      </c>
      <c r="R8" s="3423" t="s">
        <v>1021</v>
      </c>
      <c r="S8" s="3423" t="s">
        <v>2995</v>
      </c>
      <c r="T8" s="3423" t="s">
        <v>3016</v>
      </c>
      <c r="U8" s="3423" t="s">
        <v>3029</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2932</v>
      </c>
      <c r="R9" s="3423" t="s">
        <v>1029</v>
      </c>
      <c r="S9" s="3423" t="s">
        <v>1030</v>
      </c>
      <c r="T9" s="3423" t="s">
        <v>1047</v>
      </c>
    </row>
    <row r="10" spans="1:21" ht="14.25" customHeight="1">
      <c r="A10" s="3420" t="s">
        <v>1031</v>
      </c>
      <c r="B10" s="3421" t="s">
        <v>2827</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3017</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1700</v>
      </c>
      <c r="K11" s="3423" t="s">
        <v>1041</v>
      </c>
      <c r="L11" s="3423" t="s">
        <v>1042</v>
      </c>
      <c r="M11" s="3423" t="s">
        <v>1043</v>
      </c>
      <c r="N11" s="3423" t="s">
        <v>1044</v>
      </c>
      <c r="O11" s="3423" t="s">
        <v>1045</v>
      </c>
      <c r="P11" s="3423" t="s">
        <v>2898</v>
      </c>
      <c r="Q11" s="3423" t="s">
        <v>1038</v>
      </c>
      <c r="R11" s="3423" t="s">
        <v>1046</v>
      </c>
      <c r="S11" s="3423" t="s">
        <v>2996</v>
      </c>
      <c r="T11" s="3423" t="s">
        <v>3018</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2899</v>
      </c>
      <c r="Q12" s="3423" t="s">
        <v>2933</v>
      </c>
      <c r="R12" s="3423" t="s">
        <v>2961</v>
      </c>
      <c r="S12" s="3423" t="s">
        <v>2997</v>
      </c>
      <c r="T12" s="3423" t="s">
        <v>3019</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2900</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2962</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2901</v>
      </c>
      <c r="Q15" s="3423" t="s">
        <v>2934</v>
      </c>
      <c r="R15" s="3423" t="s">
        <v>1090</v>
      </c>
      <c r="S15" s="3423" t="s">
        <v>2998</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2902</v>
      </c>
      <c r="Q16" s="3423" t="s">
        <v>1075</v>
      </c>
      <c r="R16" s="3423" t="s">
        <v>1098</v>
      </c>
      <c r="S16" s="3423" t="s">
        <v>1054</v>
      </c>
      <c r="T16" s="3423" t="s">
        <v>3020</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2903</v>
      </c>
      <c r="Q17" s="3423" t="s">
        <v>2935</v>
      </c>
      <c r="R17" s="3423" t="s">
        <v>1104</v>
      </c>
      <c r="S17" s="3423" t="s">
        <v>2999</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2904</v>
      </c>
      <c r="Q18" s="3423" t="s">
        <v>1089</v>
      </c>
      <c r="R18" s="3423" t="s">
        <v>2963</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2905</v>
      </c>
      <c r="Q19" s="3423" t="s">
        <v>1097</v>
      </c>
      <c r="R19" s="3423" t="s">
        <v>2964</v>
      </c>
      <c r="S19" s="3423" t="s">
        <v>1113</v>
      </c>
      <c r="T19" s="3423" t="s">
        <v>3021</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2906</v>
      </c>
      <c r="Q20" s="3423" t="s">
        <v>2936</v>
      </c>
      <c r="R20" s="3423" t="s">
        <v>1139</v>
      </c>
      <c r="S20" s="3423" t="s">
        <v>3000</v>
      </c>
      <c r="T20" s="3423" t="s">
        <v>1126</v>
      </c>
    </row>
    <row r="21" spans="1:20" ht="14.25" customHeight="1">
      <c r="A21" s="3423" t="s">
        <v>1031</v>
      </c>
      <c r="B21" s="1289" t="s">
        <v>1055</v>
      </c>
      <c r="C21" s="3423">
        <v>32370</v>
      </c>
      <c r="D21" s="3423">
        <v>26730</v>
      </c>
      <c r="E21" s="3423">
        <v>26640</v>
      </c>
      <c r="F21" s="3429"/>
      <c r="G21" s="3430">
        <v>19440</v>
      </c>
      <c r="K21" s="3432" t="s">
        <v>2828</v>
      </c>
      <c r="L21" s="3423" t="s">
        <v>1115</v>
      </c>
      <c r="M21" s="3423" t="s">
        <v>1116</v>
      </c>
      <c r="N21" s="3423" t="s">
        <v>1117</v>
      </c>
      <c r="O21" s="3423" t="s">
        <v>1118</v>
      </c>
      <c r="P21" s="3423" t="s">
        <v>1112</v>
      </c>
      <c r="Q21" s="3423" t="s">
        <v>1132</v>
      </c>
      <c r="R21" s="3423" t="s">
        <v>1142</v>
      </c>
      <c r="S21" s="3423" t="s">
        <v>3001</v>
      </c>
      <c r="T21" s="3423" t="s">
        <v>3022</v>
      </c>
    </row>
    <row r="22" spans="1:20" ht="14.25" customHeight="1">
      <c r="A22" s="3423" t="s">
        <v>1031</v>
      </c>
      <c r="B22" s="1289" t="s">
        <v>1062</v>
      </c>
      <c r="C22" s="3423">
        <v>29830</v>
      </c>
      <c r="D22" s="3423">
        <v>27600</v>
      </c>
      <c r="E22" s="3423">
        <v>28150</v>
      </c>
      <c r="F22" s="3429"/>
      <c r="G22" s="3430">
        <v>20080</v>
      </c>
      <c r="L22" s="3432" t="s">
        <v>2830</v>
      </c>
      <c r="M22" s="3423" t="s">
        <v>1120</v>
      </c>
      <c r="N22" s="3423" t="s">
        <v>1121</v>
      </c>
      <c r="O22" s="3423" t="s">
        <v>1122</v>
      </c>
      <c r="P22" s="3423" t="s">
        <v>2907</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2831</v>
      </c>
      <c r="M23" s="3423" t="s">
        <v>1127</v>
      </c>
      <c r="N23" s="3423" t="s">
        <v>1128</v>
      </c>
      <c r="O23" s="3423" t="s">
        <v>2861</v>
      </c>
      <c r="P23" s="3423" t="s">
        <v>2908</v>
      </c>
      <c r="Q23" s="3423" t="s">
        <v>1138</v>
      </c>
      <c r="R23" s="3423" t="s">
        <v>1147</v>
      </c>
      <c r="S23" s="3423" t="s">
        <v>3002</v>
      </c>
    </row>
    <row r="24" spans="1:20" ht="14.25" customHeight="1">
      <c r="A24" s="3423" t="s">
        <v>1031</v>
      </c>
      <c r="B24" s="1289" t="s">
        <v>1078</v>
      </c>
      <c r="C24" s="3423">
        <v>27930</v>
      </c>
      <c r="D24" s="3423">
        <v>32260</v>
      </c>
      <c r="E24" s="3423">
        <v>32120</v>
      </c>
      <c r="F24" s="3429"/>
      <c r="G24" s="3430">
        <v>23470</v>
      </c>
      <c r="L24" s="3432" t="s">
        <v>2832</v>
      </c>
      <c r="M24" s="3423" t="s">
        <v>1130</v>
      </c>
      <c r="N24" s="3423" t="s">
        <v>1131</v>
      </c>
      <c r="O24" s="3423" t="s">
        <v>2862</v>
      </c>
      <c r="P24" s="3423" t="s">
        <v>1134</v>
      </c>
      <c r="Q24" s="3423" t="s">
        <v>2937</v>
      </c>
      <c r="R24" s="3423" t="s">
        <v>2965</v>
      </c>
      <c r="S24" s="3423" t="s">
        <v>3003</v>
      </c>
    </row>
    <row r="25" spans="1:20" ht="14.25" customHeight="1">
      <c r="A25" s="3423" t="s">
        <v>1031</v>
      </c>
      <c r="B25" s="1289" t="s">
        <v>1083</v>
      </c>
      <c r="C25" s="3423">
        <v>32230</v>
      </c>
      <c r="D25" s="3423">
        <v>29640</v>
      </c>
      <c r="E25" s="3423">
        <v>29510</v>
      </c>
      <c r="F25" s="3429"/>
      <c r="G25" s="3430">
        <v>21560</v>
      </c>
      <c r="L25" s="3432" t="s">
        <v>2833</v>
      </c>
      <c r="M25" s="3423" t="s">
        <v>2836</v>
      </c>
      <c r="N25" s="3423" t="s">
        <v>1133</v>
      </c>
      <c r="O25" s="3423" t="s">
        <v>1141</v>
      </c>
      <c r="P25" s="3423" t="s">
        <v>1137</v>
      </c>
      <c r="Q25" s="3423" t="s">
        <v>1124</v>
      </c>
      <c r="R25" s="3423" t="s">
        <v>1119</v>
      </c>
      <c r="S25" s="3423" t="s">
        <v>3004</v>
      </c>
    </row>
    <row r="26" spans="1:20" ht="14.25" customHeight="1">
      <c r="A26" s="3423" t="s">
        <v>1031</v>
      </c>
      <c r="B26" s="1289" t="s">
        <v>1092</v>
      </c>
      <c r="C26" s="3423">
        <v>31690</v>
      </c>
      <c r="D26" s="3423">
        <v>27650</v>
      </c>
      <c r="E26" s="3423">
        <v>28200</v>
      </c>
      <c r="F26" s="3429"/>
      <c r="G26" s="3430">
        <v>20110</v>
      </c>
      <c r="L26" s="3432" t="s">
        <v>2834</v>
      </c>
      <c r="M26" s="3423" t="s">
        <v>2837</v>
      </c>
      <c r="N26" s="3423" t="s">
        <v>1136</v>
      </c>
      <c r="O26" s="3423" t="s">
        <v>1143</v>
      </c>
      <c r="P26" s="3423" t="s">
        <v>2909</v>
      </c>
      <c r="Q26" s="3423" t="s">
        <v>2938</v>
      </c>
      <c r="R26" s="3423" t="s">
        <v>1125</v>
      </c>
      <c r="S26" s="3423" t="s">
        <v>3005</v>
      </c>
    </row>
    <row r="27" spans="1:20" ht="14.25" customHeight="1">
      <c r="A27" s="3423" t="s">
        <v>1031</v>
      </c>
      <c r="B27" s="1289" t="s">
        <v>1099</v>
      </c>
      <c r="C27" s="3423">
        <v>29610</v>
      </c>
      <c r="D27" s="3423">
        <v>27770</v>
      </c>
      <c r="E27" s="3423">
        <v>28300</v>
      </c>
      <c r="F27" s="3429"/>
      <c r="G27" s="3430">
        <v>20210</v>
      </c>
      <c r="M27" s="3423" t="s">
        <v>2838</v>
      </c>
      <c r="N27" s="3423" t="s">
        <v>1140</v>
      </c>
      <c r="O27" s="3423" t="s">
        <v>1146</v>
      </c>
      <c r="P27" s="3423" t="s">
        <v>1123</v>
      </c>
      <c r="Q27" s="3423" t="s">
        <v>2939</v>
      </c>
      <c r="R27" s="3423" t="s">
        <v>2966</v>
      </c>
      <c r="S27" s="3423" t="s">
        <v>3006</v>
      </c>
    </row>
    <row r="28" spans="1:20" ht="14.25" customHeight="1">
      <c r="A28" s="3437" t="s">
        <v>1031</v>
      </c>
      <c r="B28" s="2601" t="s">
        <v>1107</v>
      </c>
      <c r="C28" s="1287"/>
      <c r="D28" s="1287">
        <v>31520</v>
      </c>
      <c r="E28" s="1287">
        <v>31410</v>
      </c>
      <c r="F28" s="3434"/>
      <c r="G28" s="3435">
        <v>22940</v>
      </c>
      <c r="M28" s="3423" t="s">
        <v>2839</v>
      </c>
      <c r="N28" s="3423" t="s">
        <v>2846</v>
      </c>
      <c r="O28" s="3423" t="s">
        <v>2863</v>
      </c>
      <c r="P28" s="3423" t="s">
        <v>2910</v>
      </c>
      <c r="Q28" s="3423" t="s">
        <v>2940</v>
      </c>
      <c r="R28" s="3423" t="s">
        <v>2967</v>
      </c>
      <c r="S28" s="3432" t="s">
        <v>3007</v>
      </c>
    </row>
    <row r="29" spans="1:20" ht="14.25" customHeight="1" thickBot="1">
      <c r="A29" s="3438" t="s">
        <v>1031</v>
      </c>
      <c r="B29" s="3426" t="s">
        <v>2828</v>
      </c>
      <c r="C29" s="3426"/>
      <c r="D29" s="3426">
        <v>29460</v>
      </c>
      <c r="E29" s="3426">
        <v>28640</v>
      </c>
      <c r="F29" s="3427"/>
      <c r="G29" s="3439">
        <v>21430</v>
      </c>
      <c r="M29" s="3432" t="s">
        <v>2840</v>
      </c>
      <c r="N29" s="3423" t="s">
        <v>2847</v>
      </c>
      <c r="O29" s="3423" t="s">
        <v>2864</v>
      </c>
      <c r="P29" s="3423" t="s">
        <v>2911</v>
      </c>
      <c r="Q29" s="3423" t="s">
        <v>2941</v>
      </c>
      <c r="R29" s="3423" t="s">
        <v>2968</v>
      </c>
      <c r="S29" s="3432" t="s">
        <v>1129</v>
      </c>
    </row>
    <row r="30" spans="1:20" ht="14.25" customHeight="1">
      <c r="A30" s="3437" t="s">
        <v>1145</v>
      </c>
      <c r="B30" s="1289" t="s">
        <v>2829</v>
      </c>
      <c r="C30" s="1289">
        <v>26890</v>
      </c>
      <c r="D30" s="1289">
        <v>26770</v>
      </c>
      <c r="E30" s="1289">
        <v>25700</v>
      </c>
      <c r="F30" s="3424">
        <v>8180</v>
      </c>
      <c r="G30" s="3424">
        <v>18740</v>
      </c>
      <c r="I30" s="1022"/>
      <c r="M30" s="3432" t="s">
        <v>2841</v>
      </c>
      <c r="N30" s="3423" t="s">
        <v>2848</v>
      </c>
      <c r="O30" s="3423" t="s">
        <v>2865</v>
      </c>
      <c r="P30" s="3423" t="s">
        <v>2912</v>
      </c>
      <c r="Q30" s="3423" t="s">
        <v>2942</v>
      </c>
      <c r="R30" s="3423" t="s">
        <v>2969</v>
      </c>
      <c r="S30" s="3432" t="s">
        <v>3008</v>
      </c>
    </row>
    <row r="31" spans="1:20" ht="14.25" customHeight="1">
      <c r="A31" s="3423" t="s">
        <v>1145</v>
      </c>
      <c r="B31" s="1289" t="s">
        <v>974</v>
      </c>
      <c r="C31" s="3423">
        <v>24550</v>
      </c>
      <c r="D31" s="3423">
        <v>23990</v>
      </c>
      <c r="E31" s="3423">
        <v>22930</v>
      </c>
      <c r="F31" s="3429">
        <v>7470</v>
      </c>
      <c r="G31" s="3429">
        <v>16790</v>
      </c>
      <c r="I31" s="1022"/>
      <c r="M31" s="3432" t="s">
        <v>2842</v>
      </c>
      <c r="N31" s="3423" t="s">
        <v>2849</v>
      </c>
      <c r="O31" s="3423" t="s">
        <v>2866</v>
      </c>
      <c r="P31" s="3423" t="s">
        <v>2913</v>
      </c>
      <c r="Q31" s="3423" t="s">
        <v>2943</v>
      </c>
      <c r="R31" s="3423" t="s">
        <v>2970</v>
      </c>
      <c r="S31" s="3432" t="s">
        <v>3009</v>
      </c>
    </row>
    <row r="32" spans="1:20" ht="14.25" customHeight="1">
      <c r="A32" s="3423" t="s">
        <v>1145</v>
      </c>
      <c r="B32" s="1289" t="s">
        <v>984</v>
      </c>
      <c r="C32" s="3423">
        <v>27210</v>
      </c>
      <c r="D32" s="3423">
        <v>23240</v>
      </c>
      <c r="E32" s="3423">
        <v>23260</v>
      </c>
      <c r="F32" s="3429">
        <v>7130</v>
      </c>
      <c r="G32" s="3429">
        <v>16270</v>
      </c>
      <c r="I32" s="1022"/>
      <c r="M32" s="3432" t="s">
        <v>2843</v>
      </c>
      <c r="N32" s="3423" t="s">
        <v>2850</v>
      </c>
      <c r="O32" s="3423" t="s">
        <v>1149</v>
      </c>
      <c r="P32" s="3423" t="s">
        <v>2914</v>
      </c>
      <c r="Q32" s="3423" t="s">
        <v>1148</v>
      </c>
      <c r="R32" s="3423" t="s">
        <v>2971</v>
      </c>
      <c r="S32" s="3432" t="s">
        <v>3010</v>
      </c>
    </row>
    <row r="33" spans="1:18" ht="14.25" customHeight="1">
      <c r="A33" s="3423" t="s">
        <v>1145</v>
      </c>
      <c r="B33" s="1289" t="s">
        <v>993</v>
      </c>
      <c r="C33" s="3423">
        <v>27300</v>
      </c>
      <c r="D33" s="3423">
        <v>22980</v>
      </c>
      <c r="E33" s="3423">
        <v>24260</v>
      </c>
      <c r="F33" s="3429">
        <v>5860</v>
      </c>
      <c r="G33" s="3429">
        <v>16090</v>
      </c>
      <c r="I33" s="1022"/>
      <c r="M33" s="3432" t="s">
        <v>2844</v>
      </c>
      <c r="N33" s="3423" t="s">
        <v>2851</v>
      </c>
      <c r="O33" s="3423" t="s">
        <v>1150</v>
      </c>
      <c r="P33" s="3423" t="s">
        <v>2915</v>
      </c>
      <c r="Q33" s="3423" t="s">
        <v>2944</v>
      </c>
      <c r="R33" s="3423" t="s">
        <v>2972</v>
      </c>
    </row>
    <row r="34" spans="1:18" ht="14.25" customHeight="1">
      <c r="A34" s="3423" t="s">
        <v>1145</v>
      </c>
      <c r="B34" s="1289" t="s">
        <v>1003</v>
      </c>
      <c r="C34" s="3423">
        <v>23090</v>
      </c>
      <c r="D34" s="3423">
        <v>23390</v>
      </c>
      <c r="E34" s="3423">
        <v>23510</v>
      </c>
      <c r="F34" s="3429">
        <v>6700</v>
      </c>
      <c r="G34" s="3429">
        <v>16370</v>
      </c>
      <c r="I34" s="1022"/>
      <c r="N34" s="3423" t="s">
        <v>2852</v>
      </c>
      <c r="O34" s="3423" t="s">
        <v>1151</v>
      </c>
      <c r="P34" s="3423" t="s">
        <v>2916</v>
      </c>
      <c r="Q34" s="3423" t="s">
        <v>2945</v>
      </c>
      <c r="R34" s="3423" t="s">
        <v>2973</v>
      </c>
    </row>
    <row r="35" spans="1:18" ht="14.25" customHeight="1">
      <c r="A35" s="3423" t="s">
        <v>1145</v>
      </c>
      <c r="B35" s="1289" t="s">
        <v>1010</v>
      </c>
      <c r="C35" s="3423">
        <v>27270</v>
      </c>
      <c r="D35" s="3423">
        <v>24270</v>
      </c>
      <c r="E35" s="3423">
        <v>24950</v>
      </c>
      <c r="F35" s="3429">
        <v>6600</v>
      </c>
      <c r="G35" s="3429">
        <v>16990</v>
      </c>
      <c r="I35" s="1022"/>
      <c r="N35" s="3423" t="s">
        <v>2853</v>
      </c>
      <c r="O35" s="3423" t="s">
        <v>2867</v>
      </c>
      <c r="P35" s="3423" t="s">
        <v>2917</v>
      </c>
      <c r="Q35" s="3423" t="s">
        <v>2946</v>
      </c>
      <c r="R35" s="3423" t="s">
        <v>2974</v>
      </c>
    </row>
    <row r="36" spans="1:18" ht="14.25" customHeight="1">
      <c r="A36" s="3423" t="s">
        <v>1145</v>
      </c>
      <c r="B36" s="1289" t="s">
        <v>1016</v>
      </c>
      <c r="C36" s="3423">
        <v>23490</v>
      </c>
      <c r="D36" s="3423">
        <v>23020</v>
      </c>
      <c r="E36" s="3423">
        <v>25230</v>
      </c>
      <c r="F36" s="3429">
        <v>6780</v>
      </c>
      <c r="G36" s="3429">
        <v>16120</v>
      </c>
      <c r="I36" s="1022"/>
      <c r="N36" s="3432" t="s">
        <v>2854</v>
      </c>
      <c r="O36" s="3460" t="s">
        <v>2868</v>
      </c>
      <c r="P36" s="3423" t="s">
        <v>2918</v>
      </c>
      <c r="Q36" s="3423" t="s">
        <v>2947</v>
      </c>
      <c r="R36" s="3423" t="s">
        <v>2975</v>
      </c>
    </row>
    <row r="37" spans="1:18" ht="14.25" customHeight="1">
      <c r="A37" s="3423" t="s">
        <v>1145</v>
      </c>
      <c r="B37" s="1289" t="s">
        <v>1023</v>
      </c>
      <c r="C37" s="3423">
        <v>24380</v>
      </c>
      <c r="D37" s="3423">
        <v>22240</v>
      </c>
      <c r="E37" s="3423">
        <v>25980</v>
      </c>
      <c r="F37" s="3429">
        <v>8160</v>
      </c>
      <c r="G37" s="3429">
        <v>15570</v>
      </c>
      <c r="I37" s="1023"/>
      <c r="N37" s="3432" t="s">
        <v>2855</v>
      </c>
      <c r="O37" s="3460" t="s">
        <v>2869</v>
      </c>
      <c r="P37" s="3423" t="s">
        <v>2919</v>
      </c>
      <c r="Q37" s="3423" t="s">
        <v>2948</v>
      </c>
      <c r="R37" s="3423" t="s">
        <v>2976</v>
      </c>
    </row>
    <row r="38" spans="1:18" ht="14.25" customHeight="1">
      <c r="A38" s="3423" t="s">
        <v>1145</v>
      </c>
      <c r="B38" s="1289" t="s">
        <v>1033</v>
      </c>
      <c r="C38" s="3423">
        <v>23120</v>
      </c>
      <c r="D38" s="3423">
        <v>24630</v>
      </c>
      <c r="E38" s="3423">
        <v>25030</v>
      </c>
      <c r="F38" s="3429">
        <v>7710</v>
      </c>
      <c r="G38" s="3429">
        <v>17240</v>
      </c>
      <c r="I38" s="1024"/>
      <c r="N38" s="3432" t="s">
        <v>2856</v>
      </c>
      <c r="O38" s="3460" t="s">
        <v>2870</v>
      </c>
      <c r="P38" s="3423" t="s">
        <v>2920</v>
      </c>
      <c r="Q38" s="3423" t="s">
        <v>2949</v>
      </c>
      <c r="R38" s="3423" t="s">
        <v>2977</v>
      </c>
    </row>
    <row r="39" spans="1:18" ht="14.25" customHeight="1">
      <c r="A39" s="3423" t="s">
        <v>1145</v>
      </c>
      <c r="B39" s="1289" t="s">
        <v>1042</v>
      </c>
      <c r="C39" s="3423">
        <v>22330</v>
      </c>
      <c r="D39" s="3423">
        <v>21140</v>
      </c>
      <c r="E39" s="3423">
        <v>23970</v>
      </c>
      <c r="F39" s="3429">
        <v>7940</v>
      </c>
      <c r="G39" s="3429">
        <v>14790</v>
      </c>
      <c r="I39" s="1024"/>
      <c r="N39" s="3432" t="s">
        <v>2857</v>
      </c>
      <c r="O39" s="3460" t="s">
        <v>2871</v>
      </c>
      <c r="P39" s="3423" t="s">
        <v>2921</v>
      </c>
      <c r="Q39" s="3423" t="s">
        <v>2950</v>
      </c>
      <c r="R39" s="3423" t="s">
        <v>2978</v>
      </c>
    </row>
    <row r="40" spans="1:18" ht="14.25" customHeight="1">
      <c r="A40" s="3423" t="s">
        <v>1145</v>
      </c>
      <c r="B40" s="1289" t="s">
        <v>1049</v>
      </c>
      <c r="C40" s="3423">
        <v>24740</v>
      </c>
      <c r="D40" s="3423">
        <v>24690</v>
      </c>
      <c r="E40" s="3423">
        <v>22610</v>
      </c>
      <c r="F40" s="3429"/>
      <c r="G40" s="3429">
        <v>17280</v>
      </c>
      <c r="I40" s="1024"/>
      <c r="N40" s="3432" t="s">
        <v>2858</v>
      </c>
      <c r="O40" s="3460" t="s">
        <v>2872</v>
      </c>
      <c r="P40" s="3423" t="s">
        <v>2922</v>
      </c>
      <c r="Q40" s="3423" t="s">
        <v>2951</v>
      </c>
      <c r="R40" s="3423" t="s">
        <v>2979</v>
      </c>
    </row>
    <row r="41" spans="1:18" ht="14.25" customHeight="1">
      <c r="A41" s="3423" t="s">
        <v>1145</v>
      </c>
      <c r="B41" s="1289" t="s">
        <v>1056</v>
      </c>
      <c r="C41" s="3423">
        <v>21220</v>
      </c>
      <c r="D41" s="3423">
        <v>21120</v>
      </c>
      <c r="E41" s="3423">
        <v>22590</v>
      </c>
      <c r="F41" s="3429"/>
      <c r="G41" s="3429">
        <v>14780</v>
      </c>
      <c r="I41" s="1024"/>
      <c r="N41" s="3432" t="s">
        <v>2859</v>
      </c>
      <c r="O41" s="3461" t="s">
        <v>2873</v>
      </c>
      <c r="P41" s="1289" t="s">
        <v>2923</v>
      </c>
      <c r="Q41" s="3432" t="s">
        <v>2952</v>
      </c>
      <c r="R41" s="1289" t="s">
        <v>2980</v>
      </c>
    </row>
    <row r="42" spans="1:18" ht="14.25" customHeight="1">
      <c r="A42" s="3423" t="s">
        <v>1145</v>
      </c>
      <c r="B42" s="1289" t="s">
        <v>1063</v>
      </c>
      <c r="C42" s="3423">
        <v>24800</v>
      </c>
      <c r="D42" s="3423">
        <v>22280</v>
      </c>
      <c r="E42" s="3423">
        <v>24350</v>
      </c>
      <c r="F42" s="3429"/>
      <c r="G42" s="3429">
        <v>15590</v>
      </c>
      <c r="I42" s="1024"/>
      <c r="O42" s="3423" t="s">
        <v>2874</v>
      </c>
      <c r="P42" s="3423" t="s">
        <v>2924</v>
      </c>
      <c r="Q42" s="3432" t="s">
        <v>2953</v>
      </c>
      <c r="R42" s="3423" t="s">
        <v>2981</v>
      </c>
    </row>
    <row r="43" spans="1:18" ht="14.25" customHeight="1">
      <c r="A43" s="3423" t="s">
        <v>1145</v>
      </c>
      <c r="B43" s="1289" t="s">
        <v>1071</v>
      </c>
      <c r="C43" s="3423">
        <v>21210</v>
      </c>
      <c r="D43" s="3423">
        <v>21160</v>
      </c>
      <c r="E43" s="3423">
        <v>22650</v>
      </c>
      <c r="F43" s="3429"/>
      <c r="G43" s="3429">
        <v>14800</v>
      </c>
      <c r="I43" s="1024"/>
      <c r="O43" s="3423" t="s">
        <v>2875</v>
      </c>
      <c r="P43" s="3423" t="s">
        <v>2925</v>
      </c>
      <c r="Q43" s="3432" t="s">
        <v>2954</v>
      </c>
      <c r="R43" s="3423" t="s">
        <v>2982</v>
      </c>
    </row>
    <row r="44" spans="1:18" ht="14.25" customHeight="1">
      <c r="A44" s="3423" t="s">
        <v>1145</v>
      </c>
      <c r="B44" s="1289" t="s">
        <v>1079</v>
      </c>
      <c r="C44" s="3423">
        <v>22370</v>
      </c>
      <c r="D44" s="3423">
        <v>23140</v>
      </c>
      <c r="E44" s="3423">
        <v>25090</v>
      </c>
      <c r="F44" s="3429"/>
      <c r="G44" s="3429">
        <v>16190</v>
      </c>
      <c r="I44" s="1024"/>
      <c r="O44" s="3423" t="s">
        <v>2876</v>
      </c>
      <c r="P44" s="3423" t="s">
        <v>2926</v>
      </c>
      <c r="Q44" s="3432" t="s">
        <v>2955</v>
      </c>
      <c r="R44" s="3423" t="s">
        <v>2983</v>
      </c>
    </row>
    <row r="45" spans="1:18" ht="14.25" customHeight="1">
      <c r="A45" s="3423" t="s">
        <v>1145</v>
      </c>
      <c r="B45" s="1289" t="s">
        <v>1084</v>
      </c>
      <c r="C45" s="3423">
        <v>21240</v>
      </c>
      <c r="D45" s="3423">
        <v>27050</v>
      </c>
      <c r="E45" s="3423">
        <v>28000</v>
      </c>
      <c r="F45" s="3429"/>
      <c r="G45" s="3429">
        <v>18940</v>
      </c>
      <c r="I45" s="1022"/>
      <c r="O45" s="3423" t="s">
        <v>2877</v>
      </c>
      <c r="P45" s="3423" t="s">
        <v>2927</v>
      </c>
      <c r="R45" s="3423" t="s">
        <v>2984</v>
      </c>
    </row>
    <row r="46" spans="1:18" ht="14.25" customHeight="1">
      <c r="A46" s="3423" t="s">
        <v>1145</v>
      </c>
      <c r="B46" s="1289" t="s">
        <v>1093</v>
      </c>
      <c r="C46" s="3423">
        <v>23240</v>
      </c>
      <c r="D46" s="3423">
        <v>23000</v>
      </c>
      <c r="E46" s="3423">
        <v>24980</v>
      </c>
      <c r="F46" s="3429"/>
      <c r="G46" s="3429">
        <v>16100</v>
      </c>
      <c r="I46" s="1024"/>
      <c r="O46" s="3423" t="s">
        <v>2878</v>
      </c>
      <c r="P46" s="3423"/>
      <c r="R46" s="3423" t="s">
        <v>2985</v>
      </c>
    </row>
    <row r="47" spans="1:18" ht="14.25" customHeight="1">
      <c r="A47" s="3423" t="s">
        <v>1145</v>
      </c>
      <c r="B47" s="2601" t="s">
        <v>1100</v>
      </c>
      <c r="C47" s="1287">
        <v>27150</v>
      </c>
      <c r="D47" s="1287">
        <v>23310</v>
      </c>
      <c r="E47" s="1287">
        <v>25150</v>
      </c>
      <c r="F47" s="3434"/>
      <c r="G47" s="3434">
        <v>16310</v>
      </c>
      <c r="I47" s="1024"/>
      <c r="O47" s="3423" t="s">
        <v>2879</v>
      </c>
      <c r="P47" s="3423"/>
      <c r="R47" s="3432" t="s">
        <v>2986</v>
      </c>
    </row>
    <row r="48" spans="1:18" ht="14.25" customHeight="1">
      <c r="A48" s="3423" t="s">
        <v>1145</v>
      </c>
      <c r="B48" s="3423" t="s">
        <v>1108</v>
      </c>
      <c r="C48" s="3423">
        <v>23100</v>
      </c>
      <c r="D48" s="3423">
        <v>21110</v>
      </c>
      <c r="E48" s="3423">
        <v>23080</v>
      </c>
      <c r="F48" s="3429"/>
      <c r="G48" s="3436">
        <v>14780</v>
      </c>
      <c r="I48" s="1022"/>
      <c r="O48" s="3423" t="s">
        <v>2880</v>
      </c>
      <c r="P48" s="3423"/>
      <c r="R48" s="3432" t="s">
        <v>2987</v>
      </c>
    </row>
    <row r="49" spans="1:18" ht="14.25" customHeight="1">
      <c r="A49" s="3423" t="s">
        <v>1145</v>
      </c>
      <c r="B49" s="1289" t="s">
        <v>1115</v>
      </c>
      <c r="C49" s="1289">
        <v>23400</v>
      </c>
      <c r="D49" s="1289">
        <v>22920</v>
      </c>
      <c r="E49" s="1289">
        <v>24900</v>
      </c>
      <c r="F49" s="3424"/>
      <c r="G49" s="3424">
        <v>16040</v>
      </c>
      <c r="I49" s="1024"/>
      <c r="O49" s="3423" t="s">
        <v>2881</v>
      </c>
      <c r="P49" s="3423"/>
      <c r="R49" s="3432" t="s">
        <v>2988</v>
      </c>
    </row>
    <row r="50" spans="1:18" ht="14.25" customHeight="1">
      <c r="A50" s="3423" t="s">
        <v>1145</v>
      </c>
      <c r="B50" s="3423" t="s">
        <v>2830</v>
      </c>
      <c r="C50" s="3423">
        <v>21200</v>
      </c>
      <c r="D50" s="3423">
        <v>26540</v>
      </c>
      <c r="E50" s="3423">
        <v>23200</v>
      </c>
      <c r="F50" s="3429"/>
      <c r="G50" s="3429">
        <v>18580</v>
      </c>
      <c r="I50" s="1024"/>
      <c r="O50" s="3432" t="s">
        <v>2882</v>
      </c>
      <c r="R50" s="3432" t="s">
        <v>2989</v>
      </c>
    </row>
    <row r="51" spans="1:18" ht="14.25" customHeight="1">
      <c r="A51" s="3423" t="s">
        <v>1145</v>
      </c>
      <c r="B51" s="3423" t="s">
        <v>2831</v>
      </c>
      <c r="C51" s="3423">
        <v>23000</v>
      </c>
      <c r="D51" s="3423">
        <v>23460</v>
      </c>
      <c r="E51" s="3423">
        <v>25290</v>
      </c>
      <c r="F51" s="3429"/>
      <c r="G51" s="3429">
        <v>16420</v>
      </c>
      <c r="I51" s="1024"/>
      <c r="O51" s="3432" t="s">
        <v>2883</v>
      </c>
      <c r="R51" s="3432" t="s">
        <v>2990</v>
      </c>
    </row>
    <row r="52" spans="1:18" ht="14.25" customHeight="1">
      <c r="A52" s="3423" t="s">
        <v>1145</v>
      </c>
      <c r="B52" s="3423" t="s">
        <v>2832</v>
      </c>
      <c r="C52" s="3423">
        <v>26660</v>
      </c>
      <c r="D52" s="3423">
        <v>22350</v>
      </c>
      <c r="E52" s="3423">
        <v>22920</v>
      </c>
      <c r="F52" s="3429"/>
      <c r="G52" s="3429">
        <v>15640</v>
      </c>
      <c r="I52" s="1024"/>
      <c r="O52" s="3432" t="s">
        <v>2884</v>
      </c>
    </row>
    <row r="53" spans="1:18" ht="14.25" customHeight="1">
      <c r="A53" s="3423" t="s">
        <v>1145</v>
      </c>
      <c r="B53" s="3423" t="s">
        <v>2833</v>
      </c>
      <c r="C53" s="3423">
        <v>23580</v>
      </c>
      <c r="D53" s="3423"/>
      <c r="E53" s="3423">
        <v>24280</v>
      </c>
      <c r="F53" s="3429"/>
      <c r="G53" s="3429"/>
      <c r="I53" s="1024"/>
      <c r="O53" s="3432" t="s">
        <v>2885</v>
      </c>
    </row>
    <row r="54" spans="1:18" ht="14.25" customHeight="1" thickBot="1">
      <c r="A54" s="3438" t="s">
        <v>1145</v>
      </c>
      <c r="B54" s="3426" t="s">
        <v>2834</v>
      </c>
      <c r="C54" s="3426">
        <v>22460</v>
      </c>
      <c r="D54" s="3426"/>
      <c r="E54" s="3426"/>
      <c r="F54" s="3427"/>
      <c r="G54" s="3439"/>
      <c r="I54" s="1024"/>
      <c r="O54" s="3432" t="s">
        <v>2886</v>
      </c>
    </row>
    <row r="55" spans="1:18" ht="14.25" customHeight="1">
      <c r="A55" s="3437" t="s">
        <v>853</v>
      </c>
      <c r="B55" s="1289" t="s">
        <v>2835</v>
      </c>
      <c r="C55" s="1289">
        <v>21970</v>
      </c>
      <c r="D55" s="1289">
        <v>20370</v>
      </c>
      <c r="E55" s="1289">
        <v>20180</v>
      </c>
      <c r="F55" s="3424">
        <v>5730</v>
      </c>
      <c r="G55" s="3424">
        <v>13820</v>
      </c>
      <c r="I55" s="1024"/>
      <c r="O55" s="3432" t="s">
        <v>2887</v>
      </c>
    </row>
    <row r="56" spans="1:18" ht="14.25" customHeight="1">
      <c r="A56" s="3423" t="s">
        <v>853</v>
      </c>
      <c r="B56" s="3423" t="s">
        <v>975</v>
      </c>
      <c r="C56" s="3423">
        <v>20470</v>
      </c>
      <c r="D56" s="3423">
        <v>20700</v>
      </c>
      <c r="E56" s="3423">
        <v>20380</v>
      </c>
      <c r="F56" s="3429">
        <v>4760</v>
      </c>
      <c r="G56" s="3429">
        <v>14050</v>
      </c>
      <c r="I56" s="1024"/>
      <c r="O56" s="3432" t="s">
        <v>2888</v>
      </c>
    </row>
    <row r="57" spans="1:18" ht="14.25" customHeight="1">
      <c r="A57" s="3423" t="s">
        <v>853</v>
      </c>
      <c r="B57" s="3423" t="s">
        <v>985</v>
      </c>
      <c r="C57" s="3423">
        <v>20790</v>
      </c>
      <c r="D57" s="3423">
        <v>21370</v>
      </c>
      <c r="E57" s="3423">
        <v>20890</v>
      </c>
      <c r="F57" s="3429">
        <v>4910</v>
      </c>
      <c r="G57" s="3429">
        <v>14510</v>
      </c>
      <c r="I57" s="1024"/>
      <c r="O57" s="3432" t="s">
        <v>2889</v>
      </c>
    </row>
    <row r="58" spans="1:18" ht="14.25" customHeight="1">
      <c r="A58" s="3423" t="s">
        <v>853</v>
      </c>
      <c r="B58" s="3423" t="s">
        <v>994</v>
      </c>
      <c r="C58" s="3423">
        <v>21460</v>
      </c>
      <c r="D58" s="3423">
        <v>20920</v>
      </c>
      <c r="E58" s="3423">
        <v>23410</v>
      </c>
      <c r="F58" s="3429">
        <v>5100</v>
      </c>
      <c r="G58" s="3429">
        <v>14200</v>
      </c>
      <c r="I58" s="1024"/>
      <c r="O58" s="3432" t="s">
        <v>2890</v>
      </c>
    </row>
    <row r="59" spans="1:18" ht="14.25" customHeight="1">
      <c r="A59" s="3423" t="s">
        <v>853</v>
      </c>
      <c r="B59" s="3423" t="s">
        <v>1004</v>
      </c>
      <c r="C59" s="3423">
        <v>21000</v>
      </c>
      <c r="D59" s="3423">
        <v>21550</v>
      </c>
      <c r="E59" s="3423">
        <v>21150</v>
      </c>
      <c r="F59" s="3429">
        <v>5250</v>
      </c>
      <c r="G59" s="3429">
        <v>14630</v>
      </c>
      <c r="I59" s="1024"/>
      <c r="O59" s="3432" t="s">
        <v>2891</v>
      </c>
    </row>
    <row r="60" spans="1:18" ht="14.25" customHeight="1">
      <c r="A60" s="3423" t="s">
        <v>853</v>
      </c>
      <c r="B60" s="3423" t="s">
        <v>1011</v>
      </c>
      <c r="C60" s="3423">
        <v>21640</v>
      </c>
      <c r="D60" s="3423">
        <v>21260</v>
      </c>
      <c r="E60" s="3423">
        <v>24040</v>
      </c>
      <c r="F60" s="3429">
        <v>4470</v>
      </c>
      <c r="G60" s="3429">
        <v>14430</v>
      </c>
      <c r="I60" s="1024"/>
      <c r="O60" s="3432" t="s">
        <v>2892</v>
      </c>
    </row>
    <row r="61" spans="1:18" ht="14.25" customHeight="1">
      <c r="A61" s="3423" t="s">
        <v>853</v>
      </c>
      <c r="B61" s="3423" t="s">
        <v>1017</v>
      </c>
      <c r="C61" s="3423">
        <v>21330</v>
      </c>
      <c r="D61" s="3423">
        <v>18640</v>
      </c>
      <c r="E61" s="3423">
        <v>21190</v>
      </c>
      <c r="F61" s="3429">
        <v>4180</v>
      </c>
      <c r="G61" s="3431">
        <v>12650</v>
      </c>
      <c r="I61" s="1024"/>
      <c r="O61" s="3432" t="s">
        <v>2893</v>
      </c>
    </row>
    <row r="62" spans="1:18" ht="14.25" customHeight="1">
      <c r="A62" s="3423" t="s">
        <v>853</v>
      </c>
      <c r="B62" s="3423" t="s">
        <v>1024</v>
      </c>
      <c r="C62" s="3423">
        <v>18710</v>
      </c>
      <c r="D62" s="3423">
        <v>19400</v>
      </c>
      <c r="E62" s="3423">
        <v>23750</v>
      </c>
      <c r="F62" s="3429">
        <v>4860</v>
      </c>
      <c r="G62" s="3431">
        <v>13170</v>
      </c>
      <c r="I62" s="1024"/>
      <c r="O62" s="3432" t="s">
        <v>2894</v>
      </c>
    </row>
    <row r="63" spans="1:18" ht="14.25" customHeight="1">
      <c r="A63" s="3423" t="s">
        <v>853</v>
      </c>
      <c r="B63" s="3423" t="s">
        <v>1034</v>
      </c>
      <c r="C63" s="3423">
        <v>19480</v>
      </c>
      <c r="D63" s="3423">
        <v>16830</v>
      </c>
      <c r="E63" s="3423">
        <v>21590</v>
      </c>
      <c r="F63" s="3429">
        <v>4560</v>
      </c>
      <c r="G63" s="3431">
        <v>11420</v>
      </c>
      <c r="I63" s="1024"/>
      <c r="O63" s="3432" t="s">
        <v>2895</v>
      </c>
    </row>
    <row r="64" spans="1:18" ht="14.25" customHeight="1">
      <c r="A64" s="3423" t="s">
        <v>853</v>
      </c>
      <c r="B64" s="3423" t="s">
        <v>1043</v>
      </c>
      <c r="C64" s="3423">
        <v>16920</v>
      </c>
      <c r="D64" s="3423">
        <v>19190</v>
      </c>
      <c r="E64" s="3423">
        <v>22200</v>
      </c>
      <c r="F64" s="3429">
        <v>4390</v>
      </c>
      <c r="G64" s="3431">
        <v>13030</v>
      </c>
      <c r="I64" s="1024"/>
      <c r="O64" s="3432" t="s">
        <v>2896</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2836</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2837</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2838</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2839</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2840</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2841</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2842</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2843</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2844</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2845</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2846</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2847</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2848</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2849</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2850</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2851</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2852</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2853</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2854</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2855</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2856</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2857</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2858</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2859</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2860</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2861</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2862</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2863</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2864</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2865</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2866</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2867</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2868</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2869</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2870</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2871</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2872</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2873</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2874</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2875</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2876</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2877</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2878</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2879</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2880</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2881</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2882</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2883</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2884</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2885</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2886</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2887</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2888</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2889</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2890</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2891</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2892</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2893</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2894</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2895</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2896</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2897</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2898</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2899</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2900</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2901</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2902</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2903</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2904</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2905</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2906</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2907</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2908</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2909</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2910</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2911</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2912</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2913</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2914</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2915</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2916</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2917</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2918</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2919</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2920</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2921</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2922</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2923</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2924</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2925</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2926</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2927</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2928</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2929</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2930</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2931</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2932</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2933</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2934</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2935</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2936</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2937</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2938</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2939</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2940</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2941</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2942</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2943</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2944</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2945</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2946</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2947</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2948</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2949</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2950</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2951</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2952</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2953</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2954</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2955</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2956</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2957</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2958</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2959</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2960</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2961</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2962</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2963</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2964</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2965</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2966</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2967</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2968</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2969</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2970</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2971</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2972</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2973</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2974</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2975</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2976</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2977</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2978</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2979</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2980</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2981</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2982</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2983</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2984</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2985</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2986</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2987</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2988</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2989</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2990</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2991</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2992</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2993</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2994</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2995</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2996</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2997</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2998</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2999</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3000</v>
      </c>
      <c r="C345" s="3432">
        <v>3190</v>
      </c>
      <c r="D345" s="3432">
        <v>3140</v>
      </c>
      <c r="E345" s="3432">
        <v>3450</v>
      </c>
      <c r="F345" s="3432">
        <v>720</v>
      </c>
      <c r="G345" s="3432">
        <v>1880</v>
      </c>
      <c r="H345" s="3445"/>
    </row>
    <row r="346" spans="1:21">
      <c r="A346" s="3432" t="s">
        <v>1157</v>
      </c>
      <c r="B346" s="3432" t="s">
        <v>3001</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3002</v>
      </c>
      <c r="C348" s="3432">
        <v>4000</v>
      </c>
      <c r="D348" s="3432">
        <v>3950</v>
      </c>
      <c r="E348" s="3432">
        <v>4430</v>
      </c>
      <c r="F348" s="3432">
        <v>760</v>
      </c>
      <c r="G348" s="3432">
        <v>2360</v>
      </c>
      <c r="H348" s="3445"/>
    </row>
    <row r="349" spans="1:21">
      <c r="A349" s="3432" t="s">
        <v>1157</v>
      </c>
      <c r="B349" s="3432" t="s">
        <v>3003</v>
      </c>
      <c r="C349" s="3432">
        <v>3820</v>
      </c>
      <c r="D349" s="3432">
        <v>3780</v>
      </c>
      <c r="E349" s="3432">
        <v>4170</v>
      </c>
      <c r="F349" s="3432">
        <v>710</v>
      </c>
      <c r="G349" s="3432">
        <v>2260</v>
      </c>
      <c r="H349" s="3445"/>
    </row>
    <row r="350" spans="1:21">
      <c r="A350" s="3432" t="s">
        <v>1157</v>
      </c>
      <c r="B350" s="3432" t="s">
        <v>3004</v>
      </c>
      <c r="C350" s="3432">
        <v>3760</v>
      </c>
      <c r="D350" s="3432">
        <v>3730</v>
      </c>
      <c r="E350" s="3432">
        <v>4100</v>
      </c>
      <c r="F350" s="3432">
        <v>800</v>
      </c>
      <c r="G350" s="3432">
        <v>2230</v>
      </c>
      <c r="H350" s="3445"/>
    </row>
    <row r="351" spans="1:21">
      <c r="A351" s="3432" t="s">
        <v>1157</v>
      </c>
      <c r="B351" s="3432" t="s">
        <v>3005</v>
      </c>
      <c r="C351" s="3432">
        <v>3610</v>
      </c>
      <c r="D351" s="3432">
        <v>3580</v>
      </c>
      <c r="E351" s="3432">
        <v>3930</v>
      </c>
      <c r="F351" s="3432">
        <v>700</v>
      </c>
      <c r="G351" s="3432">
        <v>2140</v>
      </c>
      <c r="H351" s="3445"/>
    </row>
    <row r="352" spans="1:21">
      <c r="A352" s="3432" t="s">
        <v>1157</v>
      </c>
      <c r="B352" s="3432" t="s">
        <v>3006</v>
      </c>
      <c r="C352" s="3432">
        <v>3670</v>
      </c>
      <c r="D352" s="3432">
        <v>3630</v>
      </c>
      <c r="E352" s="3432">
        <v>4000</v>
      </c>
      <c r="F352" s="3432">
        <v>750</v>
      </c>
      <c r="G352" s="3432">
        <v>2180</v>
      </c>
      <c r="H352" s="3445"/>
    </row>
    <row r="353" spans="1:8">
      <c r="A353" s="3432" t="s">
        <v>1157</v>
      </c>
      <c r="B353" s="3432" t="s">
        <v>3007</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3008</v>
      </c>
      <c r="C355" s="3432">
        <v>3650</v>
      </c>
      <c r="D355" s="3432">
        <v>3610</v>
      </c>
      <c r="E355" s="3432">
        <v>4200</v>
      </c>
      <c r="F355" s="3432">
        <v>640</v>
      </c>
      <c r="G355" s="3432">
        <v>2160</v>
      </c>
      <c r="H355" s="3445"/>
    </row>
    <row r="356" spans="1:8">
      <c r="A356" s="3432" t="s">
        <v>1157</v>
      </c>
      <c r="B356" s="3432" t="s">
        <v>3009</v>
      </c>
      <c r="C356" s="3432">
        <v>3260</v>
      </c>
      <c r="D356" s="3432">
        <v>3230</v>
      </c>
      <c r="E356" s="3432">
        <v>3740</v>
      </c>
      <c r="F356" s="3432">
        <v>600</v>
      </c>
      <c r="G356" s="3432">
        <v>1930</v>
      </c>
      <c r="H356" s="3445"/>
    </row>
    <row r="357" spans="1:8" ht="15" thickBot="1">
      <c r="A357" s="3448" t="s">
        <v>1157</v>
      </c>
      <c r="B357" s="3448" t="s">
        <v>3010</v>
      </c>
      <c r="C357" s="3448">
        <v>3690</v>
      </c>
      <c r="D357" s="3448">
        <v>3650</v>
      </c>
      <c r="E357" s="3448">
        <v>4020</v>
      </c>
      <c r="F357" s="3448">
        <v>700</v>
      </c>
      <c r="G357" s="3448">
        <v>2190</v>
      </c>
      <c r="H357" s="3445"/>
    </row>
    <row r="358" spans="1:8">
      <c r="A358" s="3449" t="s">
        <v>2765</v>
      </c>
      <c r="B358" s="3450" t="s">
        <v>3011</v>
      </c>
      <c r="C358" s="3450">
        <v>2080</v>
      </c>
      <c r="D358" s="3450">
        <v>2040</v>
      </c>
      <c r="E358" s="3450">
        <v>2010</v>
      </c>
      <c r="F358" s="3450">
        <v>530</v>
      </c>
      <c r="G358" s="3451">
        <v>1230</v>
      </c>
      <c r="H358" s="3445"/>
    </row>
    <row r="359" spans="1:8">
      <c r="A359" s="3452" t="s">
        <v>2765</v>
      </c>
      <c r="B359" s="3432" t="s">
        <v>3012</v>
      </c>
      <c r="C359" s="3432">
        <v>1850</v>
      </c>
      <c r="D359" s="3432">
        <v>1820</v>
      </c>
      <c r="E359" s="3432">
        <v>1780</v>
      </c>
      <c r="F359" s="3432">
        <v>520</v>
      </c>
      <c r="G359" s="3444">
        <v>1100</v>
      </c>
      <c r="H359" s="3445"/>
    </row>
    <row r="360" spans="1:8">
      <c r="A360" s="3452" t="s">
        <v>2765</v>
      </c>
      <c r="B360" s="3432" t="s">
        <v>3013</v>
      </c>
      <c r="C360" s="3432">
        <v>2020</v>
      </c>
      <c r="D360" s="3432">
        <v>1990</v>
      </c>
      <c r="E360" s="3432">
        <v>1950</v>
      </c>
      <c r="F360" s="3432">
        <v>500</v>
      </c>
      <c r="G360" s="3444">
        <v>1200</v>
      </c>
      <c r="H360" s="3445"/>
    </row>
    <row r="361" spans="1:8">
      <c r="A361" s="3452" t="s">
        <v>2765</v>
      </c>
      <c r="B361" s="3432" t="s">
        <v>999</v>
      </c>
      <c r="C361" s="3432">
        <v>2260</v>
      </c>
      <c r="D361" s="3432">
        <v>2220</v>
      </c>
      <c r="E361" s="3432">
        <v>2180</v>
      </c>
      <c r="F361" s="3432">
        <v>580</v>
      </c>
      <c r="G361" s="3444">
        <v>1340</v>
      </c>
      <c r="H361" s="3445"/>
    </row>
    <row r="362" spans="1:8">
      <c r="A362" s="3452" t="s">
        <v>2765</v>
      </c>
      <c r="B362" s="3432" t="s">
        <v>3014</v>
      </c>
      <c r="C362" s="3432">
        <v>2650</v>
      </c>
      <c r="D362" s="3432">
        <v>2610</v>
      </c>
      <c r="E362" s="3432">
        <v>2570</v>
      </c>
      <c r="F362" s="3432">
        <v>630</v>
      </c>
      <c r="G362" s="3444">
        <v>1570</v>
      </c>
      <c r="H362" s="3445"/>
    </row>
    <row r="363" spans="1:8">
      <c r="A363" s="3452" t="s">
        <v>2765</v>
      </c>
      <c r="B363" s="3432" t="s">
        <v>3015</v>
      </c>
      <c r="C363" s="3432">
        <v>2390</v>
      </c>
      <c r="D363" s="3432">
        <v>2360</v>
      </c>
      <c r="E363" s="3432">
        <v>2320</v>
      </c>
      <c r="F363" s="3432">
        <v>600</v>
      </c>
      <c r="G363" s="3444">
        <v>1420</v>
      </c>
      <c r="H363" s="3445"/>
    </row>
    <row r="364" spans="1:8">
      <c r="A364" s="3452" t="s">
        <v>2765</v>
      </c>
      <c r="B364" s="3432" t="s">
        <v>3016</v>
      </c>
      <c r="C364" s="3432">
        <v>2050</v>
      </c>
      <c r="D364" s="3432">
        <v>2030</v>
      </c>
      <c r="E364" s="3432">
        <v>1990</v>
      </c>
      <c r="F364" s="3432">
        <v>550</v>
      </c>
      <c r="G364" s="3444">
        <v>1220</v>
      </c>
      <c r="H364" s="3445"/>
    </row>
    <row r="365" spans="1:8">
      <c r="A365" s="3452" t="s">
        <v>2765</v>
      </c>
      <c r="B365" s="3432" t="s">
        <v>1047</v>
      </c>
      <c r="C365" s="3432">
        <v>2140</v>
      </c>
      <c r="D365" s="3432">
        <v>2100</v>
      </c>
      <c r="E365" s="3432">
        <v>2060</v>
      </c>
      <c r="F365" s="3432">
        <v>540</v>
      </c>
      <c r="G365" s="3444">
        <v>1270</v>
      </c>
      <c r="H365" s="3445"/>
    </row>
    <row r="366" spans="1:8">
      <c r="A366" s="3452" t="s">
        <v>2765</v>
      </c>
      <c r="B366" s="3432" t="s">
        <v>3017</v>
      </c>
      <c r="C366" s="3432">
        <v>2410</v>
      </c>
      <c r="D366" s="3432">
        <v>2370</v>
      </c>
      <c r="E366" s="3432">
        <v>2330</v>
      </c>
      <c r="F366" s="3432">
        <v>570</v>
      </c>
      <c r="G366" s="3444">
        <v>1440</v>
      </c>
      <c r="H366" s="3445"/>
    </row>
    <row r="367" spans="1:8">
      <c r="A367" s="3452" t="s">
        <v>2765</v>
      </c>
      <c r="B367" s="3432" t="s">
        <v>3018</v>
      </c>
      <c r="C367" s="3432">
        <v>2300</v>
      </c>
      <c r="D367" s="3432">
        <v>2260</v>
      </c>
      <c r="E367" s="3432">
        <v>2220</v>
      </c>
      <c r="F367" s="3432">
        <v>560</v>
      </c>
      <c r="G367" s="3444">
        <v>1370</v>
      </c>
      <c r="H367" s="3445"/>
    </row>
    <row r="368" spans="1:8">
      <c r="A368" s="3452" t="s">
        <v>2765</v>
      </c>
      <c r="B368" s="3432" t="s">
        <v>3019</v>
      </c>
      <c r="C368" s="3432">
        <v>2430</v>
      </c>
      <c r="D368" s="3432">
        <v>2390</v>
      </c>
      <c r="E368" s="3432">
        <v>2350</v>
      </c>
      <c r="F368" s="3432">
        <v>570</v>
      </c>
      <c r="G368" s="3444">
        <v>1450</v>
      </c>
      <c r="H368" s="3445"/>
    </row>
    <row r="369" spans="1:8">
      <c r="A369" s="3452" t="s">
        <v>2765</v>
      </c>
      <c r="B369" s="3432" t="s">
        <v>1061</v>
      </c>
      <c r="C369" s="3432">
        <v>2320</v>
      </c>
      <c r="D369" s="3432">
        <v>2290</v>
      </c>
      <c r="E369" s="3432">
        <v>2250</v>
      </c>
      <c r="F369" s="3432">
        <v>550</v>
      </c>
      <c r="G369" s="3444">
        <v>1380</v>
      </c>
      <c r="H369" s="3445"/>
    </row>
    <row r="370" spans="1:8">
      <c r="A370" s="3452" t="s">
        <v>2765</v>
      </c>
      <c r="B370" s="3432" t="s">
        <v>1069</v>
      </c>
      <c r="C370" s="3432">
        <v>2190</v>
      </c>
      <c r="D370" s="3432">
        <v>2170</v>
      </c>
      <c r="E370" s="3432">
        <v>2130</v>
      </c>
      <c r="F370" s="3432">
        <v>530</v>
      </c>
      <c r="G370" s="3444">
        <v>1310</v>
      </c>
      <c r="H370" s="3445"/>
    </row>
    <row r="371" spans="1:8">
      <c r="A371" s="3452" t="s">
        <v>2765</v>
      </c>
      <c r="B371" s="3432" t="s">
        <v>1077</v>
      </c>
      <c r="C371" s="3432">
        <v>2460</v>
      </c>
      <c r="D371" s="3432">
        <v>2420</v>
      </c>
      <c r="E371" s="3432">
        <v>2370</v>
      </c>
      <c r="F371" s="3432">
        <v>560</v>
      </c>
      <c r="G371" s="3444">
        <v>1470</v>
      </c>
      <c r="H371" s="3445"/>
    </row>
    <row r="372" spans="1:8">
      <c r="A372" s="3452" t="s">
        <v>2765</v>
      </c>
      <c r="B372" s="3432" t="s">
        <v>3020</v>
      </c>
      <c r="C372" s="3432">
        <v>2250</v>
      </c>
      <c r="D372" s="3432">
        <v>2210</v>
      </c>
      <c r="E372" s="3432">
        <v>2180</v>
      </c>
      <c r="F372" s="3432">
        <v>550</v>
      </c>
      <c r="G372" s="3444">
        <v>1340</v>
      </c>
      <c r="H372" s="3445"/>
    </row>
    <row r="373" spans="1:8">
      <c r="A373" s="3452" t="s">
        <v>2765</v>
      </c>
      <c r="B373" s="3432" t="s">
        <v>1106</v>
      </c>
      <c r="C373" s="3432">
        <v>2210</v>
      </c>
      <c r="D373" s="3432">
        <v>2190</v>
      </c>
      <c r="E373" s="3432">
        <v>2150</v>
      </c>
      <c r="F373" s="3432">
        <v>530</v>
      </c>
      <c r="G373" s="3444">
        <v>1320</v>
      </c>
      <c r="H373" s="3445"/>
    </row>
    <row r="374" spans="1:8">
      <c r="A374" s="3452" t="s">
        <v>2765</v>
      </c>
      <c r="B374" s="3432" t="s">
        <v>1114</v>
      </c>
      <c r="C374" s="3432">
        <v>2320</v>
      </c>
      <c r="D374" s="3432">
        <v>2280</v>
      </c>
      <c r="E374" s="3432">
        <v>2230</v>
      </c>
      <c r="F374" s="3432">
        <v>580</v>
      </c>
      <c r="G374" s="3444">
        <v>1380</v>
      </c>
      <c r="H374" s="3445"/>
    </row>
    <row r="375" spans="1:8">
      <c r="A375" s="3452" t="s">
        <v>2765</v>
      </c>
      <c r="B375" s="3432" t="s">
        <v>3021</v>
      </c>
      <c r="C375" s="3432">
        <v>2090</v>
      </c>
      <c r="D375" s="3432">
        <v>2050</v>
      </c>
      <c r="E375" s="3432">
        <v>2020</v>
      </c>
      <c r="F375" s="3432">
        <v>520</v>
      </c>
      <c r="G375" s="3444">
        <v>1240</v>
      </c>
      <c r="H375" s="3445"/>
    </row>
    <row r="376" spans="1:8">
      <c r="A376" s="3452" t="s">
        <v>2765</v>
      </c>
      <c r="B376" s="3432" t="s">
        <v>1126</v>
      </c>
      <c r="C376" s="3432">
        <v>2010</v>
      </c>
      <c r="D376" s="3432">
        <v>1980</v>
      </c>
      <c r="E376" s="3432">
        <v>1940</v>
      </c>
      <c r="F376" s="3432">
        <v>540</v>
      </c>
      <c r="G376" s="3444">
        <v>1190</v>
      </c>
      <c r="H376" s="3445"/>
    </row>
    <row r="377" spans="1:8" ht="15" thickBot="1">
      <c r="A377" s="3454" t="s">
        <v>2765</v>
      </c>
      <c r="B377" s="3448" t="s">
        <v>3022</v>
      </c>
      <c r="C377" s="3448">
        <v>1930</v>
      </c>
      <c r="D377" s="3448">
        <v>1890</v>
      </c>
      <c r="E377" s="3448">
        <v>1860</v>
      </c>
      <c r="F377" s="3448">
        <v>530</v>
      </c>
      <c r="G377" s="3455">
        <v>1150</v>
      </c>
      <c r="H377" s="3445"/>
    </row>
    <row r="378" spans="1:8">
      <c r="A378" s="3449" t="s">
        <v>2766</v>
      </c>
      <c r="B378" s="3450" t="s">
        <v>3023</v>
      </c>
      <c r="C378" s="3450">
        <v>1520</v>
      </c>
      <c r="D378" s="3450">
        <v>1490</v>
      </c>
      <c r="E378" s="3450">
        <v>1460</v>
      </c>
      <c r="F378" s="3450">
        <v>460</v>
      </c>
      <c r="G378" s="3451">
        <v>940</v>
      </c>
      <c r="H378" s="3445"/>
    </row>
    <row r="379" spans="1:8">
      <c r="A379" s="3452" t="s">
        <v>2766</v>
      </c>
      <c r="B379" s="3432" t="s">
        <v>3024</v>
      </c>
      <c r="C379" s="3432">
        <v>1500</v>
      </c>
      <c r="D379" s="3432">
        <v>1470</v>
      </c>
      <c r="E379" s="3432">
        <v>1430</v>
      </c>
      <c r="F379" s="3432">
        <v>460</v>
      </c>
      <c r="G379" s="3444">
        <v>920</v>
      </c>
      <c r="H379" s="3445"/>
    </row>
    <row r="380" spans="1:8">
      <c r="A380" s="3452" t="s">
        <v>2766</v>
      </c>
      <c r="B380" s="3432" t="s">
        <v>3025</v>
      </c>
      <c r="C380" s="3432">
        <v>1620</v>
      </c>
      <c r="D380" s="3432">
        <v>1590</v>
      </c>
      <c r="E380" s="3432">
        <v>1560</v>
      </c>
      <c r="F380" s="3432">
        <v>480</v>
      </c>
      <c r="G380" s="3444">
        <v>1000</v>
      </c>
      <c r="H380" s="3445"/>
    </row>
    <row r="381" spans="1:8">
      <c r="A381" s="3452" t="s">
        <v>2766</v>
      </c>
      <c r="B381" s="3432" t="s">
        <v>3026</v>
      </c>
      <c r="C381" s="3432">
        <v>1460</v>
      </c>
      <c r="D381" s="3432">
        <v>1430</v>
      </c>
      <c r="E381" s="3432">
        <v>1390</v>
      </c>
      <c r="F381" s="3432">
        <v>450</v>
      </c>
      <c r="G381" s="3444">
        <v>900</v>
      </c>
      <c r="H381" s="3445"/>
    </row>
    <row r="382" spans="1:8">
      <c r="A382" s="3452" t="s">
        <v>2766</v>
      </c>
      <c r="B382" s="3432" t="s">
        <v>3027</v>
      </c>
      <c r="C382" s="3432">
        <v>1310</v>
      </c>
      <c r="D382" s="3432">
        <v>1280</v>
      </c>
      <c r="E382" s="3432">
        <v>1250</v>
      </c>
      <c r="F382" s="3432">
        <v>440</v>
      </c>
      <c r="G382" s="3444">
        <v>800</v>
      </c>
      <c r="H382" s="3445"/>
    </row>
    <row r="383" spans="1:8">
      <c r="A383" s="3452" t="s">
        <v>2766</v>
      </c>
      <c r="B383" s="3432" t="s">
        <v>3028</v>
      </c>
      <c r="C383" s="3432">
        <v>1260</v>
      </c>
      <c r="D383" s="3432">
        <v>1230</v>
      </c>
      <c r="E383" s="3432">
        <v>1200</v>
      </c>
      <c r="F383" s="3432">
        <v>420</v>
      </c>
      <c r="G383" s="3444">
        <v>770</v>
      </c>
      <c r="H383" s="3445"/>
    </row>
    <row r="384" spans="1:8" ht="15" thickBot="1">
      <c r="A384" s="3453" t="s">
        <v>2766</v>
      </c>
      <c r="B384" s="3447" t="s">
        <v>3029</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12" t="s">
        <v>3192</v>
      </c>
      <c r="B1" s="3912"/>
      <c r="C1" s="3912"/>
      <c r="D1" s="3912"/>
      <c r="E1" s="3912"/>
      <c r="F1" s="3913"/>
    </row>
    <row r="2" spans="1:6">
      <c r="A2" s="3499" t="s">
        <v>3193</v>
      </c>
      <c r="B2" s="3500"/>
      <c r="C2" s="3500"/>
      <c r="D2" s="3500"/>
      <c r="E2" s="3500"/>
      <c r="F2" s="3500"/>
    </row>
    <row r="3" spans="1:6">
      <c r="A3" s="3499" t="s">
        <v>3194</v>
      </c>
      <c r="B3" s="3500"/>
      <c r="C3" s="3500"/>
      <c r="D3" s="3500"/>
      <c r="E3" s="3500"/>
      <c r="F3" s="3501" t="s">
        <v>3195</v>
      </c>
    </row>
    <row r="4" spans="1:6">
      <c r="A4" s="3502" t="s">
        <v>3190</v>
      </c>
      <c r="B4" s="3502" t="s">
        <v>2741</v>
      </c>
      <c r="C4" s="3502" t="s">
        <v>1212</v>
      </c>
      <c r="D4" s="3502" t="s">
        <v>3191</v>
      </c>
      <c r="E4" s="3502" t="s">
        <v>905</v>
      </c>
      <c r="F4" s="3502" t="s">
        <v>3196</v>
      </c>
    </row>
    <row r="5" spans="1:6">
      <c r="A5" s="3503" t="s">
        <v>2764</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2765</v>
      </c>
      <c r="B16" s="3505">
        <v>2230</v>
      </c>
      <c r="C16" s="3505">
        <v>2200</v>
      </c>
      <c r="D16" s="3505">
        <v>2180</v>
      </c>
      <c r="E16" s="3505">
        <v>570</v>
      </c>
      <c r="F16" s="3505">
        <v>1330</v>
      </c>
    </row>
    <row r="17" spans="1:6">
      <c r="A17" s="3503" t="s">
        <v>2766</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3914" t="s">
        <v>3030</v>
      </c>
      <c r="B1" s="3914"/>
    </row>
    <row r="2" spans="1:7" ht="15" thickBot="1">
      <c r="A2" s="3464"/>
      <c r="B2" s="3464"/>
    </row>
    <row r="3" spans="1:7" ht="15" thickBot="1">
      <c r="A3" s="3464"/>
      <c r="B3" s="3464"/>
      <c r="C3" s="3465" t="s">
        <v>3031</v>
      </c>
      <c r="D3" s="3465" t="s">
        <v>3032</v>
      </c>
      <c r="E3" s="3465" t="s">
        <v>3033</v>
      </c>
      <c r="F3" s="3465" t="s">
        <v>3034</v>
      </c>
      <c r="G3" s="3465" t="s">
        <v>3035</v>
      </c>
    </row>
    <row r="4" spans="1:7" ht="15" thickBot="1">
      <c r="A4" s="3466" t="s">
        <v>3036</v>
      </c>
      <c r="B4" s="3467" t="s">
        <v>3037</v>
      </c>
      <c r="C4" s="3465"/>
      <c r="D4" s="3465"/>
      <c r="E4" s="3465"/>
      <c r="F4" s="3465"/>
      <c r="G4" s="3465"/>
    </row>
    <row r="5" spans="1:7">
      <c r="A5" s="3468" t="s">
        <v>3038</v>
      </c>
      <c r="B5" s="3469" t="s">
        <v>3039</v>
      </c>
      <c r="C5" s="3470">
        <v>9.8000000000000004E-2</v>
      </c>
      <c r="D5" s="3470">
        <v>8.6999999999999994E-2</v>
      </c>
      <c r="E5" s="3470">
        <v>8.6999999999999994E-2</v>
      </c>
      <c r="F5" s="3470">
        <v>9.8000000000000004E-2</v>
      </c>
      <c r="G5" s="3471">
        <v>9.5000000000000001E-2</v>
      </c>
    </row>
    <row r="6" spans="1:7">
      <c r="A6" s="3472" t="s">
        <v>990</v>
      </c>
      <c r="B6" s="3473" t="s">
        <v>3040</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3041</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3042</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2828</v>
      </c>
      <c r="C29" s="3482"/>
      <c r="D29" s="3478">
        <v>5.1999999999999998E-2</v>
      </c>
      <c r="E29" s="3478">
        <v>7.0000000000000007E-2</v>
      </c>
      <c r="F29" s="3482"/>
      <c r="G29" s="3480">
        <v>7.0999999999999994E-2</v>
      </c>
    </row>
    <row r="30" spans="1:7">
      <c r="A30" s="3483" t="s">
        <v>1145</v>
      </c>
      <c r="B30" s="3469" t="s">
        <v>3043</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3044</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2830</v>
      </c>
      <c r="C50" s="3474">
        <v>9.8000000000000004E-2</v>
      </c>
      <c r="D50" s="3474">
        <v>7.2999999999999995E-2</v>
      </c>
      <c r="E50" s="3474">
        <v>7.0999999999999994E-2</v>
      </c>
      <c r="F50" s="3485"/>
      <c r="G50" s="3475">
        <v>7.2999999999999995E-2</v>
      </c>
    </row>
    <row r="51" spans="1:7">
      <c r="A51" s="3484" t="s">
        <v>1145</v>
      </c>
      <c r="B51" s="3473" t="s">
        <v>2831</v>
      </c>
      <c r="C51" s="3474">
        <v>9.9000000000000005E-2</v>
      </c>
      <c r="D51" s="3474">
        <v>8.5000000000000006E-2</v>
      </c>
      <c r="E51" s="3474">
        <v>6.3E-2</v>
      </c>
      <c r="F51" s="3485"/>
      <c r="G51" s="3475">
        <v>9.6000000000000002E-2</v>
      </c>
    </row>
    <row r="52" spans="1:7">
      <c r="A52" s="3484" t="s">
        <v>1145</v>
      </c>
      <c r="B52" s="3473" t="s">
        <v>2832</v>
      </c>
      <c r="C52" s="3474">
        <v>7.3999999999999996E-2</v>
      </c>
      <c r="D52" s="3474">
        <v>9.6000000000000002E-2</v>
      </c>
      <c r="E52" s="3474">
        <v>0.05</v>
      </c>
      <c r="F52" s="3485"/>
      <c r="G52" s="3475">
        <v>9.8000000000000004E-2</v>
      </c>
    </row>
    <row r="53" spans="1:7">
      <c r="A53" s="3484" t="s">
        <v>1145</v>
      </c>
      <c r="B53" s="3473" t="s">
        <v>2833</v>
      </c>
      <c r="C53" s="3474">
        <v>8.5999999999999993E-2</v>
      </c>
      <c r="D53" s="3485"/>
      <c r="E53" s="3474">
        <v>9.1999999999999998E-2</v>
      </c>
      <c r="F53" s="3485"/>
      <c r="G53" s="3486"/>
    </row>
    <row r="54" spans="1:7" ht="15" thickBot="1">
      <c r="A54" s="3487" t="s">
        <v>1145</v>
      </c>
      <c r="B54" s="3477" t="s">
        <v>2834</v>
      </c>
      <c r="C54" s="3478">
        <v>9.6000000000000002E-2</v>
      </c>
      <c r="D54" s="3479"/>
      <c r="E54" s="3488"/>
      <c r="F54" s="3479"/>
      <c r="G54" s="3489"/>
    </row>
    <row r="55" spans="1:7">
      <c r="A55" s="3483" t="s">
        <v>853</v>
      </c>
      <c r="B55" s="3469" t="s">
        <v>3045</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2836</v>
      </c>
      <c r="C78" s="3474">
        <v>0.1</v>
      </c>
      <c r="D78" s="3474">
        <v>8.5000000000000006E-2</v>
      </c>
      <c r="E78" s="3474">
        <v>9.6000000000000002E-2</v>
      </c>
      <c r="F78" s="3485"/>
      <c r="G78" s="3475">
        <v>9.6000000000000002E-2</v>
      </c>
    </row>
    <row r="79" spans="1:7">
      <c r="A79" s="3484" t="s">
        <v>853</v>
      </c>
      <c r="B79" s="3473" t="s">
        <v>2837</v>
      </c>
      <c r="C79" s="3474">
        <v>0.05</v>
      </c>
      <c r="D79" s="3474">
        <v>9.6000000000000002E-2</v>
      </c>
      <c r="E79" s="3474">
        <v>9.5000000000000001E-2</v>
      </c>
      <c r="F79" s="3485"/>
      <c r="G79" s="3475">
        <v>9.8000000000000004E-2</v>
      </c>
    </row>
    <row r="80" spans="1:7">
      <c r="A80" s="3484" t="s">
        <v>853</v>
      </c>
      <c r="B80" s="3473" t="s">
        <v>2838</v>
      </c>
      <c r="C80" s="3474">
        <v>8.5999999999999993E-2</v>
      </c>
      <c r="D80" s="3490"/>
      <c r="E80" s="3474">
        <v>0.1</v>
      </c>
      <c r="F80" s="3485"/>
      <c r="G80" s="3486"/>
    </row>
    <row r="81" spans="1:7">
      <c r="A81" s="3484" t="s">
        <v>853</v>
      </c>
      <c r="B81" s="3473" t="s">
        <v>2839</v>
      </c>
      <c r="C81" s="3474">
        <v>9.6000000000000002E-2</v>
      </c>
      <c r="D81" s="3485"/>
      <c r="E81" s="3474">
        <v>9.8000000000000004E-2</v>
      </c>
      <c r="F81" s="3485"/>
      <c r="G81" s="3486"/>
    </row>
    <row r="82" spans="1:7">
      <c r="A82" s="3484" t="s">
        <v>853</v>
      </c>
      <c r="B82" s="3473" t="s">
        <v>2840</v>
      </c>
      <c r="C82" s="3490"/>
      <c r="D82" s="3485"/>
      <c r="E82" s="3474">
        <v>7.6999999999999999E-2</v>
      </c>
      <c r="F82" s="3485"/>
      <c r="G82" s="3486"/>
    </row>
    <row r="83" spans="1:7">
      <c r="A83" s="3484" t="s">
        <v>853</v>
      </c>
      <c r="B83" s="3473" t="s">
        <v>3046</v>
      </c>
      <c r="C83" s="3485"/>
      <c r="D83" s="3485"/>
      <c r="E83" s="3485"/>
      <c r="F83" s="3474">
        <v>0.1</v>
      </c>
      <c r="G83" s="3491"/>
    </row>
    <row r="84" spans="1:7">
      <c r="A84" s="3484" t="s">
        <v>853</v>
      </c>
      <c r="B84" s="3473" t="s">
        <v>3047</v>
      </c>
      <c r="C84" s="3485"/>
      <c r="D84" s="3485"/>
      <c r="E84" s="3485"/>
      <c r="F84" s="3474">
        <v>0.1</v>
      </c>
      <c r="G84" s="3491"/>
    </row>
    <row r="85" spans="1:7">
      <c r="A85" s="3484" t="s">
        <v>853</v>
      </c>
      <c r="B85" s="3473" t="s">
        <v>3048</v>
      </c>
      <c r="C85" s="3485"/>
      <c r="D85" s="3485"/>
      <c r="E85" s="3485"/>
      <c r="F85" s="3474">
        <v>0.1</v>
      </c>
      <c r="G85" s="3491"/>
    </row>
    <row r="86" spans="1:7" ht="15" thickBot="1">
      <c r="A86" s="3487" t="s">
        <v>853</v>
      </c>
      <c r="B86" s="3477" t="s">
        <v>3049</v>
      </c>
      <c r="C86" s="3478">
        <v>9.8000000000000004E-2</v>
      </c>
      <c r="D86" s="3478">
        <v>9.8000000000000004E-2</v>
      </c>
      <c r="E86" s="3478">
        <v>9.6000000000000002E-2</v>
      </c>
      <c r="F86" s="3488"/>
      <c r="G86" s="3480">
        <v>0.1</v>
      </c>
    </row>
    <row r="87" spans="1:7">
      <c r="A87" s="3483" t="s">
        <v>1152</v>
      </c>
      <c r="B87" s="3469" t="s">
        <v>3050</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2846</v>
      </c>
      <c r="C113" s="3474">
        <v>0.1</v>
      </c>
      <c r="D113" s="3474">
        <v>0.1</v>
      </c>
      <c r="E113" s="3485"/>
      <c r="F113" s="3485"/>
      <c r="G113" s="3475">
        <v>0.1</v>
      </c>
    </row>
    <row r="114" spans="1:7">
      <c r="A114" s="3484" t="s">
        <v>1152</v>
      </c>
      <c r="B114" s="3473" t="s">
        <v>2847</v>
      </c>
      <c r="C114" s="3474">
        <v>9.7000000000000003E-2</v>
      </c>
      <c r="D114" s="3474">
        <v>9.7000000000000003E-2</v>
      </c>
      <c r="E114" s="3485"/>
      <c r="F114" s="3485"/>
      <c r="G114" s="3475">
        <v>9.9000000000000005E-2</v>
      </c>
    </row>
    <row r="115" spans="1:7">
      <c r="A115" s="3484" t="s">
        <v>1152</v>
      </c>
      <c r="B115" s="3473" t="s">
        <v>2848</v>
      </c>
      <c r="C115" s="3474">
        <v>0.1</v>
      </c>
      <c r="D115" s="3474">
        <v>0.1</v>
      </c>
      <c r="E115" s="3485"/>
      <c r="F115" s="3485"/>
      <c r="G115" s="3475">
        <v>0.1</v>
      </c>
    </row>
    <row r="116" spans="1:7">
      <c r="A116" s="3484" t="s">
        <v>1152</v>
      </c>
      <c r="B116" s="3473" t="s">
        <v>2849</v>
      </c>
      <c r="C116" s="3474">
        <v>0.1</v>
      </c>
      <c r="D116" s="3474">
        <v>0.1</v>
      </c>
      <c r="E116" s="3485"/>
      <c r="F116" s="3485"/>
      <c r="G116" s="3475">
        <v>0.1</v>
      </c>
    </row>
    <row r="117" spans="1:7">
      <c r="A117" s="3484" t="s">
        <v>1152</v>
      </c>
      <c r="B117" s="3473" t="s">
        <v>2850</v>
      </c>
      <c r="C117" s="3474">
        <v>9.7000000000000003E-2</v>
      </c>
      <c r="D117" s="3474">
        <v>9.7000000000000003E-2</v>
      </c>
      <c r="E117" s="3485"/>
      <c r="F117" s="3485"/>
      <c r="G117" s="3475">
        <v>9.7000000000000003E-2</v>
      </c>
    </row>
    <row r="118" spans="1:7">
      <c r="A118" s="3484" t="s">
        <v>1152</v>
      </c>
      <c r="B118" s="3473" t="s">
        <v>2851</v>
      </c>
      <c r="C118" s="3474">
        <v>0.1</v>
      </c>
      <c r="D118" s="3474">
        <v>0.1</v>
      </c>
      <c r="E118" s="3485"/>
      <c r="F118" s="3485"/>
      <c r="G118" s="3475">
        <v>0.1</v>
      </c>
    </row>
    <row r="119" spans="1:7">
      <c r="A119" s="3484" t="s">
        <v>1152</v>
      </c>
      <c r="B119" s="3473" t="s">
        <v>2852</v>
      </c>
      <c r="C119" s="3474">
        <v>5.0999999999999997E-2</v>
      </c>
      <c r="D119" s="3474">
        <v>5.1999999999999998E-2</v>
      </c>
      <c r="E119" s="3485"/>
      <c r="F119" s="3490"/>
      <c r="G119" s="3475">
        <v>0.06</v>
      </c>
    </row>
    <row r="120" spans="1:7">
      <c r="A120" s="3484" t="s">
        <v>1152</v>
      </c>
      <c r="B120" s="3473" t="s">
        <v>3051</v>
      </c>
      <c r="C120" s="3485"/>
      <c r="D120" s="3485"/>
      <c r="E120" s="3485"/>
      <c r="F120" s="3474">
        <v>0.1</v>
      </c>
      <c r="G120" s="3491"/>
    </row>
    <row r="121" spans="1:7">
      <c r="A121" s="3484" t="s">
        <v>1152</v>
      </c>
      <c r="B121" s="3473" t="s">
        <v>3052</v>
      </c>
      <c r="C121" s="3485"/>
      <c r="D121" s="3485"/>
      <c r="E121" s="3485"/>
      <c r="F121" s="3474">
        <v>0.1</v>
      </c>
      <c r="G121" s="3491"/>
    </row>
    <row r="122" spans="1:7">
      <c r="A122" s="3484" t="s">
        <v>1152</v>
      </c>
      <c r="B122" s="3473" t="s">
        <v>3053</v>
      </c>
      <c r="C122" s="3474">
        <v>0.1</v>
      </c>
      <c r="D122" s="3474">
        <v>0.1</v>
      </c>
      <c r="E122" s="3474">
        <v>9.8000000000000004E-2</v>
      </c>
      <c r="F122" s="3474">
        <v>0.1</v>
      </c>
      <c r="G122" s="3475">
        <v>0.1</v>
      </c>
    </row>
    <row r="123" spans="1:7">
      <c r="A123" s="3484" t="s">
        <v>1152</v>
      </c>
      <c r="B123" s="3473" t="s">
        <v>2856</v>
      </c>
      <c r="C123" s="3474">
        <v>0.1</v>
      </c>
      <c r="D123" s="3474">
        <v>0.1</v>
      </c>
      <c r="E123" s="3474">
        <v>9.8000000000000004E-2</v>
      </c>
      <c r="F123" s="3474">
        <v>0.1</v>
      </c>
      <c r="G123" s="3475">
        <v>0.1</v>
      </c>
    </row>
    <row r="124" spans="1:7">
      <c r="A124" s="3484" t="s">
        <v>1152</v>
      </c>
      <c r="B124" s="3473" t="s">
        <v>2857</v>
      </c>
      <c r="C124" s="3474">
        <v>0.1</v>
      </c>
      <c r="D124" s="3474">
        <v>0.1</v>
      </c>
      <c r="E124" s="3474">
        <v>9.8000000000000004E-2</v>
      </c>
      <c r="F124" s="3490"/>
      <c r="G124" s="3475">
        <v>0.1</v>
      </c>
    </row>
    <row r="125" spans="1:7">
      <c r="A125" s="3484" t="s">
        <v>1152</v>
      </c>
      <c r="B125" s="3473" t="s">
        <v>2858</v>
      </c>
      <c r="C125" s="3474">
        <v>9.8000000000000004E-2</v>
      </c>
      <c r="D125" s="3474">
        <v>9.8000000000000004E-2</v>
      </c>
      <c r="E125" s="3474">
        <v>9.6000000000000002E-2</v>
      </c>
      <c r="F125" s="3490"/>
      <c r="G125" s="3475">
        <v>0.1</v>
      </c>
    </row>
    <row r="126" spans="1:7" ht="15" thickBot="1">
      <c r="A126" s="3487" t="s">
        <v>1152</v>
      </c>
      <c r="B126" s="3477" t="s">
        <v>3054</v>
      </c>
      <c r="C126" s="3478">
        <v>0.1</v>
      </c>
      <c r="D126" s="3478">
        <v>0.1</v>
      </c>
      <c r="E126" s="3478">
        <v>9.8000000000000004E-2</v>
      </c>
      <c r="F126" s="3478">
        <v>0.1</v>
      </c>
      <c r="G126" s="3480">
        <v>0.1</v>
      </c>
    </row>
    <row r="127" spans="1:7">
      <c r="A127" s="3483" t="s">
        <v>1153</v>
      </c>
      <c r="B127" s="3469" t="s">
        <v>3055</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3056</v>
      </c>
      <c r="C148" s="3474">
        <v>0.13</v>
      </c>
      <c r="D148" s="3474">
        <v>0.13</v>
      </c>
      <c r="E148" s="3474">
        <v>0.13</v>
      </c>
      <c r="F148" s="3485"/>
      <c r="G148" s="3475">
        <v>0.13</v>
      </c>
    </row>
    <row r="149" spans="1:7">
      <c r="A149" s="3484" t="s">
        <v>1153</v>
      </c>
      <c r="B149" s="3473" t="s">
        <v>3057</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2863</v>
      </c>
      <c r="C153" s="3474">
        <v>0.13</v>
      </c>
      <c r="D153" s="3474">
        <v>0.13</v>
      </c>
      <c r="E153" s="3474">
        <v>0.13</v>
      </c>
      <c r="F153" s="3474">
        <v>0.13</v>
      </c>
      <c r="G153" s="3475">
        <v>0.13</v>
      </c>
    </row>
    <row r="154" spans="1:7">
      <c r="A154" s="3484" t="s">
        <v>1153</v>
      </c>
      <c r="B154" s="3473" t="s">
        <v>3058</v>
      </c>
      <c r="C154" s="3474">
        <v>0.121</v>
      </c>
      <c r="D154" s="3474">
        <v>0.121</v>
      </c>
      <c r="E154" s="3474">
        <v>0.105</v>
      </c>
      <c r="F154" s="3474">
        <v>0.121</v>
      </c>
      <c r="G154" s="3475">
        <v>0.123</v>
      </c>
    </row>
    <row r="155" spans="1:7">
      <c r="A155" s="3484" t="s">
        <v>1153</v>
      </c>
      <c r="B155" s="3473" t="s">
        <v>2865</v>
      </c>
      <c r="C155" s="3474">
        <v>0.1</v>
      </c>
      <c r="D155" s="3474">
        <v>0.1</v>
      </c>
      <c r="E155" s="3474">
        <v>0.1</v>
      </c>
      <c r="F155" s="3474">
        <v>0.1</v>
      </c>
      <c r="G155" s="3475">
        <v>0.1</v>
      </c>
    </row>
    <row r="156" spans="1:7">
      <c r="A156" s="3484" t="s">
        <v>1153</v>
      </c>
      <c r="B156" s="3473" t="s">
        <v>3059</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3060</v>
      </c>
      <c r="C160" s="3474">
        <v>0.13</v>
      </c>
      <c r="D160" s="3474">
        <v>0.13</v>
      </c>
      <c r="E160" s="3474">
        <v>0.124</v>
      </c>
      <c r="F160" s="3474">
        <v>0.126</v>
      </c>
      <c r="G160" s="3475">
        <v>0.13</v>
      </c>
    </row>
    <row r="161" spans="1:7">
      <c r="A161" s="3484" t="s">
        <v>1153</v>
      </c>
      <c r="B161" s="3473" t="s">
        <v>2868</v>
      </c>
      <c r="C161" s="3474">
        <v>0.13</v>
      </c>
      <c r="D161" s="3474">
        <v>0.13</v>
      </c>
      <c r="E161" s="3474">
        <v>0.124</v>
      </c>
      <c r="F161" s="3474">
        <v>0.127</v>
      </c>
      <c r="G161" s="3475">
        <v>0.13</v>
      </c>
    </row>
    <row r="162" spans="1:7">
      <c r="A162" s="3484" t="s">
        <v>1153</v>
      </c>
      <c r="B162" s="3473" t="s">
        <v>2869</v>
      </c>
      <c r="C162" s="3474">
        <v>0.1</v>
      </c>
      <c r="D162" s="3474">
        <v>0.1</v>
      </c>
      <c r="E162" s="3474">
        <v>0.1</v>
      </c>
      <c r="F162" s="3474">
        <v>0.121</v>
      </c>
      <c r="G162" s="3475">
        <v>0.105</v>
      </c>
    </row>
    <row r="163" spans="1:7">
      <c r="A163" s="3484" t="s">
        <v>1153</v>
      </c>
      <c r="B163" s="3473" t="s">
        <v>2870</v>
      </c>
      <c r="C163" s="3474">
        <v>0.1</v>
      </c>
      <c r="D163" s="3474">
        <v>0.1</v>
      </c>
      <c r="E163" s="3474">
        <v>0.1</v>
      </c>
      <c r="F163" s="3474">
        <v>0.1</v>
      </c>
      <c r="G163" s="3475">
        <v>0.1</v>
      </c>
    </row>
    <row r="164" spans="1:7">
      <c r="A164" s="3484" t="s">
        <v>1153</v>
      </c>
      <c r="B164" s="3473" t="s">
        <v>2871</v>
      </c>
      <c r="C164" s="3490"/>
      <c r="D164" s="3490"/>
      <c r="E164" s="3490"/>
      <c r="F164" s="3474">
        <v>0.1</v>
      </c>
      <c r="G164" s="3486"/>
    </row>
    <row r="165" spans="1:7">
      <c r="A165" s="3484" t="s">
        <v>1153</v>
      </c>
      <c r="B165" s="3473" t="s">
        <v>3061</v>
      </c>
      <c r="C165" s="3474">
        <v>0.126</v>
      </c>
      <c r="D165" s="3474">
        <v>0.126</v>
      </c>
      <c r="E165" s="3474">
        <v>0.11899999999999999</v>
      </c>
      <c r="F165" s="3474">
        <v>0.13</v>
      </c>
      <c r="G165" s="3475">
        <v>0.128</v>
      </c>
    </row>
    <row r="166" spans="1:7">
      <c r="A166" s="3484" t="s">
        <v>1153</v>
      </c>
      <c r="B166" s="3473" t="s">
        <v>2873</v>
      </c>
      <c r="C166" s="3474">
        <v>0.129</v>
      </c>
      <c r="D166" s="3474">
        <v>0.129</v>
      </c>
      <c r="E166" s="3474">
        <v>0.123</v>
      </c>
      <c r="F166" s="3474">
        <v>0.128</v>
      </c>
      <c r="G166" s="3475">
        <v>0.13</v>
      </c>
    </row>
    <row r="167" spans="1:7">
      <c r="A167" s="3484" t="s">
        <v>1153</v>
      </c>
      <c r="B167" s="3473" t="s">
        <v>2874</v>
      </c>
      <c r="C167" s="3474">
        <v>0.125</v>
      </c>
      <c r="D167" s="3474">
        <v>0.125</v>
      </c>
      <c r="E167" s="3474">
        <v>0.11700000000000001</v>
      </c>
      <c r="F167" s="3474">
        <v>0.13</v>
      </c>
      <c r="G167" s="3475">
        <v>0.126</v>
      </c>
    </row>
    <row r="168" spans="1:7">
      <c r="A168" s="3484" t="s">
        <v>1153</v>
      </c>
      <c r="B168" s="3473" t="s">
        <v>2875</v>
      </c>
      <c r="C168" s="3474">
        <v>0.128</v>
      </c>
      <c r="D168" s="3474">
        <v>0.128</v>
      </c>
      <c r="E168" s="3474">
        <v>0.123</v>
      </c>
      <c r="F168" s="3485"/>
      <c r="G168" s="3475">
        <v>0.13</v>
      </c>
    </row>
    <row r="169" spans="1:7">
      <c r="A169" s="3484" t="s">
        <v>1153</v>
      </c>
      <c r="B169" s="3473" t="s">
        <v>3062</v>
      </c>
      <c r="C169" s="3490"/>
      <c r="D169" s="3490"/>
      <c r="E169" s="3490"/>
      <c r="F169" s="3474">
        <v>0.05</v>
      </c>
      <c r="G169" s="3486"/>
    </row>
    <row r="170" spans="1:7">
      <c r="A170" s="3484" t="s">
        <v>1153</v>
      </c>
      <c r="B170" s="3473" t="s">
        <v>3063</v>
      </c>
      <c r="C170" s="3490"/>
      <c r="D170" s="3490"/>
      <c r="E170" s="3490"/>
      <c r="F170" s="3474">
        <v>0.05</v>
      </c>
      <c r="G170" s="3486"/>
    </row>
    <row r="171" spans="1:7">
      <c r="A171" s="3484" t="s">
        <v>1153</v>
      </c>
      <c r="B171" s="3473" t="s">
        <v>3064</v>
      </c>
      <c r="C171" s="3490"/>
      <c r="D171" s="3490"/>
      <c r="E171" s="3490"/>
      <c r="F171" s="3474">
        <v>0.05</v>
      </c>
      <c r="G171" s="3491"/>
    </row>
    <row r="172" spans="1:7">
      <c r="A172" s="3484" t="s">
        <v>1153</v>
      </c>
      <c r="B172" s="3473" t="s">
        <v>3065</v>
      </c>
      <c r="C172" s="3490"/>
      <c r="D172" s="3490"/>
      <c r="E172" s="3490"/>
      <c r="F172" s="3474">
        <v>0.05</v>
      </c>
      <c r="G172" s="3491"/>
    </row>
    <row r="173" spans="1:7">
      <c r="A173" s="3484" t="s">
        <v>1153</v>
      </c>
      <c r="B173" s="3473" t="s">
        <v>3066</v>
      </c>
      <c r="C173" s="3490"/>
      <c r="D173" s="3490"/>
      <c r="E173" s="3490"/>
      <c r="F173" s="3474">
        <v>0.05</v>
      </c>
      <c r="G173" s="3486"/>
    </row>
    <row r="174" spans="1:7">
      <c r="A174" s="3484" t="s">
        <v>1153</v>
      </c>
      <c r="B174" s="3473" t="s">
        <v>3067</v>
      </c>
      <c r="C174" s="3490"/>
      <c r="D174" s="3490"/>
      <c r="E174" s="3490"/>
      <c r="F174" s="3474">
        <v>0.05</v>
      </c>
      <c r="G174" s="3486"/>
    </row>
    <row r="175" spans="1:7">
      <c r="A175" s="3484" t="s">
        <v>1153</v>
      </c>
      <c r="B175" s="3473" t="s">
        <v>3068</v>
      </c>
      <c r="C175" s="3490"/>
      <c r="D175" s="3490"/>
      <c r="E175" s="3490"/>
      <c r="F175" s="3474">
        <v>0.05</v>
      </c>
      <c r="G175" s="3486"/>
    </row>
    <row r="176" spans="1:7">
      <c r="A176" s="3484" t="s">
        <v>1153</v>
      </c>
      <c r="B176" s="3473" t="s">
        <v>3069</v>
      </c>
      <c r="C176" s="3490"/>
      <c r="D176" s="3490"/>
      <c r="E176" s="3490"/>
      <c r="F176" s="3474">
        <v>0.05</v>
      </c>
      <c r="G176" s="3486"/>
    </row>
    <row r="177" spans="1:7">
      <c r="A177" s="3484" t="s">
        <v>1153</v>
      </c>
      <c r="B177" s="3473" t="s">
        <v>3070</v>
      </c>
      <c r="C177" s="3485"/>
      <c r="D177" s="3485"/>
      <c r="E177" s="3485"/>
      <c r="F177" s="3474">
        <v>0.05</v>
      </c>
      <c r="G177" s="3491"/>
    </row>
    <row r="178" spans="1:7">
      <c r="A178" s="3484" t="s">
        <v>1153</v>
      </c>
      <c r="B178" s="3473" t="s">
        <v>3071</v>
      </c>
      <c r="C178" s="3485"/>
      <c r="D178" s="3485"/>
      <c r="E178" s="3485"/>
      <c r="F178" s="3474">
        <v>0.05</v>
      </c>
      <c r="G178" s="3491"/>
    </row>
    <row r="179" spans="1:7">
      <c r="A179" s="3484" t="s">
        <v>1153</v>
      </c>
      <c r="B179" s="3473" t="s">
        <v>3072</v>
      </c>
      <c r="C179" s="3485"/>
      <c r="D179" s="3485"/>
      <c r="E179" s="3485"/>
      <c r="F179" s="3474">
        <v>0.05</v>
      </c>
      <c r="G179" s="3491"/>
    </row>
    <row r="180" spans="1:7">
      <c r="A180" s="3484" t="s">
        <v>1153</v>
      </c>
      <c r="B180" s="3473" t="s">
        <v>3073</v>
      </c>
      <c r="C180" s="3485"/>
      <c r="D180" s="3485"/>
      <c r="E180" s="3485"/>
      <c r="F180" s="3474">
        <v>0.05</v>
      </c>
      <c r="G180" s="3491"/>
    </row>
    <row r="181" spans="1:7">
      <c r="A181" s="3484" t="s">
        <v>1153</v>
      </c>
      <c r="B181" s="3473" t="s">
        <v>3074</v>
      </c>
      <c r="C181" s="3485"/>
      <c r="D181" s="3485"/>
      <c r="E181" s="3485"/>
      <c r="F181" s="3474">
        <v>0.05</v>
      </c>
      <c r="G181" s="3491"/>
    </row>
    <row r="182" spans="1:7">
      <c r="A182" s="3484" t="s">
        <v>1153</v>
      </c>
      <c r="B182" s="3473" t="s">
        <v>3075</v>
      </c>
      <c r="C182" s="3485"/>
      <c r="D182" s="3485"/>
      <c r="E182" s="3485"/>
      <c r="F182" s="3474">
        <v>0.05</v>
      </c>
      <c r="G182" s="3491"/>
    </row>
    <row r="183" spans="1:7">
      <c r="A183" s="3484" t="s">
        <v>1153</v>
      </c>
      <c r="B183" s="3473" t="s">
        <v>3076</v>
      </c>
      <c r="C183" s="3485"/>
      <c r="D183" s="3485"/>
      <c r="E183" s="3485"/>
      <c r="F183" s="3474">
        <v>0.05</v>
      </c>
      <c r="G183" s="3491"/>
    </row>
    <row r="184" spans="1:7">
      <c r="A184" s="3484" t="s">
        <v>1153</v>
      </c>
      <c r="B184" s="3473" t="s">
        <v>3077</v>
      </c>
      <c r="C184" s="3485"/>
      <c r="D184" s="3485"/>
      <c r="E184" s="3485"/>
      <c r="F184" s="3474">
        <v>0.05</v>
      </c>
      <c r="G184" s="3491"/>
    </row>
    <row r="185" spans="1:7">
      <c r="A185" s="3484" t="s">
        <v>1153</v>
      </c>
      <c r="B185" s="3473" t="s">
        <v>3078</v>
      </c>
      <c r="C185" s="3485"/>
      <c r="D185" s="3485"/>
      <c r="E185" s="3485"/>
      <c r="F185" s="3474">
        <v>0.05</v>
      </c>
      <c r="G185" s="3491"/>
    </row>
    <row r="186" spans="1:7">
      <c r="A186" s="3484" t="s">
        <v>1153</v>
      </c>
      <c r="B186" s="3473" t="s">
        <v>3079</v>
      </c>
      <c r="C186" s="3485"/>
      <c r="D186" s="3485"/>
      <c r="E186" s="3485"/>
      <c r="F186" s="3474">
        <v>0.05</v>
      </c>
      <c r="G186" s="3491"/>
    </row>
    <row r="187" spans="1:7">
      <c r="A187" s="3484" t="s">
        <v>1153</v>
      </c>
      <c r="B187" s="3473" t="s">
        <v>3080</v>
      </c>
      <c r="C187" s="3485"/>
      <c r="D187" s="3485"/>
      <c r="E187" s="3485"/>
      <c r="F187" s="3474">
        <v>0.05</v>
      </c>
      <c r="G187" s="3491"/>
    </row>
    <row r="188" spans="1:7">
      <c r="A188" s="3484" t="s">
        <v>1153</v>
      </c>
      <c r="B188" s="3473" t="s">
        <v>3081</v>
      </c>
      <c r="C188" s="3485"/>
      <c r="D188" s="3485"/>
      <c r="E188" s="3485"/>
      <c r="F188" s="3474">
        <v>0.05</v>
      </c>
      <c r="G188" s="3491"/>
    </row>
    <row r="189" spans="1:7" ht="15" thickBot="1">
      <c r="A189" s="3487" t="s">
        <v>1153</v>
      </c>
      <c r="B189" s="3477" t="s">
        <v>3082</v>
      </c>
      <c r="C189" s="3479"/>
      <c r="D189" s="3479"/>
      <c r="E189" s="3479"/>
      <c r="F189" s="3478">
        <v>0.05</v>
      </c>
      <c r="G189" s="3492"/>
    </row>
    <row r="190" spans="1:7">
      <c r="A190" s="3483" t="s">
        <v>1154</v>
      </c>
      <c r="B190" s="3469" t="s">
        <v>3083</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3084</v>
      </c>
      <c r="C199" s="3474">
        <v>0.13</v>
      </c>
      <c r="D199" s="3474">
        <v>0.13</v>
      </c>
      <c r="E199" s="3474">
        <v>0.13</v>
      </c>
      <c r="F199" s="3474">
        <v>0.13</v>
      </c>
      <c r="G199" s="3475">
        <v>0.13</v>
      </c>
    </row>
    <row r="200" spans="1:7">
      <c r="A200" s="3484" t="s">
        <v>1154</v>
      </c>
      <c r="B200" s="3473" t="s">
        <v>2899</v>
      </c>
      <c r="C200" s="3490"/>
      <c r="D200" s="3490"/>
      <c r="E200" s="3490"/>
      <c r="F200" s="3474">
        <v>0.13</v>
      </c>
      <c r="G200" s="3486"/>
    </row>
    <row r="201" spans="1:7">
      <c r="A201" s="3484" t="s">
        <v>1154</v>
      </c>
      <c r="B201" s="3473" t="s">
        <v>3085</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3086</v>
      </c>
      <c r="C203" s="3474">
        <v>0.129</v>
      </c>
      <c r="D203" s="3474">
        <v>0.129</v>
      </c>
      <c r="E203" s="3474">
        <v>0.13</v>
      </c>
      <c r="F203" s="3474">
        <v>0.13</v>
      </c>
      <c r="G203" s="3475">
        <v>0.13</v>
      </c>
    </row>
    <row r="204" spans="1:7">
      <c r="A204" s="3484" t="s">
        <v>1154</v>
      </c>
      <c r="B204" s="3473" t="s">
        <v>2902</v>
      </c>
      <c r="C204" s="3474">
        <v>0.129</v>
      </c>
      <c r="D204" s="3474">
        <v>0.129</v>
      </c>
      <c r="E204" s="3474">
        <v>0.123</v>
      </c>
      <c r="F204" s="3474">
        <v>0.13</v>
      </c>
      <c r="G204" s="3475">
        <v>0.13</v>
      </c>
    </row>
    <row r="205" spans="1:7">
      <c r="A205" s="3484" t="s">
        <v>1154</v>
      </c>
      <c r="B205" s="3473" t="s">
        <v>2903</v>
      </c>
      <c r="C205" s="3474">
        <v>0.13</v>
      </c>
      <c r="D205" s="3474">
        <v>0.13</v>
      </c>
      <c r="E205" s="3474">
        <v>0.13</v>
      </c>
      <c r="F205" s="3474">
        <v>0.13</v>
      </c>
      <c r="G205" s="3475">
        <v>0.13</v>
      </c>
    </row>
    <row r="206" spans="1:7">
      <c r="A206" s="3484" t="s">
        <v>1154</v>
      </c>
      <c r="B206" s="3473" t="s">
        <v>2904</v>
      </c>
      <c r="C206" s="3474">
        <v>0.13</v>
      </c>
      <c r="D206" s="3474">
        <v>0.13</v>
      </c>
      <c r="E206" s="3474">
        <v>0.13</v>
      </c>
      <c r="F206" s="3474">
        <v>0.128</v>
      </c>
      <c r="G206" s="3475">
        <v>0.13</v>
      </c>
    </row>
    <row r="207" spans="1:7">
      <c r="A207" s="3484" t="s">
        <v>1154</v>
      </c>
      <c r="B207" s="3473" t="s">
        <v>2905</v>
      </c>
      <c r="C207" s="3474">
        <v>0.13</v>
      </c>
      <c r="D207" s="3474">
        <v>0.13</v>
      </c>
      <c r="E207" s="3474">
        <v>0.13</v>
      </c>
      <c r="F207" s="3474">
        <v>0.13</v>
      </c>
      <c r="G207" s="3475">
        <v>0.13</v>
      </c>
    </row>
    <row r="208" spans="1:7">
      <c r="A208" s="3484" t="s">
        <v>1154</v>
      </c>
      <c r="B208" s="3473" t="s">
        <v>3087</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2907</v>
      </c>
      <c r="C210" s="3474">
        <v>0.121</v>
      </c>
      <c r="D210" s="3474">
        <v>0.121</v>
      </c>
      <c r="E210" s="3474">
        <v>0.125</v>
      </c>
      <c r="F210" s="3474">
        <v>0.13</v>
      </c>
      <c r="G210" s="3475">
        <v>0.123</v>
      </c>
    </row>
    <row r="211" spans="1:7">
      <c r="A211" s="3484" t="s">
        <v>1154</v>
      </c>
      <c r="B211" s="3473" t="s">
        <v>3088</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3089</v>
      </c>
      <c r="C214" s="3474">
        <v>0.128</v>
      </c>
      <c r="D214" s="3474">
        <v>0.128</v>
      </c>
      <c r="E214" s="3474">
        <v>0.13</v>
      </c>
      <c r="F214" s="3474">
        <v>0.13</v>
      </c>
      <c r="G214" s="3475">
        <v>0.13</v>
      </c>
    </row>
    <row r="215" spans="1:7">
      <c r="A215" s="3484" t="s">
        <v>1154</v>
      </c>
      <c r="B215" s="3473" t="s">
        <v>3090</v>
      </c>
      <c r="C215" s="3474">
        <v>0.13</v>
      </c>
      <c r="D215" s="3474">
        <v>0.13</v>
      </c>
      <c r="E215" s="3474">
        <v>0.13</v>
      </c>
      <c r="F215" s="3474">
        <v>0.129</v>
      </c>
      <c r="G215" s="3475">
        <v>0.13</v>
      </c>
    </row>
    <row r="216" spans="1:7">
      <c r="A216" s="3484" t="s">
        <v>1154</v>
      </c>
      <c r="B216" s="3473" t="s">
        <v>3091</v>
      </c>
      <c r="C216" s="3474">
        <v>0.13</v>
      </c>
      <c r="D216" s="3474">
        <v>0.13</v>
      </c>
      <c r="E216" s="3474">
        <v>0.13</v>
      </c>
      <c r="F216" s="3474">
        <v>0.13</v>
      </c>
      <c r="G216" s="3475">
        <v>0.13</v>
      </c>
    </row>
    <row r="217" spans="1:7">
      <c r="A217" s="3484" t="s">
        <v>1154</v>
      </c>
      <c r="B217" s="3473" t="s">
        <v>2911</v>
      </c>
      <c r="C217" s="3474">
        <v>0.129</v>
      </c>
      <c r="D217" s="3474">
        <v>0.129</v>
      </c>
      <c r="E217" s="3474">
        <v>0.13</v>
      </c>
      <c r="F217" s="3474">
        <v>0.13</v>
      </c>
      <c r="G217" s="3475">
        <v>0.13</v>
      </c>
    </row>
    <row r="218" spans="1:7">
      <c r="A218" s="3484" t="s">
        <v>1154</v>
      </c>
      <c r="B218" s="3473" t="s">
        <v>3092</v>
      </c>
      <c r="C218" s="3485"/>
      <c r="D218" s="3485"/>
      <c r="E218" s="3485"/>
      <c r="F218" s="3474">
        <v>0.05</v>
      </c>
      <c r="G218" s="3491"/>
    </row>
    <row r="219" spans="1:7">
      <c r="A219" s="3484" t="s">
        <v>1154</v>
      </c>
      <c r="B219" s="3473" t="s">
        <v>3093</v>
      </c>
      <c r="C219" s="3485"/>
      <c r="D219" s="3485"/>
      <c r="E219" s="3485"/>
      <c r="F219" s="3474">
        <v>0.05</v>
      </c>
      <c r="G219" s="3491"/>
    </row>
    <row r="220" spans="1:7">
      <c r="A220" s="3484" t="s">
        <v>1154</v>
      </c>
      <c r="B220" s="3473" t="s">
        <v>3094</v>
      </c>
      <c r="C220" s="3485"/>
      <c r="D220" s="3485"/>
      <c r="E220" s="3485"/>
      <c r="F220" s="3474">
        <v>0.05</v>
      </c>
      <c r="G220" s="3491"/>
    </row>
    <row r="221" spans="1:7">
      <c r="A221" s="3484" t="s">
        <v>1154</v>
      </c>
      <c r="B221" s="3473" t="s">
        <v>3095</v>
      </c>
      <c r="C221" s="3485"/>
      <c r="D221" s="3485"/>
      <c r="E221" s="3485"/>
      <c r="F221" s="3474">
        <v>0.05</v>
      </c>
      <c r="G221" s="3491"/>
    </row>
    <row r="222" spans="1:7">
      <c r="A222" s="3484" t="s">
        <v>1154</v>
      </c>
      <c r="B222" s="3473" t="s">
        <v>3096</v>
      </c>
      <c r="C222" s="3485"/>
      <c r="D222" s="3485"/>
      <c r="E222" s="3485"/>
      <c r="F222" s="3474">
        <v>0.05</v>
      </c>
      <c r="G222" s="3491"/>
    </row>
    <row r="223" spans="1:7">
      <c r="A223" s="3484" t="s">
        <v>1154</v>
      </c>
      <c r="B223" s="3473" t="s">
        <v>3097</v>
      </c>
      <c r="C223" s="3485"/>
      <c r="D223" s="3485"/>
      <c r="E223" s="3485"/>
      <c r="F223" s="3474">
        <v>0.05</v>
      </c>
      <c r="G223" s="3491"/>
    </row>
    <row r="224" spans="1:7">
      <c r="A224" s="3484" t="s">
        <v>1154</v>
      </c>
      <c r="B224" s="3473" t="s">
        <v>3098</v>
      </c>
      <c r="C224" s="3485"/>
      <c r="D224" s="3485"/>
      <c r="E224" s="3485"/>
      <c r="F224" s="3474">
        <v>0.05</v>
      </c>
      <c r="G224" s="3491"/>
    </row>
    <row r="225" spans="1:7">
      <c r="A225" s="3484" t="s">
        <v>1154</v>
      </c>
      <c r="B225" s="3473" t="s">
        <v>3099</v>
      </c>
      <c r="C225" s="3485"/>
      <c r="D225" s="3485"/>
      <c r="E225" s="3485"/>
      <c r="F225" s="3474">
        <v>0.05</v>
      </c>
      <c r="G225" s="3491"/>
    </row>
    <row r="226" spans="1:7">
      <c r="A226" s="3484" t="s">
        <v>1154</v>
      </c>
      <c r="B226" s="3473" t="s">
        <v>3100</v>
      </c>
      <c r="C226" s="3485"/>
      <c r="D226" s="3485"/>
      <c r="E226" s="3485"/>
      <c r="F226" s="3474">
        <v>0.05</v>
      </c>
      <c r="G226" s="3491"/>
    </row>
    <row r="227" spans="1:7">
      <c r="A227" s="3484" t="s">
        <v>1154</v>
      </c>
      <c r="B227" s="3473" t="s">
        <v>3101</v>
      </c>
      <c r="C227" s="3485"/>
      <c r="D227" s="3485"/>
      <c r="E227" s="3485"/>
      <c r="F227" s="3474">
        <v>0.05</v>
      </c>
      <c r="G227" s="3491"/>
    </row>
    <row r="228" spans="1:7">
      <c r="A228" s="3484" t="s">
        <v>1154</v>
      </c>
      <c r="B228" s="3473" t="s">
        <v>3102</v>
      </c>
      <c r="C228" s="3485"/>
      <c r="D228" s="3485"/>
      <c r="E228" s="3485"/>
      <c r="F228" s="3474">
        <v>0.05</v>
      </c>
      <c r="G228" s="3491"/>
    </row>
    <row r="229" spans="1:7">
      <c r="A229" s="3484" t="s">
        <v>1154</v>
      </c>
      <c r="B229" s="3473" t="s">
        <v>3103</v>
      </c>
      <c r="C229" s="3485"/>
      <c r="D229" s="3485"/>
      <c r="E229" s="3485"/>
      <c r="F229" s="3474">
        <v>0.05</v>
      </c>
      <c r="G229" s="3491"/>
    </row>
    <row r="230" spans="1:7">
      <c r="A230" s="3484" t="s">
        <v>1154</v>
      </c>
      <c r="B230" s="3473" t="s">
        <v>3104</v>
      </c>
      <c r="C230" s="3485"/>
      <c r="D230" s="3485"/>
      <c r="E230" s="3485"/>
      <c r="F230" s="3474">
        <v>0.05</v>
      </c>
      <c r="G230" s="3491"/>
    </row>
    <row r="231" spans="1:7">
      <c r="A231" s="3484" t="s">
        <v>1154</v>
      </c>
      <c r="B231" s="3473" t="s">
        <v>3105</v>
      </c>
      <c r="C231" s="3485"/>
      <c r="D231" s="3485"/>
      <c r="E231" s="3485"/>
      <c r="F231" s="3474">
        <v>0.05</v>
      </c>
      <c r="G231" s="3491"/>
    </row>
    <row r="232" spans="1:7">
      <c r="A232" s="3484" t="s">
        <v>1154</v>
      </c>
      <c r="B232" s="3473" t="s">
        <v>3106</v>
      </c>
      <c r="C232" s="3485"/>
      <c r="D232" s="3485"/>
      <c r="E232" s="3485"/>
      <c r="F232" s="3474">
        <v>0.05</v>
      </c>
      <c r="G232" s="3491"/>
    </row>
    <row r="233" spans="1:7" ht="15" thickBot="1">
      <c r="A233" s="3487" t="s">
        <v>1154</v>
      </c>
      <c r="B233" s="3477" t="s">
        <v>3107</v>
      </c>
      <c r="C233" s="3479"/>
      <c r="D233" s="3479"/>
      <c r="E233" s="3479"/>
      <c r="F233" s="3478">
        <v>0.05</v>
      </c>
      <c r="G233" s="3492"/>
    </row>
    <row r="234" spans="1:7">
      <c r="A234" s="3483" t="s">
        <v>1155</v>
      </c>
      <c r="B234" s="3469" t="s">
        <v>3108</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2929</v>
      </c>
      <c r="C238" s="3474">
        <v>0.14899999999999999</v>
      </c>
      <c r="D238" s="3474">
        <v>0.14899999999999999</v>
      </c>
      <c r="E238" s="3474">
        <v>0.15</v>
      </c>
      <c r="F238" s="3474">
        <v>0.15</v>
      </c>
      <c r="G238" s="3475">
        <v>0.15</v>
      </c>
    </row>
    <row r="239" spans="1:7">
      <c r="A239" s="3484" t="s">
        <v>1155</v>
      </c>
      <c r="B239" s="3473" t="s">
        <v>3109</v>
      </c>
      <c r="C239" s="3474">
        <v>0.15</v>
      </c>
      <c r="D239" s="3474">
        <v>0.15</v>
      </c>
      <c r="E239" s="3474">
        <v>0.15</v>
      </c>
      <c r="F239" s="3474">
        <v>0.15</v>
      </c>
      <c r="G239" s="3475">
        <v>0.15</v>
      </c>
    </row>
    <row r="240" spans="1:7">
      <c r="A240" s="3484" t="s">
        <v>1155</v>
      </c>
      <c r="B240" s="3473" t="s">
        <v>3110</v>
      </c>
      <c r="C240" s="3474">
        <v>0.15</v>
      </c>
      <c r="D240" s="3474">
        <v>0.15</v>
      </c>
      <c r="E240" s="3474">
        <v>0.15</v>
      </c>
      <c r="F240" s="3474">
        <v>0.15</v>
      </c>
      <c r="G240" s="3475">
        <v>0.15</v>
      </c>
    </row>
    <row r="241" spans="1:7">
      <c r="A241" s="3484" t="s">
        <v>1155</v>
      </c>
      <c r="B241" s="3473" t="s">
        <v>3111</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3112</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3113</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3114</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3115</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3116</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2938</v>
      </c>
      <c r="C258" s="3474">
        <v>0.14299999999999999</v>
      </c>
      <c r="D258" s="3474">
        <v>0.14299999999999999</v>
      </c>
      <c r="E258" s="3474">
        <v>0.15</v>
      </c>
      <c r="F258" s="3474">
        <v>0.14799999999999999</v>
      </c>
      <c r="G258" s="3475">
        <v>0.14599999999999999</v>
      </c>
    </row>
    <row r="259" spans="1:7">
      <c r="A259" s="3484" t="s">
        <v>1155</v>
      </c>
      <c r="B259" s="3473" t="s">
        <v>3117</v>
      </c>
      <c r="C259" s="3474">
        <v>0.14399999999999999</v>
      </c>
      <c r="D259" s="3474">
        <v>0.14399999999999999</v>
      </c>
      <c r="E259" s="3474">
        <v>0.14899999999999999</v>
      </c>
      <c r="F259" s="3474">
        <v>0.14699999999999999</v>
      </c>
      <c r="G259" s="3475">
        <v>0.14599999999999999</v>
      </c>
    </row>
    <row r="260" spans="1:7">
      <c r="A260" s="3484" t="s">
        <v>1155</v>
      </c>
      <c r="B260" s="3473" t="s">
        <v>3118</v>
      </c>
      <c r="C260" s="3474">
        <v>0.109</v>
      </c>
      <c r="D260" s="3474">
        <v>0.111</v>
      </c>
      <c r="E260" s="3474">
        <v>0.13100000000000001</v>
      </c>
      <c r="F260" s="3474">
        <v>0.126</v>
      </c>
      <c r="G260" s="3475">
        <v>0.11899999999999999</v>
      </c>
    </row>
    <row r="261" spans="1:7">
      <c r="A261" s="3484" t="s">
        <v>1155</v>
      </c>
      <c r="B261" s="3473" t="s">
        <v>3119</v>
      </c>
      <c r="C261" s="3474">
        <v>0.1</v>
      </c>
      <c r="D261" s="3474">
        <v>0.1</v>
      </c>
      <c r="E261" s="3474">
        <v>0.11799999999999999</v>
      </c>
      <c r="F261" s="3474">
        <v>0.108</v>
      </c>
      <c r="G261" s="3475">
        <v>0.107</v>
      </c>
    </row>
    <row r="262" spans="1:7">
      <c r="A262" s="3484" t="s">
        <v>1155</v>
      </c>
      <c r="B262" s="3473" t="s">
        <v>3120</v>
      </c>
      <c r="C262" s="3474">
        <v>0.1</v>
      </c>
      <c r="D262" s="3474">
        <v>0.1</v>
      </c>
      <c r="E262" s="3474">
        <v>0.1</v>
      </c>
      <c r="F262" s="3474">
        <v>0.14099999999999999</v>
      </c>
      <c r="G262" s="3475">
        <v>0.1</v>
      </c>
    </row>
    <row r="263" spans="1:7">
      <c r="A263" s="3484" t="s">
        <v>1155</v>
      </c>
      <c r="B263" s="3473" t="s">
        <v>3121</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3122</v>
      </c>
      <c r="C265" s="3485"/>
      <c r="D265" s="3485"/>
      <c r="E265" s="3485"/>
      <c r="F265" s="3474">
        <v>0.05</v>
      </c>
      <c r="G265" s="3491"/>
    </row>
    <row r="266" spans="1:7">
      <c r="A266" s="3484" t="s">
        <v>1155</v>
      </c>
      <c r="B266" s="3473" t="s">
        <v>3123</v>
      </c>
      <c r="C266" s="3485"/>
      <c r="D266" s="3485"/>
      <c r="E266" s="3485"/>
      <c r="F266" s="3474">
        <v>0.05</v>
      </c>
      <c r="G266" s="3491"/>
    </row>
    <row r="267" spans="1:7">
      <c r="A267" s="3484" t="s">
        <v>1155</v>
      </c>
      <c r="B267" s="3473" t="s">
        <v>3124</v>
      </c>
      <c r="C267" s="3485"/>
      <c r="D267" s="3485"/>
      <c r="E267" s="3485"/>
      <c r="F267" s="3474">
        <v>0.05</v>
      </c>
      <c r="G267" s="3491"/>
    </row>
    <row r="268" spans="1:7">
      <c r="A268" s="3484" t="s">
        <v>1155</v>
      </c>
      <c r="B268" s="3473" t="s">
        <v>3125</v>
      </c>
      <c r="C268" s="3485"/>
      <c r="D268" s="3485"/>
      <c r="E268" s="3485"/>
      <c r="F268" s="3474">
        <v>0.05</v>
      </c>
      <c r="G268" s="3491"/>
    </row>
    <row r="269" spans="1:7">
      <c r="A269" s="3484" t="s">
        <v>1155</v>
      </c>
      <c r="B269" s="3473" t="s">
        <v>3126</v>
      </c>
      <c r="C269" s="3485"/>
      <c r="D269" s="3485"/>
      <c r="E269" s="3485"/>
      <c r="F269" s="3474">
        <v>0.05</v>
      </c>
      <c r="G269" s="3491"/>
    </row>
    <row r="270" spans="1:7">
      <c r="A270" s="3484" t="s">
        <v>1155</v>
      </c>
      <c r="B270" s="3473" t="s">
        <v>3127</v>
      </c>
      <c r="C270" s="3485"/>
      <c r="D270" s="3485"/>
      <c r="E270" s="3485"/>
      <c r="F270" s="3474">
        <v>0.05</v>
      </c>
      <c r="G270" s="3491"/>
    </row>
    <row r="271" spans="1:7">
      <c r="A271" s="3484" t="s">
        <v>1155</v>
      </c>
      <c r="B271" s="3473" t="s">
        <v>3128</v>
      </c>
      <c r="C271" s="3485"/>
      <c r="D271" s="3485"/>
      <c r="E271" s="3485"/>
      <c r="F271" s="3474">
        <v>0.05</v>
      </c>
      <c r="G271" s="3491"/>
    </row>
    <row r="272" spans="1:7">
      <c r="A272" s="3484" t="s">
        <v>1155</v>
      </c>
      <c r="B272" s="3473" t="s">
        <v>3129</v>
      </c>
      <c r="C272" s="3485"/>
      <c r="D272" s="3485"/>
      <c r="E272" s="3485"/>
      <c r="F272" s="3474">
        <v>0.05</v>
      </c>
      <c r="G272" s="3491"/>
    </row>
    <row r="273" spans="1:7">
      <c r="A273" s="3484" t="s">
        <v>1155</v>
      </c>
      <c r="B273" s="3473" t="s">
        <v>3130</v>
      </c>
      <c r="C273" s="3485"/>
      <c r="D273" s="3485"/>
      <c r="E273" s="3485"/>
      <c r="F273" s="3474">
        <v>0.05</v>
      </c>
      <c r="G273" s="3491"/>
    </row>
    <row r="274" spans="1:7">
      <c r="A274" s="3484" t="s">
        <v>1155</v>
      </c>
      <c r="B274" s="3473" t="s">
        <v>3131</v>
      </c>
      <c r="C274" s="3485"/>
      <c r="D274" s="3485"/>
      <c r="E274" s="3485"/>
      <c r="F274" s="3474">
        <v>0.05</v>
      </c>
      <c r="G274" s="3491"/>
    </row>
    <row r="275" spans="1:7">
      <c r="A275" s="3484" t="s">
        <v>1155</v>
      </c>
      <c r="B275" s="3473" t="s">
        <v>3132</v>
      </c>
      <c r="C275" s="3485"/>
      <c r="D275" s="3485"/>
      <c r="E275" s="3485"/>
      <c r="F275" s="3474">
        <v>0.05</v>
      </c>
      <c r="G275" s="3491"/>
    </row>
    <row r="276" spans="1:7" ht="15" thickBot="1">
      <c r="A276" s="3487" t="s">
        <v>1155</v>
      </c>
      <c r="B276" s="3477" t="s">
        <v>3133</v>
      </c>
      <c r="C276" s="3479"/>
      <c r="D276" s="3479"/>
      <c r="E276" s="3479"/>
      <c r="F276" s="3478">
        <v>0.05</v>
      </c>
      <c r="G276" s="3492"/>
    </row>
    <row r="277" spans="1:7">
      <c r="A277" s="3483" t="s">
        <v>1156</v>
      </c>
      <c r="B277" s="3469" t="s">
        <v>3134</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3135</v>
      </c>
      <c r="C279" s="3474">
        <v>0.15</v>
      </c>
      <c r="D279" s="3474">
        <v>0.15</v>
      </c>
      <c r="E279" s="3474">
        <v>0.15</v>
      </c>
      <c r="F279" s="3474">
        <v>0.15</v>
      </c>
      <c r="G279" s="3475">
        <v>0.15</v>
      </c>
    </row>
    <row r="280" spans="1:7">
      <c r="A280" s="3484" t="s">
        <v>1156</v>
      </c>
      <c r="B280" s="3473" t="s">
        <v>3136</v>
      </c>
      <c r="C280" s="3474">
        <v>0.15</v>
      </c>
      <c r="D280" s="3474">
        <v>0.15</v>
      </c>
      <c r="E280" s="3474">
        <v>0.15</v>
      </c>
      <c r="F280" s="3474">
        <v>0.15</v>
      </c>
      <c r="G280" s="3475">
        <v>0.15</v>
      </c>
    </row>
    <row r="281" spans="1:7">
      <c r="A281" s="3484" t="s">
        <v>1156</v>
      </c>
      <c r="B281" s="3473" t="s">
        <v>3137</v>
      </c>
      <c r="C281" s="3474">
        <v>0.15</v>
      </c>
      <c r="D281" s="3474">
        <v>0.15</v>
      </c>
      <c r="E281" s="3474">
        <v>0.15</v>
      </c>
      <c r="F281" s="3474">
        <v>0.15</v>
      </c>
      <c r="G281" s="3475">
        <v>0.15</v>
      </c>
    </row>
    <row r="282" spans="1:7">
      <c r="A282" s="3484" t="s">
        <v>1156</v>
      </c>
      <c r="B282" s="3473" t="s">
        <v>3138</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3139</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3140</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2963</v>
      </c>
      <c r="C293" s="3474">
        <v>0.15</v>
      </c>
      <c r="D293" s="3474">
        <v>0.15</v>
      </c>
      <c r="E293" s="3474">
        <v>0.15</v>
      </c>
      <c r="F293" s="3474">
        <v>0.14499999999999999</v>
      </c>
      <c r="G293" s="3475">
        <v>0.15</v>
      </c>
    </row>
    <row r="294" spans="1:7">
      <c r="A294" s="3484" t="s">
        <v>1156</v>
      </c>
      <c r="B294" s="3473" t="s">
        <v>3141</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2965</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3142</v>
      </c>
      <c r="C302" s="3474">
        <v>0.15</v>
      </c>
      <c r="D302" s="3474">
        <v>0.15</v>
      </c>
      <c r="E302" s="3474">
        <v>0.15</v>
      </c>
      <c r="F302" s="3474">
        <v>0.14699999999999999</v>
      </c>
      <c r="G302" s="3475">
        <v>0.15</v>
      </c>
    </row>
    <row r="303" spans="1:7">
      <c r="A303" s="3484" t="s">
        <v>1156</v>
      </c>
      <c r="B303" s="3473" t="s">
        <v>2967</v>
      </c>
      <c r="C303" s="3474">
        <v>0.15</v>
      </c>
      <c r="D303" s="3474">
        <v>0.15</v>
      </c>
      <c r="E303" s="3474">
        <v>0.15</v>
      </c>
      <c r="F303" s="3474">
        <v>0.14199999999999999</v>
      </c>
      <c r="G303" s="3475">
        <v>0.15</v>
      </c>
    </row>
    <row r="304" spans="1:7">
      <c r="A304" s="3484" t="s">
        <v>1156</v>
      </c>
      <c r="B304" s="3473" t="s">
        <v>2968</v>
      </c>
      <c r="C304" s="3474">
        <v>0.15</v>
      </c>
      <c r="D304" s="3474">
        <v>0.15</v>
      </c>
      <c r="E304" s="3474">
        <v>0.15</v>
      </c>
      <c r="F304" s="3474">
        <v>0.14499999999999999</v>
      </c>
      <c r="G304" s="3475">
        <v>0.15</v>
      </c>
    </row>
    <row r="305" spans="1:7">
      <c r="A305" s="3484" t="s">
        <v>1156</v>
      </c>
      <c r="B305" s="3473" t="s">
        <v>2969</v>
      </c>
      <c r="C305" s="3474">
        <v>0.15</v>
      </c>
      <c r="D305" s="3474">
        <v>0.15</v>
      </c>
      <c r="E305" s="3474">
        <v>0.15</v>
      </c>
      <c r="F305" s="3474">
        <v>0.111</v>
      </c>
      <c r="G305" s="3475">
        <v>0.15</v>
      </c>
    </row>
    <row r="306" spans="1:7">
      <c r="A306" s="3484" t="s">
        <v>1156</v>
      </c>
      <c r="B306" s="3473" t="s">
        <v>3143</v>
      </c>
      <c r="C306" s="3474">
        <v>0.15</v>
      </c>
      <c r="D306" s="3474">
        <v>0.15</v>
      </c>
      <c r="E306" s="3474">
        <v>0.15</v>
      </c>
      <c r="F306" s="3474">
        <v>0.126</v>
      </c>
      <c r="G306" s="3475">
        <v>0.15</v>
      </c>
    </row>
    <row r="307" spans="1:7">
      <c r="A307" s="3484" t="s">
        <v>1156</v>
      </c>
      <c r="B307" s="3473" t="s">
        <v>2971</v>
      </c>
      <c r="C307" s="3474">
        <v>0.15</v>
      </c>
      <c r="D307" s="3474">
        <v>0.15</v>
      </c>
      <c r="E307" s="3474">
        <v>0.15</v>
      </c>
      <c r="F307" s="3474">
        <v>0.12</v>
      </c>
      <c r="G307" s="3475">
        <v>0.15</v>
      </c>
    </row>
    <row r="308" spans="1:7">
      <c r="A308" s="3484" t="s">
        <v>1156</v>
      </c>
      <c r="B308" s="3473" t="s">
        <v>3144</v>
      </c>
      <c r="C308" s="3474">
        <v>0.15</v>
      </c>
      <c r="D308" s="3474">
        <v>0.15</v>
      </c>
      <c r="E308" s="3474">
        <v>0.15</v>
      </c>
      <c r="F308" s="3474">
        <v>0.13</v>
      </c>
      <c r="G308" s="3475">
        <v>0.15</v>
      </c>
    </row>
    <row r="309" spans="1:7">
      <c r="A309" s="3484" t="s">
        <v>1156</v>
      </c>
      <c r="B309" s="3473" t="s">
        <v>3145</v>
      </c>
      <c r="C309" s="3474">
        <v>0.15</v>
      </c>
      <c r="D309" s="3474">
        <v>0.15</v>
      </c>
      <c r="E309" s="3474">
        <v>0.15</v>
      </c>
      <c r="F309" s="3474">
        <v>0.14099999999999999</v>
      </c>
      <c r="G309" s="3475">
        <v>0.15</v>
      </c>
    </row>
    <row r="310" spans="1:7">
      <c r="A310" s="3484" t="s">
        <v>1156</v>
      </c>
      <c r="B310" s="3473" t="s">
        <v>2974</v>
      </c>
      <c r="C310" s="3474">
        <v>0.15</v>
      </c>
      <c r="D310" s="3474">
        <v>0.15</v>
      </c>
      <c r="E310" s="3474">
        <v>0.15</v>
      </c>
      <c r="F310" s="3474">
        <v>0.15</v>
      </c>
      <c r="G310" s="3475">
        <v>0.15</v>
      </c>
    </row>
    <row r="311" spans="1:7">
      <c r="A311" s="3484" t="s">
        <v>1156</v>
      </c>
      <c r="B311" s="3473" t="s">
        <v>3146</v>
      </c>
      <c r="C311" s="3474">
        <v>0.13200000000000001</v>
      </c>
      <c r="D311" s="3474">
        <v>0.13300000000000001</v>
      </c>
      <c r="E311" s="3474">
        <v>0.14499999999999999</v>
      </c>
      <c r="F311" s="3474">
        <v>0.14199999999999999</v>
      </c>
      <c r="G311" s="3475">
        <v>0.14000000000000001</v>
      </c>
    </row>
    <row r="312" spans="1:7">
      <c r="A312" s="3484" t="s">
        <v>1156</v>
      </c>
      <c r="B312" s="3473" t="s">
        <v>2976</v>
      </c>
      <c r="C312" s="3474">
        <v>0.13800000000000001</v>
      </c>
      <c r="D312" s="3474">
        <v>0.14000000000000001</v>
      </c>
      <c r="E312" s="3474">
        <v>0.14599999999999999</v>
      </c>
      <c r="F312" s="3474">
        <v>0.14899999999999999</v>
      </c>
      <c r="G312" s="3475">
        <v>0.14199999999999999</v>
      </c>
    </row>
    <row r="313" spans="1:7">
      <c r="A313" s="3484" t="s">
        <v>1156</v>
      </c>
      <c r="B313" s="3473" t="s">
        <v>2977</v>
      </c>
      <c r="C313" s="3474">
        <v>0.125</v>
      </c>
      <c r="D313" s="3474">
        <v>0.127</v>
      </c>
      <c r="E313" s="3474">
        <v>0.14399999999999999</v>
      </c>
      <c r="F313" s="3474">
        <v>0.115</v>
      </c>
      <c r="G313" s="3475">
        <v>0.13600000000000001</v>
      </c>
    </row>
    <row r="314" spans="1:7">
      <c r="A314" s="3484" t="s">
        <v>1156</v>
      </c>
      <c r="B314" s="3473" t="s">
        <v>3147</v>
      </c>
      <c r="C314" s="3490"/>
      <c r="D314" s="3490"/>
      <c r="E314" s="3490"/>
      <c r="F314" s="3474">
        <v>0.05</v>
      </c>
      <c r="G314" s="3491"/>
    </row>
    <row r="315" spans="1:7">
      <c r="A315" s="3484" t="s">
        <v>1156</v>
      </c>
      <c r="B315" s="3473" t="s">
        <v>3148</v>
      </c>
      <c r="C315" s="3490"/>
      <c r="D315" s="3490"/>
      <c r="E315" s="3490"/>
      <c r="F315" s="3474">
        <v>0.05</v>
      </c>
      <c r="G315" s="3491"/>
    </row>
    <row r="316" spans="1:7">
      <c r="A316" s="3484" t="s">
        <v>1156</v>
      </c>
      <c r="B316" s="3473" t="s">
        <v>3149</v>
      </c>
      <c r="C316" s="3485"/>
      <c r="D316" s="3485"/>
      <c r="E316" s="3485"/>
      <c r="F316" s="3474">
        <v>0.05</v>
      </c>
      <c r="G316" s="3491"/>
    </row>
    <row r="317" spans="1:7">
      <c r="A317" s="3484" t="s">
        <v>1156</v>
      </c>
      <c r="B317" s="3473" t="s">
        <v>3150</v>
      </c>
      <c r="C317" s="3485"/>
      <c r="D317" s="3485"/>
      <c r="E317" s="3485"/>
      <c r="F317" s="3474">
        <v>0.05</v>
      </c>
      <c r="G317" s="3491"/>
    </row>
    <row r="318" spans="1:7">
      <c r="A318" s="3484" t="s">
        <v>1156</v>
      </c>
      <c r="B318" s="3473" t="s">
        <v>3151</v>
      </c>
      <c r="C318" s="3485"/>
      <c r="D318" s="3485"/>
      <c r="E318" s="3485"/>
      <c r="F318" s="3474">
        <v>0.05</v>
      </c>
      <c r="G318" s="3491"/>
    </row>
    <row r="319" spans="1:7">
      <c r="A319" s="3484" t="s">
        <v>1156</v>
      </c>
      <c r="B319" s="3473" t="s">
        <v>3152</v>
      </c>
      <c r="C319" s="3485"/>
      <c r="D319" s="3485"/>
      <c r="E319" s="3485"/>
      <c r="F319" s="3474">
        <v>0.05</v>
      </c>
      <c r="G319" s="3491"/>
    </row>
    <row r="320" spans="1:7">
      <c r="A320" s="3484" t="s">
        <v>1156</v>
      </c>
      <c r="B320" s="3473" t="s">
        <v>3153</v>
      </c>
      <c r="C320" s="3485"/>
      <c r="D320" s="3485"/>
      <c r="E320" s="3485"/>
      <c r="F320" s="3474">
        <v>0.05</v>
      </c>
      <c r="G320" s="3491"/>
    </row>
    <row r="321" spans="1:7">
      <c r="A321" s="3484" t="s">
        <v>1156</v>
      </c>
      <c r="B321" s="3473" t="s">
        <v>3154</v>
      </c>
      <c r="C321" s="3485"/>
      <c r="D321" s="3485"/>
      <c r="E321" s="3485"/>
      <c r="F321" s="3474">
        <v>0.05</v>
      </c>
      <c r="G321" s="3491"/>
    </row>
    <row r="322" spans="1:7">
      <c r="A322" s="3484" t="s">
        <v>1156</v>
      </c>
      <c r="B322" s="3473" t="s">
        <v>3155</v>
      </c>
      <c r="C322" s="3485"/>
      <c r="D322" s="3485"/>
      <c r="E322" s="3485"/>
      <c r="F322" s="3474">
        <v>0.05</v>
      </c>
      <c r="G322" s="3491"/>
    </row>
    <row r="323" spans="1:7">
      <c r="A323" s="3484" t="s">
        <v>1156</v>
      </c>
      <c r="B323" s="3473" t="s">
        <v>3156</v>
      </c>
      <c r="C323" s="3485"/>
      <c r="D323" s="3485"/>
      <c r="E323" s="3485"/>
      <c r="F323" s="3474">
        <v>0.05</v>
      </c>
      <c r="G323" s="3491"/>
    </row>
    <row r="324" spans="1:7">
      <c r="A324" s="3484" t="s">
        <v>1156</v>
      </c>
      <c r="B324" s="3473" t="s">
        <v>3157</v>
      </c>
      <c r="C324" s="3485"/>
      <c r="D324" s="3485"/>
      <c r="E324" s="3485"/>
      <c r="F324" s="3474">
        <v>0.05</v>
      </c>
      <c r="G324" s="3491"/>
    </row>
    <row r="325" spans="1:7">
      <c r="A325" s="3484" t="s">
        <v>1156</v>
      </c>
      <c r="B325" s="3473" t="s">
        <v>3158</v>
      </c>
      <c r="C325" s="3485"/>
      <c r="D325" s="3485"/>
      <c r="E325" s="3485"/>
      <c r="F325" s="3474">
        <v>0.05</v>
      </c>
      <c r="G325" s="3491"/>
    </row>
    <row r="326" spans="1:7" ht="15" thickBot="1">
      <c r="A326" s="3487" t="s">
        <v>1156</v>
      </c>
      <c r="B326" s="3477" t="s">
        <v>3159</v>
      </c>
      <c r="C326" s="3479"/>
      <c r="D326" s="3479"/>
      <c r="E326" s="3479"/>
      <c r="F326" s="3478">
        <v>0.05</v>
      </c>
      <c r="G326" s="3492"/>
    </row>
    <row r="327" spans="1:7">
      <c r="A327" s="3483" t="s">
        <v>1157</v>
      </c>
      <c r="B327" s="3469" t="s">
        <v>3160</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3161</v>
      </c>
      <c r="C329" s="3474">
        <v>0.15</v>
      </c>
      <c r="D329" s="3474">
        <v>0.15</v>
      </c>
      <c r="E329" s="3474">
        <v>0.15</v>
      </c>
      <c r="F329" s="3474">
        <v>0.15</v>
      </c>
      <c r="G329" s="3475">
        <v>0.15</v>
      </c>
    </row>
    <row r="330" spans="1:7">
      <c r="A330" s="3484" t="s">
        <v>1157</v>
      </c>
      <c r="B330" s="3473" t="s">
        <v>3162</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2994</v>
      </c>
      <c r="C332" s="3474">
        <v>0.15</v>
      </c>
      <c r="D332" s="3474">
        <v>0.15</v>
      </c>
      <c r="E332" s="3474">
        <v>0.15</v>
      </c>
      <c r="F332" s="3474">
        <v>0.15</v>
      </c>
      <c r="G332" s="3475">
        <v>0.15</v>
      </c>
    </row>
    <row r="333" spans="1:7">
      <c r="A333" s="3484" t="s">
        <v>1157</v>
      </c>
      <c r="B333" s="3473" t="s">
        <v>3163</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2996</v>
      </c>
      <c r="C336" s="3474">
        <v>0.15</v>
      </c>
      <c r="D336" s="3474">
        <v>0.15</v>
      </c>
      <c r="E336" s="3474">
        <v>0.15</v>
      </c>
      <c r="F336" s="3474">
        <v>0.14199999999999999</v>
      </c>
      <c r="G336" s="3475">
        <v>0.15</v>
      </c>
    </row>
    <row r="337" spans="1:7">
      <c r="A337" s="3484" t="s">
        <v>1157</v>
      </c>
      <c r="B337" s="3473" t="s">
        <v>3164</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3165</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3166</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3000</v>
      </c>
      <c r="C345" s="3474">
        <v>0.15</v>
      </c>
      <c r="D345" s="3474">
        <v>0.15</v>
      </c>
      <c r="E345" s="3474">
        <v>0.15</v>
      </c>
      <c r="F345" s="3474">
        <v>0.13800000000000001</v>
      </c>
      <c r="G345" s="3475">
        <v>0.15</v>
      </c>
    </row>
    <row r="346" spans="1:7">
      <c r="A346" s="3484" t="s">
        <v>1157</v>
      </c>
      <c r="B346" s="3473" t="s">
        <v>3167</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3002</v>
      </c>
      <c r="C348" s="3474">
        <v>0.15</v>
      </c>
      <c r="D348" s="3474">
        <v>0.15</v>
      </c>
      <c r="E348" s="3474">
        <v>0.15</v>
      </c>
      <c r="F348" s="3474">
        <v>0.14399999999999999</v>
      </c>
      <c r="G348" s="3475">
        <v>0.15</v>
      </c>
    </row>
    <row r="349" spans="1:7">
      <c r="A349" s="3484" t="s">
        <v>1157</v>
      </c>
      <c r="B349" s="3473" t="s">
        <v>3003</v>
      </c>
      <c r="C349" s="3474">
        <v>0.15</v>
      </c>
      <c r="D349" s="3474">
        <v>0.15</v>
      </c>
      <c r="E349" s="3474">
        <v>0.15</v>
      </c>
      <c r="F349" s="3474">
        <v>0.15</v>
      </c>
      <c r="G349" s="3475">
        <v>0.15</v>
      </c>
    </row>
    <row r="350" spans="1:7">
      <c r="A350" s="3484" t="s">
        <v>1157</v>
      </c>
      <c r="B350" s="3473" t="s">
        <v>3168</v>
      </c>
      <c r="C350" s="3474">
        <v>0.15</v>
      </c>
      <c r="D350" s="3474">
        <v>0.15</v>
      </c>
      <c r="E350" s="3474">
        <v>0.15</v>
      </c>
      <c r="F350" s="3474">
        <v>0.14699999999999999</v>
      </c>
      <c r="G350" s="3475">
        <v>0.15</v>
      </c>
    </row>
    <row r="351" spans="1:7">
      <c r="A351" s="3484" t="s">
        <v>1157</v>
      </c>
      <c r="B351" s="3473" t="s">
        <v>3005</v>
      </c>
      <c r="C351" s="3474">
        <v>0.15</v>
      </c>
      <c r="D351" s="3474">
        <v>0.15</v>
      </c>
      <c r="E351" s="3474">
        <v>0.15</v>
      </c>
      <c r="F351" s="3474">
        <v>0.13</v>
      </c>
      <c r="G351" s="3475">
        <v>0.15</v>
      </c>
    </row>
    <row r="352" spans="1:7">
      <c r="A352" s="3484" t="s">
        <v>1157</v>
      </c>
      <c r="B352" s="3473" t="s">
        <v>3006</v>
      </c>
      <c r="C352" s="3474">
        <v>0.15</v>
      </c>
      <c r="D352" s="3474">
        <v>0.15</v>
      </c>
      <c r="E352" s="3474">
        <v>0.15</v>
      </c>
      <c r="F352" s="3474">
        <v>0.14599999999999999</v>
      </c>
      <c r="G352" s="3475">
        <v>0.15</v>
      </c>
    </row>
    <row r="353" spans="1:7">
      <c r="A353" s="3484" t="s">
        <v>1157</v>
      </c>
      <c r="B353" s="3473" t="s">
        <v>3169</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3008</v>
      </c>
      <c r="C355" s="3474">
        <v>0.15</v>
      </c>
      <c r="D355" s="3474">
        <v>0.15</v>
      </c>
      <c r="E355" s="3474">
        <v>0.15</v>
      </c>
      <c r="F355" s="3474">
        <v>0.15</v>
      </c>
      <c r="G355" s="3475">
        <v>0.15</v>
      </c>
    </row>
    <row r="356" spans="1:7">
      <c r="A356" s="3484" t="s">
        <v>1157</v>
      </c>
      <c r="B356" s="3473" t="s">
        <v>3009</v>
      </c>
      <c r="C356" s="3474">
        <v>0.15</v>
      </c>
      <c r="D356" s="3474">
        <v>0.15</v>
      </c>
      <c r="E356" s="3474">
        <v>0.15</v>
      </c>
      <c r="F356" s="3474">
        <v>0.15</v>
      </c>
      <c r="G356" s="3475">
        <v>0.15</v>
      </c>
    </row>
    <row r="357" spans="1:7" ht="15" thickBot="1">
      <c r="A357" s="3487" t="s">
        <v>1157</v>
      </c>
      <c r="B357" s="3477" t="s">
        <v>3170</v>
      </c>
      <c r="C357" s="3478">
        <v>0.126</v>
      </c>
      <c r="D357" s="3478">
        <v>0.127</v>
      </c>
      <c r="E357" s="3478">
        <v>0.14299999999999999</v>
      </c>
      <c r="F357" s="3478">
        <v>0.125</v>
      </c>
      <c r="G357" s="3480">
        <v>0.129</v>
      </c>
    </row>
    <row r="358" spans="1:7">
      <c r="A358" s="3483" t="s">
        <v>3171</v>
      </c>
      <c r="B358" s="3469" t="s">
        <v>3172</v>
      </c>
      <c r="C358" s="3470">
        <v>0.15</v>
      </c>
      <c r="D358" s="3470">
        <v>0.15</v>
      </c>
      <c r="E358" s="3470">
        <v>0.15</v>
      </c>
      <c r="F358" s="3470">
        <v>0.15</v>
      </c>
      <c r="G358" s="3471">
        <v>0.15</v>
      </c>
    </row>
    <row r="359" spans="1:7">
      <c r="A359" s="3484" t="s">
        <v>3171</v>
      </c>
      <c r="B359" s="3473" t="s">
        <v>3173</v>
      </c>
      <c r="C359" s="3474">
        <v>0.1</v>
      </c>
      <c r="D359" s="3474">
        <v>0.1</v>
      </c>
      <c r="E359" s="3474">
        <v>0.1</v>
      </c>
      <c r="F359" s="3474">
        <v>0.1</v>
      </c>
      <c r="G359" s="3475">
        <v>0.1</v>
      </c>
    </row>
    <row r="360" spans="1:7">
      <c r="A360" s="3484" t="s">
        <v>3171</v>
      </c>
      <c r="B360" s="3473" t="s">
        <v>3174</v>
      </c>
      <c r="C360" s="3474">
        <v>0.15</v>
      </c>
      <c r="D360" s="3474">
        <v>0.15</v>
      </c>
      <c r="E360" s="3474">
        <v>0.15</v>
      </c>
      <c r="F360" s="3474">
        <v>0.14899999999999999</v>
      </c>
      <c r="G360" s="3475">
        <v>0.15</v>
      </c>
    </row>
    <row r="361" spans="1:7">
      <c r="A361" s="3484" t="s">
        <v>3171</v>
      </c>
      <c r="B361" s="3473" t="s">
        <v>999</v>
      </c>
      <c r="C361" s="3474">
        <v>0.15</v>
      </c>
      <c r="D361" s="3474">
        <v>0.15</v>
      </c>
      <c r="E361" s="3474">
        <v>0.15</v>
      </c>
      <c r="F361" s="3474">
        <v>0.115</v>
      </c>
      <c r="G361" s="3475">
        <v>0.15</v>
      </c>
    </row>
    <row r="362" spans="1:7">
      <c r="A362" s="3484" t="s">
        <v>3171</v>
      </c>
      <c r="B362" s="3473" t="s">
        <v>3175</v>
      </c>
      <c r="C362" s="3474">
        <v>0.15</v>
      </c>
      <c r="D362" s="3474">
        <v>0.15</v>
      </c>
      <c r="E362" s="3474">
        <v>0.15</v>
      </c>
      <c r="F362" s="3474">
        <v>0.106</v>
      </c>
      <c r="G362" s="3475">
        <v>0.15</v>
      </c>
    </row>
    <row r="363" spans="1:7">
      <c r="A363" s="3484" t="s">
        <v>3171</v>
      </c>
      <c r="B363" s="3473" t="s">
        <v>3015</v>
      </c>
      <c r="C363" s="3474">
        <v>0.15</v>
      </c>
      <c r="D363" s="3474">
        <v>0.15</v>
      </c>
      <c r="E363" s="3474">
        <v>0.15</v>
      </c>
      <c r="F363" s="3474">
        <v>0.14699999999999999</v>
      </c>
      <c r="G363" s="3475">
        <v>0.15</v>
      </c>
    </row>
    <row r="364" spans="1:7">
      <c r="A364" s="3484" t="s">
        <v>3171</v>
      </c>
      <c r="B364" s="3473" t="s">
        <v>3176</v>
      </c>
      <c r="C364" s="3474">
        <v>0.15</v>
      </c>
      <c r="D364" s="3474">
        <v>0.15</v>
      </c>
      <c r="E364" s="3474">
        <v>0.15</v>
      </c>
      <c r="F364" s="3474">
        <v>0.14799999999999999</v>
      </c>
      <c r="G364" s="3475">
        <v>0.15</v>
      </c>
    </row>
    <row r="365" spans="1:7">
      <c r="A365" s="3484" t="s">
        <v>3171</v>
      </c>
      <c r="B365" s="3473" t="s">
        <v>1047</v>
      </c>
      <c r="C365" s="3474">
        <v>0.15</v>
      </c>
      <c r="D365" s="3474">
        <v>0.15</v>
      </c>
      <c r="E365" s="3474">
        <v>0.15</v>
      </c>
      <c r="F365" s="3474">
        <v>0.15</v>
      </c>
      <c r="G365" s="3475">
        <v>0.15</v>
      </c>
    </row>
    <row r="366" spans="1:7">
      <c r="A366" s="3484" t="s">
        <v>3171</v>
      </c>
      <c r="B366" s="3473" t="s">
        <v>3017</v>
      </c>
      <c r="C366" s="3474">
        <v>0.15</v>
      </c>
      <c r="D366" s="3474">
        <v>0.15</v>
      </c>
      <c r="E366" s="3474">
        <v>0.15</v>
      </c>
      <c r="F366" s="3474">
        <v>0.15</v>
      </c>
      <c r="G366" s="3475">
        <v>0.15</v>
      </c>
    </row>
    <row r="367" spans="1:7">
      <c r="A367" s="3484" t="s">
        <v>3171</v>
      </c>
      <c r="B367" s="3473" t="s">
        <v>3177</v>
      </c>
      <c r="C367" s="3474">
        <v>0.15</v>
      </c>
      <c r="D367" s="3474">
        <v>0.15</v>
      </c>
      <c r="E367" s="3474">
        <v>0.15</v>
      </c>
      <c r="F367" s="3474">
        <v>0.14699999999999999</v>
      </c>
      <c r="G367" s="3475">
        <v>0.15</v>
      </c>
    </row>
    <row r="368" spans="1:7">
      <c r="A368" s="3484" t="s">
        <v>3171</v>
      </c>
      <c r="B368" s="3473" t="s">
        <v>3178</v>
      </c>
      <c r="C368" s="3474">
        <v>0.15</v>
      </c>
      <c r="D368" s="3474">
        <v>0.15</v>
      </c>
      <c r="E368" s="3474">
        <v>0.15</v>
      </c>
      <c r="F368" s="3474">
        <v>0.13600000000000001</v>
      </c>
      <c r="G368" s="3475">
        <v>0.15</v>
      </c>
    </row>
    <row r="369" spans="1:7">
      <c r="A369" s="3484" t="s">
        <v>3171</v>
      </c>
      <c r="B369" s="3473" t="s">
        <v>1061</v>
      </c>
      <c r="C369" s="3474">
        <v>0.15</v>
      </c>
      <c r="D369" s="3474">
        <v>0.15</v>
      </c>
      <c r="E369" s="3474">
        <v>0.15</v>
      </c>
      <c r="F369" s="3474">
        <v>0.14399999999999999</v>
      </c>
      <c r="G369" s="3475">
        <v>0.15</v>
      </c>
    </row>
    <row r="370" spans="1:7">
      <c r="A370" s="3484" t="s">
        <v>3171</v>
      </c>
      <c r="B370" s="3473" t="s">
        <v>1069</v>
      </c>
      <c r="C370" s="3474">
        <v>0.15</v>
      </c>
      <c r="D370" s="3474">
        <v>0.15</v>
      </c>
      <c r="E370" s="3474">
        <v>0.15</v>
      </c>
      <c r="F370" s="3474">
        <v>0.14599999999999999</v>
      </c>
      <c r="G370" s="3475">
        <v>0.15</v>
      </c>
    </row>
    <row r="371" spans="1:7">
      <c r="A371" s="3484" t="s">
        <v>3171</v>
      </c>
      <c r="B371" s="3473" t="s">
        <v>1077</v>
      </c>
      <c r="C371" s="3474">
        <v>0.15</v>
      </c>
      <c r="D371" s="3474">
        <v>0.15</v>
      </c>
      <c r="E371" s="3474">
        <v>0.15</v>
      </c>
      <c r="F371" s="3474">
        <v>0.12</v>
      </c>
      <c r="G371" s="3475">
        <v>0.15</v>
      </c>
    </row>
    <row r="372" spans="1:7">
      <c r="A372" s="3484" t="s">
        <v>3171</v>
      </c>
      <c r="B372" s="3473" t="s">
        <v>3179</v>
      </c>
      <c r="C372" s="3474">
        <v>0.15</v>
      </c>
      <c r="D372" s="3474">
        <v>0.15</v>
      </c>
      <c r="E372" s="3474">
        <v>0.15</v>
      </c>
      <c r="F372" s="3474">
        <v>0.14299999999999999</v>
      </c>
      <c r="G372" s="3475">
        <v>0.15</v>
      </c>
    </row>
    <row r="373" spans="1:7">
      <c r="A373" s="3484" t="s">
        <v>3171</v>
      </c>
      <c r="B373" s="3473" t="s">
        <v>1106</v>
      </c>
      <c r="C373" s="3474">
        <v>0.15</v>
      </c>
      <c r="D373" s="3474">
        <v>0.15</v>
      </c>
      <c r="E373" s="3474">
        <v>0.15</v>
      </c>
      <c r="F373" s="3474">
        <v>0.14599999999999999</v>
      </c>
      <c r="G373" s="3475">
        <v>0.15</v>
      </c>
    </row>
    <row r="374" spans="1:7">
      <c r="A374" s="3484" t="s">
        <v>3171</v>
      </c>
      <c r="B374" s="3473" t="s">
        <v>1114</v>
      </c>
      <c r="C374" s="3474">
        <v>0.15</v>
      </c>
      <c r="D374" s="3474">
        <v>0.15</v>
      </c>
      <c r="E374" s="3474">
        <v>0.15</v>
      </c>
      <c r="F374" s="3474">
        <v>0.14399999999999999</v>
      </c>
      <c r="G374" s="3475">
        <v>0.15</v>
      </c>
    </row>
    <row r="375" spans="1:7">
      <c r="A375" s="3484" t="s">
        <v>3171</v>
      </c>
      <c r="B375" s="3473" t="s">
        <v>3180</v>
      </c>
      <c r="C375" s="3474">
        <v>0.15</v>
      </c>
      <c r="D375" s="3474">
        <v>0.15</v>
      </c>
      <c r="E375" s="3474">
        <v>0.15</v>
      </c>
      <c r="F375" s="3474">
        <v>0.13</v>
      </c>
      <c r="G375" s="3475">
        <v>0.15</v>
      </c>
    </row>
    <row r="376" spans="1:7">
      <c r="A376" s="3484" t="s">
        <v>3171</v>
      </c>
      <c r="B376" s="3473" t="s">
        <v>1126</v>
      </c>
      <c r="C376" s="3474">
        <v>0.15</v>
      </c>
      <c r="D376" s="3474">
        <v>0.15</v>
      </c>
      <c r="E376" s="3474">
        <v>0.15</v>
      </c>
      <c r="F376" s="3474">
        <v>0.14199999999999999</v>
      </c>
      <c r="G376" s="3475">
        <v>0.15</v>
      </c>
    </row>
    <row r="377" spans="1:7" ht="15" thickBot="1">
      <c r="A377" s="3487" t="s">
        <v>3171</v>
      </c>
      <c r="B377" s="3477" t="s">
        <v>3022</v>
      </c>
      <c r="C377" s="3478">
        <v>0.15</v>
      </c>
      <c r="D377" s="3478">
        <v>0.15</v>
      </c>
      <c r="E377" s="3478">
        <v>0.15</v>
      </c>
      <c r="F377" s="3478">
        <v>0.14000000000000001</v>
      </c>
      <c r="G377" s="3480">
        <v>0.15</v>
      </c>
    </row>
    <row r="378" spans="1:7">
      <c r="A378" s="3483" t="s">
        <v>3181</v>
      </c>
      <c r="B378" s="3469" t="s">
        <v>3182</v>
      </c>
      <c r="C378" s="3470">
        <v>0.15</v>
      </c>
      <c r="D378" s="3470">
        <v>0.15</v>
      </c>
      <c r="E378" s="3470">
        <v>0.15</v>
      </c>
      <c r="F378" s="3470">
        <v>0.107</v>
      </c>
      <c r="G378" s="3471">
        <v>0.15</v>
      </c>
    </row>
    <row r="379" spans="1:7">
      <c r="A379" s="3484" t="s">
        <v>3181</v>
      </c>
      <c r="B379" s="3473" t="s">
        <v>3183</v>
      </c>
      <c r="C379" s="3474">
        <v>0.15</v>
      </c>
      <c r="D379" s="3474">
        <v>0.15</v>
      </c>
      <c r="E379" s="3474">
        <v>0.15</v>
      </c>
      <c r="F379" s="3474">
        <v>0.115</v>
      </c>
      <c r="G379" s="3475">
        <v>0.14899999999999999</v>
      </c>
    </row>
    <row r="380" spans="1:7">
      <c r="A380" s="3484" t="s">
        <v>3184</v>
      </c>
      <c r="B380" s="3473" t="s">
        <v>3185</v>
      </c>
      <c r="C380" s="3474">
        <v>0.15</v>
      </c>
      <c r="D380" s="3474">
        <v>0.15</v>
      </c>
      <c r="E380" s="3474">
        <v>0.15</v>
      </c>
      <c r="F380" s="3474">
        <v>0.1</v>
      </c>
      <c r="G380" s="3475">
        <v>0.14799999999999999</v>
      </c>
    </row>
    <row r="381" spans="1:7">
      <c r="A381" s="3484" t="s">
        <v>3184</v>
      </c>
      <c r="B381" s="3473" t="s">
        <v>3186</v>
      </c>
      <c r="C381" s="3474">
        <v>0.15</v>
      </c>
      <c r="D381" s="3474">
        <v>0.15</v>
      </c>
      <c r="E381" s="3474">
        <v>0.15</v>
      </c>
      <c r="F381" s="3474">
        <v>0.126</v>
      </c>
      <c r="G381" s="3475">
        <v>0.15</v>
      </c>
    </row>
    <row r="382" spans="1:7">
      <c r="A382" s="3484" t="s">
        <v>3184</v>
      </c>
      <c r="B382" s="3473" t="s">
        <v>3187</v>
      </c>
      <c r="C382" s="3474">
        <v>0.15</v>
      </c>
      <c r="D382" s="3474">
        <v>0.15</v>
      </c>
      <c r="E382" s="3474">
        <v>0.15</v>
      </c>
      <c r="F382" s="3474">
        <v>0.15</v>
      </c>
      <c r="G382" s="3475">
        <v>0.15</v>
      </c>
    </row>
    <row r="383" spans="1:7">
      <c r="A383" s="3484" t="s">
        <v>3184</v>
      </c>
      <c r="B383" s="3473" t="s">
        <v>3188</v>
      </c>
      <c r="C383" s="3474">
        <v>0.15</v>
      </c>
      <c r="D383" s="3474">
        <v>0.15</v>
      </c>
      <c r="E383" s="3474">
        <v>0.15</v>
      </c>
      <c r="F383" s="3474">
        <v>0.14699999999999999</v>
      </c>
      <c r="G383" s="3475">
        <v>0.15</v>
      </c>
    </row>
    <row r="384" spans="1:7" ht="15" thickBot="1">
      <c r="A384" s="3494" t="s">
        <v>3184</v>
      </c>
      <c r="B384" s="3495" t="s">
        <v>3189</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22" t="s">
        <v>1858</v>
      </c>
      <c r="C1" s="3922"/>
      <c r="D1" s="3922"/>
      <c r="E1" s="3922"/>
      <c r="F1" s="3922"/>
      <c r="G1" s="3921" t="s">
        <v>1859</v>
      </c>
      <c r="H1" s="3921"/>
      <c r="I1" s="3921"/>
      <c r="J1" s="3921"/>
      <c r="K1" s="3921"/>
      <c r="L1" s="3921"/>
      <c r="N1" s="3921" t="s">
        <v>1860</v>
      </c>
      <c r="O1" s="3921"/>
      <c r="P1" s="3921"/>
      <c r="Q1" s="3921"/>
      <c r="S1" s="3921" t="s">
        <v>1861</v>
      </c>
      <c r="T1" s="3921"/>
      <c r="U1" s="3921"/>
      <c r="V1" s="3921"/>
      <c r="X1" s="3920" t="s">
        <v>1921</v>
      </c>
      <c r="Y1" s="3921"/>
      <c r="Z1" s="3921"/>
      <c r="AA1" s="3921"/>
      <c r="AB1" s="3921"/>
      <c r="AD1" s="3920" t="s">
        <v>1925</v>
      </c>
      <c r="AE1" s="3921"/>
      <c r="AF1" s="3921"/>
      <c r="AG1" s="3921"/>
      <c r="AH1" s="3921"/>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1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1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1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17"/>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15">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1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1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17"/>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15">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1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1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1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1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1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1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1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1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1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1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1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3923">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24"/>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24"/>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25"/>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1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1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1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1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1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1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1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1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1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1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1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1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1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1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1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1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1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1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1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1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1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1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1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1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1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1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1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1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1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1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1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1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1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1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1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1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1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1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16">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19">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1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1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16">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19">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4.4"/>
  <cols>
    <col min="1" max="1" width="12.33203125" customWidth="1"/>
    <col min="11" max="17" width="0" hidden="1" customWidth="1"/>
    <col min="24" max="30" width="0" hidden="1" customWidth="1"/>
  </cols>
  <sheetData>
    <row r="1" spans="1:30">
      <c r="A1" s="3399">
        <f>基准地价!G23</f>
        <v>44986</v>
      </c>
      <c r="B1" s="3347" t="s">
        <v>2793</v>
      </c>
      <c r="C1" s="3348"/>
      <c r="D1" s="3348"/>
      <c r="E1" s="3348"/>
      <c r="F1" s="3348"/>
      <c r="G1" s="3348"/>
      <c r="H1" s="3348"/>
      <c r="I1" s="3348"/>
      <c r="J1" s="3349"/>
      <c r="K1" s="3348" t="s">
        <v>2794</v>
      </c>
      <c r="L1" s="3348"/>
      <c r="M1" s="3348"/>
      <c r="N1" s="3348"/>
      <c r="O1" s="3348"/>
      <c r="P1" s="3348"/>
      <c r="Q1" s="3349"/>
      <c r="R1" s="3926" t="s">
        <v>2803</v>
      </c>
      <c r="S1" s="3927"/>
      <c r="T1" s="3927"/>
      <c r="U1" s="3927"/>
      <c r="V1" s="3927"/>
      <c r="W1" s="3927"/>
      <c r="X1" s="3349"/>
      <c r="Y1" s="3926" t="s">
        <v>2814</v>
      </c>
      <c r="Z1" s="3927"/>
      <c r="AA1" s="3927"/>
      <c r="AB1" s="3927"/>
      <c r="AC1" s="3927"/>
      <c r="AD1" s="3927"/>
    </row>
    <row r="2" spans="1:30" ht="15" thickBot="1">
      <c r="A2" s="3340"/>
      <c r="B2" s="3350"/>
      <c r="C2" s="3351"/>
      <c r="D2" s="3352" t="s">
        <v>2796</v>
      </c>
      <c r="E2" s="3353" t="s">
        <v>2797</v>
      </c>
      <c r="F2" s="3353" t="s">
        <v>2798</v>
      </c>
      <c r="G2" s="3353" t="s">
        <v>2799</v>
      </c>
      <c r="H2" s="3353" t="s">
        <v>2800</v>
      </c>
      <c r="I2" s="3353" t="s">
        <v>2740</v>
      </c>
      <c r="J2" s="3354"/>
      <c r="K2" s="3352" t="s">
        <v>2796</v>
      </c>
      <c r="L2" s="3353" t="s">
        <v>2797</v>
      </c>
      <c r="M2" s="3353" t="s">
        <v>2798</v>
      </c>
      <c r="N2" s="3353" t="s">
        <v>2799</v>
      </c>
      <c r="O2" s="3353" t="s">
        <v>2800</v>
      </c>
      <c r="P2" s="3353" t="s">
        <v>2740</v>
      </c>
      <c r="Q2" s="3354"/>
      <c r="R2" s="3352" t="s">
        <v>2804</v>
      </c>
      <c r="S2" s="3353" t="s">
        <v>2805</v>
      </c>
      <c r="T2" s="3353" t="s">
        <v>2806</v>
      </c>
      <c r="U2" s="3353" t="s">
        <v>2807</v>
      </c>
      <c r="V2" s="3353" t="s">
        <v>2808</v>
      </c>
      <c r="W2" s="3353" t="s">
        <v>2809</v>
      </c>
      <c r="X2" s="3354"/>
      <c r="Y2" s="3352" t="s">
        <v>2796</v>
      </c>
      <c r="Z2" s="3353" t="s">
        <v>1470</v>
      </c>
      <c r="AA2" s="3353" t="s">
        <v>2815</v>
      </c>
      <c r="AB2" s="3353" t="s">
        <v>1469</v>
      </c>
      <c r="AC2" s="3353" t="s">
        <v>2800</v>
      </c>
      <c r="AD2" s="3353" t="s">
        <v>2457</v>
      </c>
    </row>
    <row r="3" spans="1:30">
      <c r="A3" s="3341" t="s">
        <v>2783</v>
      </c>
      <c r="B3" s="3355"/>
      <c r="C3" s="3356"/>
      <c r="D3" s="3356">
        <f>ROUND(AVERAGEIF(D4:D16,"&lt;&gt;0"),2)</f>
        <v>0.81</v>
      </c>
      <c r="E3" s="3356">
        <f>ROUND(AVERAGEIF(E4:E16,"&lt;&gt;0"),2)</f>
        <v>0.33</v>
      </c>
      <c r="F3" s="3356">
        <f>ROUND(AVERAGEIF(F4:F16,"&lt;&gt;0"),2)</f>
        <v>0.15</v>
      </c>
      <c r="G3" s="3356">
        <f>ROUND(AVERAGEIF(G4:G16,"&lt;&gt;0"),2)</f>
        <v>0.89</v>
      </c>
      <c r="H3" s="3356">
        <f>ROUND(AVERAGEIF(H4:H16,"&lt;&gt;0"),2)</f>
        <v>0.66</v>
      </c>
      <c r="I3" s="3356">
        <f>F3</f>
        <v>0.15</v>
      </c>
      <c r="J3" s="3357"/>
      <c r="K3" s="3358">
        <f>ROUND(AVERAGEIF(K4:K16,"&lt;&gt;0"),4)</f>
        <v>8.0999999999999996E-3</v>
      </c>
      <c r="L3" s="3359">
        <f>ROUND(AVERAGEIF(L4:L16,"&lt;&gt;0"),4)</f>
        <v>3.3E-3</v>
      </c>
      <c r="M3" s="3359">
        <f>ROUND(AVERAGEIF(M4:M16,"&lt;&gt;0"),4)</f>
        <v>1.5E-3</v>
      </c>
      <c r="N3" s="3359">
        <f>ROUND(AVERAGEIF(N4:N16,"&lt;&gt;0"),4)</f>
        <v>8.8999999999999999E-3</v>
      </c>
      <c r="O3" s="3359">
        <f>ROUND(AVERAGEIF(O4:O16,"&lt;&gt;0"),4)</f>
        <v>6.6E-3</v>
      </c>
      <c r="P3" s="3359">
        <f>M3</f>
        <v>1.5E-3</v>
      </c>
      <c r="Q3" s="3357"/>
      <c r="R3" s="3374">
        <f>ROUND(SUMPRODUCT(PRODUCT(1+K4:K16)),4)</f>
        <v>1.0668</v>
      </c>
      <c r="S3" s="3375">
        <f>ROUND(SUMPRODUCT(PRODUCT(1+L4:L16)),4)</f>
        <v>1.0266999999999999</v>
      </c>
      <c r="T3" s="3375">
        <f>ROUND(SUMPRODUCT(PRODUCT(1+M4:M16)),4)</f>
        <v>1.0119</v>
      </c>
      <c r="U3" s="3375">
        <f>ROUND(SUMPRODUCT(PRODUCT(1+N4:N16)),4)</f>
        <v>1.0734999999999999</v>
      </c>
      <c r="V3" s="3375">
        <f>ROUND(SUMPRODUCT(PRODUCT(1+O4:O16)),4)</f>
        <v>1.054</v>
      </c>
      <c r="W3" s="3374">
        <f>T3</f>
        <v>1.0119</v>
      </c>
      <c r="X3" s="3357"/>
      <c r="Y3" s="3382">
        <f>ROUND(AVERAGEIF(Y5:Y16,"&lt;&gt;0"),4)</f>
        <v>8.6999999999999994E-3</v>
      </c>
      <c r="Z3" s="3383">
        <f>ROUND(AVERAGEIF(Z5:Z16,"&lt;&gt;0"),4)</f>
        <v>3.5000000000000001E-3</v>
      </c>
      <c r="AA3" s="3384">
        <f>ROUND(AVERAGEIF(AA5:AA16,"&lt;&gt;0"),4)</f>
        <v>8.9999999999999998E-4</v>
      </c>
      <c r="AB3" s="3382">
        <f>ROUND(AVERAGEIF(AB5:AB16,"&lt;&gt;0"),4)</f>
        <v>9.4999999999999998E-3</v>
      </c>
      <c r="AC3" s="3385">
        <f>ROUND(AVERAGEIF(AC5:AC16,"&lt;&gt;0"),4)</f>
        <v>6.1000000000000004E-3</v>
      </c>
      <c r="AD3" s="3382">
        <f>AA3</f>
        <v>8.9999999999999998E-4</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3256</v>
      </c>
      <c r="B5" s="3402">
        <v>2023</v>
      </c>
      <c r="C5" s="3403">
        <v>4</v>
      </c>
      <c r="D5" s="3403">
        <v>0</v>
      </c>
      <c r="E5" s="3403">
        <v>0</v>
      </c>
      <c r="F5" s="3403">
        <v>0</v>
      </c>
      <c r="G5" s="3403">
        <v>0</v>
      </c>
      <c r="H5" s="3403">
        <v>0</v>
      </c>
      <c r="I5" s="3404">
        <f t="shared" ref="I5:I16" si="0">F5</f>
        <v>0</v>
      </c>
      <c r="J5" s="3364"/>
      <c r="K5" s="3365">
        <f t="shared" ref="K5:O16" si="1">D5/100</f>
        <v>0</v>
      </c>
      <c r="L5" s="3366">
        <f t="shared" si="1"/>
        <v>0</v>
      </c>
      <c r="M5" s="3366">
        <f t="shared" si="1"/>
        <v>0</v>
      </c>
      <c r="N5" s="3366">
        <f t="shared" si="1"/>
        <v>0</v>
      </c>
      <c r="O5" s="3366">
        <f t="shared" si="1"/>
        <v>0</v>
      </c>
      <c r="P5" s="3366">
        <f>M5</f>
        <v>0</v>
      </c>
      <c r="Q5" s="3364"/>
      <c r="R5" s="3380">
        <f>ROUND(IF(项目基本情况!$B$8="出让",SUMPRODUCT(PRODUCT(1+K5:$K$16)),SUMPRODUCT(PRODUCT(1+K5:$K$15))),4)</f>
        <v>1.0565</v>
      </c>
      <c r="S5" s="3380">
        <f>ROUND(IF(项目基本情况!$B$8="出让",SUMPRODUCT(PRODUCT(1+L5:$L$16)),SUMPRODUCT(PRODUCT(1+L5:$L$15))),4)</f>
        <v>1.0250999999999999</v>
      </c>
      <c r="T5" s="3380">
        <f>ROUND(IF(项目基本情况!$B$8="出让",SUMPRODUCT(PRODUCT(1+M5:$M$16)),SUMPRODUCT(PRODUCT(1+M5:$M$15))),4)</f>
        <v>1.0145</v>
      </c>
      <c r="U5" s="3380">
        <f>ROUND(IF(项目基本情况!$B$8="出让",SUMPRODUCT(PRODUCT(1+N5:$N$16)),SUMPRODUCT(PRODUCT(1+N5:$N$15))),4)</f>
        <v>1.0618000000000001</v>
      </c>
      <c r="V5" s="3380">
        <f>ROUND(IF(项目基本情况!$B$8="出让",SUMPRODUCT(PRODUCT(1+O5:$O$16)),SUMPRODUCT(PRODUCT(1+O5:$O$15))),4)</f>
        <v>1.0502</v>
      </c>
      <c r="W5" s="3380">
        <f>T5</f>
        <v>1.0145</v>
      </c>
      <c r="X5" s="3364"/>
      <c r="Y5" s="3389">
        <f>IF(D5=0,0,ROUND(AVERAGE(D5:D16)/100,4))</f>
        <v>0</v>
      </c>
      <c r="Z5" s="3389">
        <f>IF(E5=0,0,ROUND(AVERAGE(E5:E16)/100,4))</f>
        <v>0</v>
      </c>
      <c r="AA5" s="3389">
        <f>IF(F5=0,0,ROUND(AVERAGE(F5:F16)/100,4))</f>
        <v>0</v>
      </c>
      <c r="AB5" s="3389">
        <f>IF(G5=0,0,ROUND(AVERAGE(G5:G16)/100,4))</f>
        <v>0</v>
      </c>
      <c r="AC5" s="3389">
        <f>IF(H5=0,0,ROUND(AVERAGE(H5:H16)/100,4))</f>
        <v>0</v>
      </c>
      <c r="AD5" s="3389">
        <f t="shared" ref="AD5:AD15" si="2">AA5</f>
        <v>0</v>
      </c>
    </row>
    <row r="6" spans="1:30">
      <c r="A6" s="3343" t="s">
        <v>3257</v>
      </c>
      <c r="B6" s="3402">
        <v>2023</v>
      </c>
      <c r="C6" s="3403">
        <v>3</v>
      </c>
      <c r="D6" s="3403">
        <v>0</v>
      </c>
      <c r="E6" s="3403">
        <v>0</v>
      </c>
      <c r="F6" s="3403">
        <v>0</v>
      </c>
      <c r="G6" s="3403">
        <v>0</v>
      </c>
      <c r="H6" s="3403">
        <v>0</v>
      </c>
      <c r="I6" s="3404">
        <f t="shared" si="0"/>
        <v>0</v>
      </c>
      <c r="J6" s="3364"/>
      <c r="K6" s="3365">
        <f t="shared" ref="K6:K8" si="3">D6/100</f>
        <v>0</v>
      </c>
      <c r="L6" s="3366">
        <f t="shared" ref="L6:L8" si="4">E6/100</f>
        <v>0</v>
      </c>
      <c r="M6" s="3366">
        <f t="shared" ref="M6:M8" si="5">F6/100</f>
        <v>0</v>
      </c>
      <c r="N6" s="3366">
        <f t="shared" ref="N6:N8" si="6">G6/100</f>
        <v>0</v>
      </c>
      <c r="O6" s="3366">
        <f t="shared" ref="O6:O8" si="7">H6/100</f>
        <v>0</v>
      </c>
      <c r="P6" s="3366">
        <f t="shared" ref="P6:P8" si="8">M6</f>
        <v>0</v>
      </c>
      <c r="Q6" s="3364"/>
      <c r="R6" s="3380">
        <f>ROUND(IF(项目基本情况!$B$8="出让",SUMPRODUCT(PRODUCT(1+K6:$K$16)),SUMPRODUCT(PRODUCT(1+K6:$K$15))),4)</f>
        <v>1.0565</v>
      </c>
      <c r="S6" s="3380">
        <f>ROUND(IF(项目基本情况!$B$8="出让",SUMPRODUCT(PRODUCT(1+L6:$L$16)),SUMPRODUCT(PRODUCT(1+L6:$L$15))),4)</f>
        <v>1.0250999999999999</v>
      </c>
      <c r="T6" s="3380">
        <f>ROUND(IF(项目基本情况!$B$8="出让",SUMPRODUCT(PRODUCT(1+M6:$M$16)),SUMPRODUCT(PRODUCT(1+M6:$M$15))),4)</f>
        <v>1.0145</v>
      </c>
      <c r="U6" s="3380">
        <f>ROUND(IF(项目基本情况!$B$8="出让",SUMPRODUCT(PRODUCT(1+N6:$N$16)),SUMPRODUCT(PRODUCT(1+N6:$N$15))),4)</f>
        <v>1.0618000000000001</v>
      </c>
      <c r="V6" s="3380">
        <f>ROUND(IF(项目基本情况!$B$8="出让",SUMPRODUCT(PRODUCT(1+O6:$O$16)),SUMPRODUCT(PRODUCT(1+O6:$O$15))),4)</f>
        <v>1.0502</v>
      </c>
      <c r="W6" s="3380">
        <f t="shared" ref="W6:W8" si="9">T6</f>
        <v>1.0145</v>
      </c>
      <c r="X6" s="3364"/>
      <c r="Y6" s="3389">
        <f t="shared" ref="Y6:AC6" si="10">IF(D6=0,0,ROUND(AVERAGE(D6:D17)/100,4))</f>
        <v>0</v>
      </c>
      <c r="Z6" s="3389">
        <f t="shared" si="10"/>
        <v>0</v>
      </c>
      <c r="AA6" s="3389">
        <f t="shared" si="10"/>
        <v>0</v>
      </c>
      <c r="AB6" s="3389">
        <f t="shared" si="10"/>
        <v>0</v>
      </c>
      <c r="AC6" s="3389">
        <f t="shared" si="10"/>
        <v>0</v>
      </c>
      <c r="AD6" s="3389">
        <f t="shared" ref="AD6:AD8" si="11">AA6</f>
        <v>0</v>
      </c>
    </row>
    <row r="7" spans="1:30">
      <c r="A7" s="3343" t="s">
        <v>3255</v>
      </c>
      <c r="B7" s="3402">
        <v>2023</v>
      </c>
      <c r="C7" s="3403">
        <v>2</v>
      </c>
      <c r="D7" s="3403">
        <v>0</v>
      </c>
      <c r="E7" s="3403">
        <v>0</v>
      </c>
      <c r="F7" s="3403">
        <v>0</v>
      </c>
      <c r="G7" s="3403">
        <v>0</v>
      </c>
      <c r="H7" s="3403">
        <v>0</v>
      </c>
      <c r="I7" s="3404">
        <f t="shared" si="0"/>
        <v>0</v>
      </c>
      <c r="J7" s="3364"/>
      <c r="K7" s="3365">
        <f t="shared" si="3"/>
        <v>0</v>
      </c>
      <c r="L7" s="3366">
        <f t="shared" si="4"/>
        <v>0</v>
      </c>
      <c r="M7" s="3366">
        <f t="shared" si="5"/>
        <v>0</v>
      </c>
      <c r="N7" s="3366">
        <f t="shared" si="6"/>
        <v>0</v>
      </c>
      <c r="O7" s="3366">
        <f t="shared" si="7"/>
        <v>0</v>
      </c>
      <c r="P7" s="3366">
        <f t="shared" si="8"/>
        <v>0</v>
      </c>
      <c r="Q7" s="3364"/>
      <c r="R7" s="3380">
        <f>ROUND(IF(项目基本情况!$B$8="出让",SUMPRODUCT(PRODUCT(1+K7:$K$16)),SUMPRODUCT(PRODUCT(1+K7:$K$15))),4)</f>
        <v>1.0565</v>
      </c>
      <c r="S7" s="3380">
        <f>ROUND(IF(项目基本情况!$B$8="出让",SUMPRODUCT(PRODUCT(1+L7:$L$16)),SUMPRODUCT(PRODUCT(1+L7:$L$15))),4)</f>
        <v>1.0250999999999999</v>
      </c>
      <c r="T7" s="3380">
        <f>ROUND(IF(项目基本情况!$B$8="出让",SUMPRODUCT(PRODUCT(1+M7:$M$16)),SUMPRODUCT(PRODUCT(1+M7:$M$15))),4)</f>
        <v>1.0145</v>
      </c>
      <c r="U7" s="3380">
        <f>ROUND(IF(项目基本情况!$B$8="出让",SUMPRODUCT(PRODUCT(1+N7:$N$16)),SUMPRODUCT(PRODUCT(1+N7:$N$15))),4)</f>
        <v>1.0618000000000001</v>
      </c>
      <c r="V7" s="3380">
        <f>ROUND(IF(项目基本情况!$B$8="出让",SUMPRODUCT(PRODUCT(1+O7:$O$16)),SUMPRODUCT(PRODUCT(1+O7:$O$15))),4)</f>
        <v>1.0502</v>
      </c>
      <c r="W7" s="3380">
        <f t="shared" si="9"/>
        <v>1.0145</v>
      </c>
      <c r="X7" s="3364"/>
      <c r="Y7" s="3389">
        <f t="shared" ref="Y7:AC7" si="12">IF(D7=0,0,ROUND(AVERAGE(D7:D18)/100,4))</f>
        <v>0</v>
      </c>
      <c r="Z7" s="3389">
        <f t="shared" si="12"/>
        <v>0</v>
      </c>
      <c r="AA7" s="3389">
        <f t="shared" si="12"/>
        <v>0</v>
      </c>
      <c r="AB7" s="3389">
        <f t="shared" si="12"/>
        <v>0</v>
      </c>
      <c r="AC7" s="3389">
        <f t="shared" si="12"/>
        <v>0</v>
      </c>
      <c r="AD7" s="3389">
        <f t="shared" si="11"/>
        <v>0</v>
      </c>
    </row>
    <row r="8" spans="1:30">
      <c r="A8" s="3343" t="s">
        <v>2784</v>
      </c>
      <c r="B8" s="3402">
        <v>2023</v>
      </c>
      <c r="C8" s="3403">
        <v>1</v>
      </c>
      <c r="D8" s="3403">
        <v>0</v>
      </c>
      <c r="E8" s="3403">
        <v>0</v>
      </c>
      <c r="F8" s="3403">
        <v>0</v>
      </c>
      <c r="G8" s="3403">
        <v>0</v>
      </c>
      <c r="H8" s="3403">
        <v>0</v>
      </c>
      <c r="I8" s="3404">
        <f t="shared" si="0"/>
        <v>0</v>
      </c>
      <c r="J8" s="3364"/>
      <c r="K8" s="3365">
        <f t="shared" si="3"/>
        <v>0</v>
      </c>
      <c r="L8" s="3366">
        <f t="shared" si="4"/>
        <v>0</v>
      </c>
      <c r="M8" s="3366">
        <f t="shared" si="5"/>
        <v>0</v>
      </c>
      <c r="N8" s="3366">
        <f t="shared" si="6"/>
        <v>0</v>
      </c>
      <c r="O8" s="3366">
        <f t="shared" si="7"/>
        <v>0</v>
      </c>
      <c r="P8" s="3366">
        <f t="shared" si="8"/>
        <v>0</v>
      </c>
      <c r="Q8" s="3364"/>
      <c r="R8" s="3380">
        <f>ROUND(IF(项目基本情况!$B$8="出让",SUMPRODUCT(PRODUCT(1+K8:$K$16)),SUMPRODUCT(PRODUCT(1+K8:$K$15))),4)</f>
        <v>1.0565</v>
      </c>
      <c r="S8" s="3380">
        <f>ROUND(IF(项目基本情况!$B$8="出让",SUMPRODUCT(PRODUCT(1+L8:$L$16)),SUMPRODUCT(PRODUCT(1+L8:$L$15))),4)</f>
        <v>1.0250999999999999</v>
      </c>
      <c r="T8" s="3380">
        <f>ROUND(IF(项目基本情况!$B$8="出让",SUMPRODUCT(PRODUCT(1+M8:$M$16)),SUMPRODUCT(PRODUCT(1+M8:$M$15))),4)</f>
        <v>1.0145</v>
      </c>
      <c r="U8" s="3380">
        <f>ROUND(IF(项目基本情况!$B$8="出让",SUMPRODUCT(PRODUCT(1+N8:$N$16)),SUMPRODUCT(PRODUCT(1+N8:$N$15))),4)</f>
        <v>1.0618000000000001</v>
      </c>
      <c r="V8" s="3380">
        <f>ROUND(IF(项目基本情况!$B$8="出让",SUMPRODUCT(PRODUCT(1+O8:$O$16)),SUMPRODUCT(PRODUCT(1+O8:$O$15))),4)</f>
        <v>1.0502</v>
      </c>
      <c r="W8" s="3380">
        <f t="shared" si="9"/>
        <v>1.0145</v>
      </c>
      <c r="X8" s="3364"/>
      <c r="Y8" s="3389">
        <f t="shared" ref="Y8:AC8" si="13">IF(D8=0,0,ROUND(AVERAGE(D8:D19)/100,4))</f>
        <v>0</v>
      </c>
      <c r="Z8" s="3389">
        <f t="shared" si="13"/>
        <v>0</v>
      </c>
      <c r="AA8" s="3389">
        <f t="shared" si="13"/>
        <v>0</v>
      </c>
      <c r="AB8" s="3389">
        <f t="shared" si="13"/>
        <v>0</v>
      </c>
      <c r="AC8" s="3389">
        <f t="shared" si="13"/>
        <v>0</v>
      </c>
      <c r="AD8" s="3389">
        <f t="shared" si="11"/>
        <v>0</v>
      </c>
    </row>
    <row r="9" spans="1:30">
      <c r="A9" s="3344" t="s">
        <v>3253</v>
      </c>
      <c r="B9" s="3405">
        <v>2022</v>
      </c>
      <c r="C9" s="3406">
        <v>4</v>
      </c>
      <c r="D9" s="3406">
        <v>0.62</v>
      </c>
      <c r="E9" s="3406">
        <v>0.2</v>
      </c>
      <c r="F9" s="3406">
        <v>0.11</v>
      </c>
      <c r="G9" s="3406">
        <v>0.69</v>
      </c>
      <c r="H9" s="3407">
        <v>0.53</v>
      </c>
      <c r="I9" s="3408">
        <f t="shared" si="0"/>
        <v>0.11</v>
      </c>
      <c r="J9" s="3367"/>
      <c r="K9" s="3368">
        <f t="shared" si="1"/>
        <v>6.1999999999999998E-3</v>
      </c>
      <c r="L9" s="3369">
        <f t="shared" si="1"/>
        <v>2E-3</v>
      </c>
      <c r="M9" s="3369">
        <f t="shared" si="1"/>
        <v>1.1000000000000001E-3</v>
      </c>
      <c r="N9" s="3369">
        <f t="shared" si="1"/>
        <v>6.8999999999999999E-3</v>
      </c>
      <c r="O9" s="3369">
        <f t="shared" si="1"/>
        <v>5.3E-3</v>
      </c>
      <c r="P9" s="3369">
        <f t="shared" ref="P9:P16" si="14">M9</f>
        <v>1.1000000000000001E-3</v>
      </c>
      <c r="Q9" s="3367"/>
      <c r="R9" s="3367">
        <f>ROUND(IF(项目基本情况!B8="出让",SUMPRODUCT(PRODUCT(1+K9:K16)),SUMPRODUCT(PRODUCT(1+K9:K15))),4)</f>
        <v>1.0565</v>
      </c>
      <c r="S9" s="3367">
        <f>ROUND(IF(项目基本情况!B8="出让",SUMPRODUCT(PRODUCT(1+L9:L16)),SUMPRODUCT(PRODUCT(1+L9:L15))),4)</f>
        <v>1.0250999999999999</v>
      </c>
      <c r="T9" s="3367">
        <f>ROUND(IF(项目基本情况!B8="出让",SUMPRODUCT(PRODUCT(1+M9:M16)),SUMPRODUCT(PRODUCT(1+M9:M15))),4)</f>
        <v>1.0145</v>
      </c>
      <c r="U9" s="3367">
        <f>ROUND(IF(项目基本情况!B8="出让",SUMPRODUCT(PRODUCT(1+N9:N16)),SUMPRODUCT(PRODUCT(1+N9:N15))),4)</f>
        <v>1.0618000000000001</v>
      </c>
      <c r="V9" s="3367">
        <f>ROUND(IF(项目基本情况!B8="出让",SUMPRODUCT(PRODUCT(1+O9:O16)),SUMPRODUCT(PRODUCT(1+O9:O15))),4)</f>
        <v>1.0502</v>
      </c>
      <c r="W9" s="3367">
        <f t="shared" ref="W9:W16" si="15">T9</f>
        <v>1.0145</v>
      </c>
      <c r="X9" s="3367"/>
      <c r="Y9" s="3369">
        <f>IF(D9=0,0,ROUND(AVERAGE(D9:D17)/100,4))</f>
        <v>8.0999999999999996E-3</v>
      </c>
      <c r="Z9" s="3369">
        <f>IF(E9=0,0,ROUND(AVERAGE(E9:E16)/100,4))</f>
        <v>3.3E-3</v>
      </c>
      <c r="AA9" s="3369">
        <f>IF(F9=0,0,ROUND(AVERAGE(F9:F16)/100,4))</f>
        <v>1.5E-3</v>
      </c>
      <c r="AB9" s="3369">
        <f>IF(G9=0,0,ROUND(AVERAGE(G9:G16)/100,4))</f>
        <v>8.8999999999999999E-3</v>
      </c>
      <c r="AC9" s="3369">
        <f>IF(H9=0,0,ROUND(AVERAGE(H9:H16)/100,4))</f>
        <v>6.6E-3</v>
      </c>
      <c r="AD9" s="3369">
        <f t="shared" si="2"/>
        <v>1.5E-3</v>
      </c>
    </row>
    <row r="10" spans="1:30">
      <c r="A10" s="3343" t="s">
        <v>3251</v>
      </c>
      <c r="B10" s="3402">
        <v>2022</v>
      </c>
      <c r="C10" s="3403">
        <v>3</v>
      </c>
      <c r="D10" s="3403">
        <v>0.66</v>
      </c>
      <c r="E10" s="3403">
        <v>0.32</v>
      </c>
      <c r="F10" s="3403">
        <v>0.23</v>
      </c>
      <c r="G10" s="3403">
        <v>0.72</v>
      </c>
      <c r="H10" s="3409">
        <v>0.63</v>
      </c>
      <c r="I10" s="3404">
        <f t="shared" si="0"/>
        <v>0.23</v>
      </c>
      <c r="J10" s="3364"/>
      <c r="K10" s="3365">
        <f t="shared" si="1"/>
        <v>6.6E-3</v>
      </c>
      <c r="L10" s="3366">
        <f t="shared" si="1"/>
        <v>3.2000000000000002E-3</v>
      </c>
      <c r="M10" s="3366">
        <f t="shared" si="1"/>
        <v>2.3E-3</v>
      </c>
      <c r="N10" s="3366">
        <f t="shared" si="1"/>
        <v>7.1999999999999998E-3</v>
      </c>
      <c r="O10" s="3366">
        <f t="shared" si="1"/>
        <v>6.3E-3</v>
      </c>
      <c r="P10" s="3366">
        <f t="shared" si="14"/>
        <v>2.3E-3</v>
      </c>
      <c r="Q10" s="3364"/>
      <c r="R10" s="3380">
        <f>ROUND(IF(项目基本情况!B8="出让",SUMPRODUCT(PRODUCT(1+K10:K16)),SUMPRODUCT(PRODUCT(1+K10:K15))),4)</f>
        <v>1.05</v>
      </c>
      <c r="S10" s="3380">
        <f>ROUND(IF(项目基本情况!B8="出让",SUMPRODUCT(PRODUCT(1+L10:L16)),SUMPRODUCT(PRODUCT(1+L10:L15))),4)</f>
        <v>1.0229999999999999</v>
      </c>
      <c r="T10" s="3380">
        <f>ROUND(IF(项目基本情况!B8="出让",SUMPRODUCT(PRODUCT(1+M10:M16)),SUMPRODUCT(PRODUCT(1+M10:M15))),4)</f>
        <v>1.0134000000000001</v>
      </c>
      <c r="U10" s="3380">
        <f>ROUND(IF(项目基本情况!B8="出让",SUMPRODUCT(PRODUCT(1+N10:N16)),SUMPRODUCT(PRODUCT(1+N10:N15))),4)</f>
        <v>1.0545</v>
      </c>
      <c r="V10" s="3380">
        <f>ROUND(IF(项目基本情况!B8="出让",SUMPRODUCT(PRODUCT(1+O10:O16)),SUMPRODUCT(PRODUCT(1+O10:O15))),4)</f>
        <v>1.0447</v>
      </c>
      <c r="W10" s="3380">
        <f t="shared" si="15"/>
        <v>1.0134000000000001</v>
      </c>
      <c r="X10" s="3364"/>
      <c r="Y10" s="3389">
        <f>IF(D10=0,0,ROUND(AVERAGE(D10:D16)/100,4))</f>
        <v>8.3999999999999995E-3</v>
      </c>
      <c r="Z10" s="3389">
        <f>IF(E10=0,0,ROUND(AVERAGE(E10:E16)/100,4))</f>
        <v>3.5000000000000001E-3</v>
      </c>
      <c r="AA10" s="3389">
        <f>IF(F10=0,0,ROUND(AVERAGE(F10:F16)/100,4))</f>
        <v>1.5E-3</v>
      </c>
      <c r="AB10" s="3389">
        <f>IF(G10=0,0,ROUND(AVERAGE(G10:G16)/100,4))</f>
        <v>9.1999999999999998E-3</v>
      </c>
      <c r="AC10" s="3389">
        <f>IF(H10=0,0,ROUND(AVERAGE(H10:H16)/100,4))</f>
        <v>6.7999999999999996E-3</v>
      </c>
      <c r="AD10" s="3389">
        <f t="shared" si="2"/>
        <v>1.5E-3</v>
      </c>
    </row>
    <row r="11" spans="1:30">
      <c r="A11" s="3343" t="s">
        <v>3252</v>
      </c>
      <c r="B11" s="3402">
        <v>2022</v>
      </c>
      <c r="C11" s="3403">
        <v>2</v>
      </c>
      <c r="D11" s="3403">
        <v>0.93</v>
      </c>
      <c r="E11" s="3403">
        <v>0.15</v>
      </c>
      <c r="F11" s="3403">
        <v>0.01</v>
      </c>
      <c r="G11" s="3403">
        <v>1.05</v>
      </c>
      <c r="H11" s="3409">
        <v>1.08</v>
      </c>
      <c r="I11" s="3404">
        <f t="shared" si="0"/>
        <v>0.01</v>
      </c>
      <c r="J11" s="3364"/>
      <c r="K11" s="3365">
        <f t="shared" si="1"/>
        <v>9.300000000000001E-3</v>
      </c>
      <c r="L11" s="3366">
        <f t="shared" si="1"/>
        <v>1.5E-3</v>
      </c>
      <c r="M11" s="3366">
        <f t="shared" si="1"/>
        <v>1E-4</v>
      </c>
      <c r="N11" s="3366">
        <f t="shared" si="1"/>
        <v>1.0500000000000001E-2</v>
      </c>
      <c r="O11" s="3366">
        <f t="shared" si="1"/>
        <v>1.0800000000000001E-2</v>
      </c>
      <c r="P11" s="3366">
        <f t="shared" si="14"/>
        <v>1E-4</v>
      </c>
      <c r="Q11" s="3364"/>
      <c r="R11" s="3380">
        <f>ROUND(IF(项目基本情况!B8="出让",SUMPRODUCT(PRODUCT(1+K11:K16)),SUMPRODUCT(PRODUCT(1+K11:K15))),4)</f>
        <v>1.0430999999999999</v>
      </c>
      <c r="S11" s="3380">
        <f>ROUND(IF(项目基本情况!B8="出让",SUMPRODUCT(PRODUCT(1+L11:L16)),SUMPRODUCT(PRODUCT(1+L11:L15))),4)</f>
        <v>1.0197000000000001</v>
      </c>
      <c r="T11" s="3380">
        <f>ROUND(IF(项目基本情况!B8="出让",SUMPRODUCT(PRODUCT(1+M11:M16)),SUMPRODUCT(PRODUCT(1+M11:M15))),4)</f>
        <v>1.0109999999999999</v>
      </c>
      <c r="U11" s="3380">
        <f>ROUND(IF(项目基本情况!B8="出让",SUMPRODUCT(PRODUCT(1+N11:N16)),SUMPRODUCT(PRODUCT(1+N11:N15))),4)</f>
        <v>1.0468999999999999</v>
      </c>
      <c r="V11" s="3380">
        <f>ROUND(IF(项目基本情况!B8="出让",SUMPRODUCT(PRODUCT(1+O11:O16)),SUMPRODUCT(PRODUCT(1+O11:O15))),4)</f>
        <v>1.0382</v>
      </c>
      <c r="W11" s="3380">
        <f t="shared" si="15"/>
        <v>1.0109999999999999</v>
      </c>
      <c r="X11" s="3364"/>
      <c r="Y11" s="3389">
        <f>IF(D11=0,0,ROUND(AVERAGE(D11:D16)/100,4))</f>
        <v>8.6999999999999994E-3</v>
      </c>
      <c r="Z11" s="3389">
        <f>IF(E11=0,0,ROUND(AVERAGE(E11:E16)/100,4))</f>
        <v>3.5000000000000001E-3</v>
      </c>
      <c r="AA11" s="3389">
        <f>IF(F11=0,0,ROUND(AVERAGE(F11:F16)/100,4))</f>
        <v>1.4E-3</v>
      </c>
      <c r="AB11" s="3389">
        <f>IF(G11=0,0,ROUND(AVERAGE(G11:G16)/100,4))</f>
        <v>9.4999999999999998E-3</v>
      </c>
      <c r="AC11" s="3389">
        <f>IF(H11=0,0,ROUND(AVERAGE(H11:H16)/100,4))</f>
        <v>6.8999999999999999E-3</v>
      </c>
      <c r="AD11" s="3389">
        <f t="shared" si="2"/>
        <v>1.4E-3</v>
      </c>
    </row>
    <row r="12" spans="1:30">
      <c r="A12" s="3343" t="s">
        <v>2785</v>
      </c>
      <c r="B12" s="3402">
        <v>2022</v>
      </c>
      <c r="C12" s="3403">
        <v>1</v>
      </c>
      <c r="D12" s="3403">
        <v>0.89</v>
      </c>
      <c r="E12" s="3403">
        <v>0.44</v>
      </c>
      <c r="F12" s="3403">
        <v>0.37</v>
      </c>
      <c r="G12" s="3403">
        <v>0.96</v>
      </c>
      <c r="H12" s="3409">
        <v>0.64</v>
      </c>
      <c r="I12" s="3404">
        <f t="shared" si="0"/>
        <v>0.37</v>
      </c>
      <c r="J12" s="3364"/>
      <c r="K12" s="3365">
        <f t="shared" si="1"/>
        <v>8.8999999999999999E-3</v>
      </c>
      <c r="L12" s="3366">
        <f t="shared" si="1"/>
        <v>4.4000000000000003E-3</v>
      </c>
      <c r="M12" s="3366">
        <f t="shared" si="1"/>
        <v>3.7000000000000002E-3</v>
      </c>
      <c r="N12" s="3366">
        <f t="shared" si="1"/>
        <v>9.5999999999999992E-3</v>
      </c>
      <c r="O12" s="3366">
        <f t="shared" si="1"/>
        <v>6.4000000000000003E-3</v>
      </c>
      <c r="P12" s="3366">
        <f t="shared" si="14"/>
        <v>3.7000000000000002E-3</v>
      </c>
      <c r="Q12" s="3364"/>
      <c r="R12" s="3380">
        <f>ROUND(IF(项目基本情况!B8="出让",SUMPRODUCT(PRODUCT(1+K12:K16)),SUMPRODUCT(PRODUCT(1+K12:K15))),4)</f>
        <v>1.0335000000000001</v>
      </c>
      <c r="S12" s="3380">
        <f>ROUND(IF(项目基本情况!B8="出让",SUMPRODUCT(PRODUCT(1+L12:L16)),SUMPRODUCT(PRODUCT(1+L12:L15))),4)</f>
        <v>1.0182</v>
      </c>
      <c r="T12" s="3380">
        <f>ROUND(IF(项目基本情况!B8="出让",SUMPRODUCT(PRODUCT(1+M12:M16)),SUMPRODUCT(PRODUCT(1+M12:M15))),4)</f>
        <v>1.0108999999999999</v>
      </c>
      <c r="U12" s="3380">
        <f>ROUND(IF(项目基本情况!B8="出让",SUMPRODUCT(PRODUCT(1+N12:N16)),SUMPRODUCT(PRODUCT(1+N12:N15))),4)</f>
        <v>1.0361</v>
      </c>
      <c r="V12" s="3380">
        <f>ROUND(IF(项目基本情况!B8="出让",SUMPRODUCT(PRODUCT(1+O12:O16)),SUMPRODUCT(PRODUCT(1+O12:O15))),4)</f>
        <v>1.0270999999999999</v>
      </c>
      <c r="W12" s="3380">
        <f t="shared" si="15"/>
        <v>1.0108999999999999</v>
      </c>
      <c r="X12" s="3364"/>
      <c r="Y12" s="3389">
        <f>IF(D12=0,0,ROUND(AVERAGE(D12:D16)/100,4))</f>
        <v>8.6E-3</v>
      </c>
      <c r="Z12" s="3389">
        <f>IF(E12=0,0,ROUND(AVERAGE(E12:E16)/100,4))</f>
        <v>3.8999999999999998E-3</v>
      </c>
      <c r="AA12" s="3389">
        <f>IF(F12=0,0,ROUND(AVERAGE(F12:F16)/100,4))</f>
        <v>1.6999999999999999E-3</v>
      </c>
      <c r="AB12" s="3389">
        <f>IF(G12=0,0,ROUND(AVERAGE(G12:G16)/100,4))</f>
        <v>9.2999999999999992E-3</v>
      </c>
      <c r="AC12" s="3389">
        <f>IF(H12=0,0,ROUND(AVERAGE(H12:H16)/100,4))</f>
        <v>6.1000000000000004E-3</v>
      </c>
      <c r="AD12" s="3389">
        <f t="shared" si="2"/>
        <v>1.6999999999999999E-3</v>
      </c>
    </row>
    <row r="13" spans="1:30">
      <c r="A13" s="3343" t="s">
        <v>2786</v>
      </c>
      <c r="B13" s="3402">
        <v>2021</v>
      </c>
      <c r="C13" s="3403">
        <v>4</v>
      </c>
      <c r="D13" s="3403">
        <v>1.03</v>
      </c>
      <c r="E13" s="3403">
        <v>0.24</v>
      </c>
      <c r="F13" s="3403">
        <v>7.0000000000000007E-2</v>
      </c>
      <c r="G13" s="3403">
        <v>1.17</v>
      </c>
      <c r="H13" s="3409">
        <v>0.55000000000000004</v>
      </c>
      <c r="I13" s="3404">
        <f t="shared" si="0"/>
        <v>7.0000000000000007E-2</v>
      </c>
      <c r="J13" s="3364"/>
      <c r="K13" s="3365">
        <f t="shared" si="1"/>
        <v>1.03E-2</v>
      </c>
      <c r="L13" s="3366">
        <f t="shared" si="1"/>
        <v>2.3999999999999998E-3</v>
      </c>
      <c r="M13" s="3366">
        <f t="shared" si="1"/>
        <v>7.000000000000001E-4</v>
      </c>
      <c r="N13" s="3366">
        <f t="shared" si="1"/>
        <v>1.1699999999999999E-2</v>
      </c>
      <c r="O13" s="3366">
        <f t="shared" si="1"/>
        <v>5.5000000000000005E-3</v>
      </c>
      <c r="P13" s="3366">
        <f t="shared" si="14"/>
        <v>7.000000000000001E-4</v>
      </c>
      <c r="Q13" s="3364"/>
      <c r="R13" s="3380">
        <f>ROUND(IF(项目基本情况!B8="出让",SUMPRODUCT(PRODUCT(1+K13:K16)),SUMPRODUCT(PRODUCT(1+K13:K15))),4)</f>
        <v>1.0244</v>
      </c>
      <c r="S13" s="3380">
        <f>ROUND(IF(项目基本情况!B8="出让",SUMPRODUCT(PRODUCT(1+L13:L16)),SUMPRODUCT(PRODUCT(1+L13:L15))),4)</f>
        <v>1.0138</v>
      </c>
      <c r="T13" s="3380">
        <f>ROUND(IF(项目基本情况!B8="出让",SUMPRODUCT(PRODUCT(1+M13:M16)),SUMPRODUCT(PRODUCT(1+M13:M15))),4)</f>
        <v>1.0072000000000001</v>
      </c>
      <c r="U13" s="3380">
        <f>ROUND(IF(项目基本情况!B8="出让",SUMPRODUCT(PRODUCT(1+N13:N16)),SUMPRODUCT(PRODUCT(1+N13:N15))),4)</f>
        <v>1.0262</v>
      </c>
      <c r="V13" s="3380">
        <f>ROUND(IF(项目基本情况!B8="出让",SUMPRODUCT(PRODUCT(1+O13:O16)),SUMPRODUCT(PRODUCT(1+O13:O15))),4)</f>
        <v>1.0205</v>
      </c>
      <c r="W13" s="3380">
        <f t="shared" si="15"/>
        <v>1.0072000000000001</v>
      </c>
      <c r="X13" s="3364"/>
      <c r="Y13" s="3389">
        <f>IF(D13=0,0,ROUND(AVERAGE(D13:D16)/100,4))</f>
        <v>8.5000000000000006E-3</v>
      </c>
      <c r="Z13" s="3389">
        <f>IF(E13=0,0,ROUND(AVERAGE(E13:E16)/100,4))</f>
        <v>3.8E-3</v>
      </c>
      <c r="AA13" s="3389">
        <f>IF(F13=0,0,ROUND(AVERAGE(F13:F16)/100,4))</f>
        <v>1.1999999999999999E-3</v>
      </c>
      <c r="AB13" s="3389">
        <f>IF(G13=0,0,ROUND(AVERAGE(G13:G16)/100,4))</f>
        <v>9.2999999999999992E-3</v>
      </c>
      <c r="AC13" s="3389">
        <f>IF(H13=0,0,ROUND(AVERAGE(H13:H16)/100,4))</f>
        <v>6.0000000000000001E-3</v>
      </c>
      <c r="AD13" s="3389">
        <f t="shared" si="2"/>
        <v>1.1999999999999999E-3</v>
      </c>
    </row>
    <row r="14" spans="1:30">
      <c r="A14" s="3343" t="s">
        <v>2787</v>
      </c>
      <c r="B14" s="3402">
        <v>2021</v>
      </c>
      <c r="C14" s="3403">
        <v>3</v>
      </c>
      <c r="D14" s="3403">
        <v>0.47</v>
      </c>
      <c r="E14" s="3403">
        <v>0.41</v>
      </c>
      <c r="F14" s="3403">
        <v>0.24</v>
      </c>
      <c r="G14" s="3403">
        <v>0.48</v>
      </c>
      <c r="H14" s="3409">
        <v>0.48</v>
      </c>
      <c r="I14" s="3404">
        <f t="shared" si="0"/>
        <v>0.24</v>
      </c>
      <c r="J14" s="3364"/>
      <c r="K14" s="3365">
        <f t="shared" si="1"/>
        <v>4.6999999999999993E-3</v>
      </c>
      <c r="L14" s="3366">
        <f t="shared" si="1"/>
        <v>4.0999999999999995E-3</v>
      </c>
      <c r="M14" s="3366">
        <f t="shared" si="1"/>
        <v>2.3999999999999998E-3</v>
      </c>
      <c r="N14" s="3366">
        <f t="shared" si="1"/>
        <v>4.7999999999999996E-3</v>
      </c>
      <c r="O14" s="3366">
        <f t="shared" si="1"/>
        <v>4.7999999999999996E-3</v>
      </c>
      <c r="P14" s="3366">
        <f t="shared" si="14"/>
        <v>2.3999999999999998E-3</v>
      </c>
      <c r="Q14" s="3364"/>
      <c r="R14" s="3380">
        <f>ROUND(IF(项目基本情况!B8="出让",SUMPRODUCT(PRODUCT(1+K14:K16)),SUMPRODUCT(PRODUCT(1+K14:K15))),4)</f>
        <v>1.0139</v>
      </c>
      <c r="S14" s="3380">
        <f>ROUND(IF(项目基本情况!B8="出让",SUMPRODUCT(PRODUCT(1+L14:L16)),SUMPRODUCT(PRODUCT(1+L14:L15))),4)</f>
        <v>1.0113000000000001</v>
      </c>
      <c r="T14" s="3380">
        <f>ROUND(IF(项目基本情况!B8="出让",SUMPRODUCT(PRODUCT(1+M14:M16)),SUMPRODUCT(PRODUCT(1+M14:M15))),4)</f>
        <v>1.0065</v>
      </c>
      <c r="U14" s="3380">
        <f>ROUND(IF(项目基本情况!B8="出让",SUMPRODUCT(PRODUCT(1+N14:N16)),SUMPRODUCT(PRODUCT(1+N14:N15))),4)</f>
        <v>1.0143</v>
      </c>
      <c r="V14" s="3380">
        <f>ROUND(IF(项目基本情况!B8="出让",SUMPRODUCT(PRODUCT(1+O14:O16)),SUMPRODUCT(PRODUCT(1+O14:O15))),4)</f>
        <v>1.0148999999999999</v>
      </c>
      <c r="W14" s="3380">
        <f t="shared" si="15"/>
        <v>1.0065</v>
      </c>
      <c r="X14" s="3364"/>
      <c r="Y14" s="3389">
        <f>IF(D14=0,0,ROUND(AVERAGE(D14:D16)/100,4))</f>
        <v>7.9000000000000008E-3</v>
      </c>
      <c r="Z14" s="3389">
        <f>IF(E14=0,0,ROUND(AVERAGE(E14:E16)/100,4))</f>
        <v>4.3E-3</v>
      </c>
      <c r="AA14" s="3389">
        <f>IF(F14=0,0,ROUND(AVERAGE(F14:F16)/100,4))</f>
        <v>1.2999999999999999E-3</v>
      </c>
      <c r="AB14" s="3389">
        <f>IF(G14=0,0,ROUND(AVERAGE(G14:G16)/100,4))</f>
        <v>8.5000000000000006E-3</v>
      </c>
      <c r="AC14" s="3389">
        <f>IF(H14=0,0,ROUND(AVERAGE(H14:H16)/100,4))</f>
        <v>6.1999999999999998E-3</v>
      </c>
      <c r="AD14" s="3389">
        <f t="shared" si="2"/>
        <v>1.2999999999999999E-3</v>
      </c>
    </row>
    <row r="15" spans="1:30">
      <c r="A15" s="3343" t="s">
        <v>2788</v>
      </c>
      <c r="B15" s="3402">
        <v>2021</v>
      </c>
      <c r="C15" s="3403">
        <v>2</v>
      </c>
      <c r="D15" s="3403">
        <v>0.92</v>
      </c>
      <c r="E15" s="3403">
        <v>0.72</v>
      </c>
      <c r="F15" s="3403">
        <v>0.41</v>
      </c>
      <c r="G15" s="3403">
        <v>0.95</v>
      </c>
      <c r="H15" s="3409">
        <v>1.01</v>
      </c>
      <c r="I15" s="3404">
        <f t="shared" si="0"/>
        <v>0.41</v>
      </c>
      <c r="J15" s="3364"/>
      <c r="K15" s="3365">
        <f t="shared" si="1"/>
        <v>9.1999999999999998E-3</v>
      </c>
      <c r="L15" s="3366">
        <f t="shared" si="1"/>
        <v>7.1999999999999998E-3</v>
      </c>
      <c r="M15" s="3366">
        <f t="shared" si="1"/>
        <v>4.0999999999999995E-3</v>
      </c>
      <c r="N15" s="3366">
        <f t="shared" si="1"/>
        <v>9.4999999999999998E-3</v>
      </c>
      <c r="O15" s="3366">
        <f t="shared" si="1"/>
        <v>1.01E-2</v>
      </c>
      <c r="P15" s="3366">
        <f t="shared" si="14"/>
        <v>4.0999999999999995E-3</v>
      </c>
      <c r="Q15" s="3364"/>
      <c r="R15" s="3380">
        <f>ROUND(IF(项目基本情况!B8="出让",SUMPRODUCT(PRODUCT(1+K15:K16)),SUMPRODUCT(PRODUCT(1+K15:K15))),4)</f>
        <v>1.0092000000000001</v>
      </c>
      <c r="S15" s="3380">
        <f>ROUND(IF(项目基本情况!B8="出让",SUMPRODUCT(PRODUCT(1+L15:L16)),SUMPRODUCT(PRODUCT(1+L15:L15))),4)</f>
        <v>1.0072000000000001</v>
      </c>
      <c r="T15" s="3380">
        <f>ROUND(IF(项目基本情况!B8="出让",SUMPRODUCT(PRODUCT(1+M15:M16)),SUMPRODUCT(PRODUCT(1+M15:M15))),4)</f>
        <v>1.0041</v>
      </c>
      <c r="U15" s="3380">
        <f>ROUND(IF(项目基本情况!B8="出让",SUMPRODUCT(PRODUCT(1+N15:N16)),SUMPRODUCT(PRODUCT(1+N15:N15))),4)</f>
        <v>1.0095000000000001</v>
      </c>
      <c r="V15" s="3380">
        <f>ROUND(IF(项目基本情况!B8="出让",SUMPRODUCT(PRODUCT(1+O15:O16)),SUMPRODUCT(PRODUCT(1+O15:O15))),4)</f>
        <v>1.0101</v>
      </c>
      <c r="W15" s="3380">
        <f t="shared" si="15"/>
        <v>1.0041</v>
      </c>
      <c r="X15" s="3364"/>
      <c r="Y15" s="3389">
        <f>IF(D15=0,0,ROUND(AVERAGE(D15:D16)/100,4))</f>
        <v>9.4999999999999998E-3</v>
      </c>
      <c r="Z15" s="3389">
        <f>IF(E15=0,0,ROUND(AVERAGE(E15:E16)/100,4))</f>
        <v>4.4000000000000003E-3</v>
      </c>
      <c r="AA15" s="3389">
        <f>IF(F15=0,0,ROUND(AVERAGE(F15:F16)/100,4))</f>
        <v>8.0000000000000004E-4</v>
      </c>
      <c r="AB15" s="3389">
        <f>IF(G15=0,0,ROUND(AVERAGE(G15:G16)/100,4))</f>
        <v>1.03E-2</v>
      </c>
      <c r="AC15" s="3389">
        <f>IF(H15=0,0,ROUND(AVERAGE(H15:H16)/100,4))</f>
        <v>6.8999999999999999E-3</v>
      </c>
      <c r="AD15" s="3389">
        <f t="shared" si="2"/>
        <v>8.0000000000000004E-4</v>
      </c>
    </row>
    <row r="16" spans="1:30" ht="15" thickBot="1">
      <c r="A16" s="3345" t="s">
        <v>2789</v>
      </c>
      <c r="B16" s="3410">
        <v>2021</v>
      </c>
      <c r="C16" s="3411">
        <v>1</v>
      </c>
      <c r="D16" s="3411">
        <v>0.97</v>
      </c>
      <c r="E16" s="3411">
        <v>0.16</v>
      </c>
      <c r="F16" s="3411">
        <v>-0.25</v>
      </c>
      <c r="G16" s="3411">
        <v>1.1100000000000001</v>
      </c>
      <c r="H16" s="3412">
        <v>0.36</v>
      </c>
      <c r="I16" s="3413">
        <f t="shared" si="0"/>
        <v>-0.25</v>
      </c>
      <c r="J16" s="3370"/>
      <c r="K16" s="3371">
        <f t="shared" si="1"/>
        <v>9.7000000000000003E-3</v>
      </c>
      <c r="L16" s="3372">
        <f t="shared" si="1"/>
        <v>1.6000000000000001E-3</v>
      </c>
      <c r="M16" s="3372">
        <f>F16/100</f>
        <v>-2.5000000000000001E-3</v>
      </c>
      <c r="N16" s="3372">
        <f t="shared" si="1"/>
        <v>1.11E-2</v>
      </c>
      <c r="O16" s="3372">
        <f t="shared" si="1"/>
        <v>3.5999999999999999E-3</v>
      </c>
      <c r="P16" s="3372">
        <f t="shared" si="14"/>
        <v>-2.5000000000000001E-3</v>
      </c>
      <c r="Q16" s="3370"/>
      <c r="R16" s="3381">
        <v>1</v>
      </c>
      <c r="S16" s="3381">
        <v>1</v>
      </c>
      <c r="T16" s="3381">
        <v>1</v>
      </c>
      <c r="U16" s="3381">
        <v>1</v>
      </c>
      <c r="V16" s="3381">
        <v>1</v>
      </c>
      <c r="W16" s="3381">
        <f t="shared" si="15"/>
        <v>1</v>
      </c>
      <c r="X16" s="3370"/>
      <c r="Y16" s="3372">
        <f>IF(D16=0,0,ROUND(AVERAGE(D16:D16)/100,4))</f>
        <v>9.7000000000000003E-3</v>
      </c>
      <c r="Z16" s="3372">
        <f>IF(E16=0,0,ROUND(AVERAGE(E16:E16)/100,4))</f>
        <v>1.6000000000000001E-3</v>
      </c>
      <c r="AA16" s="3372">
        <f>IF(F16=0,0,ROUND(AVERAGE(F16:F16)/100,4))</f>
        <v>-2.5000000000000001E-3</v>
      </c>
      <c r="AB16" s="3372">
        <f>IF(G16=0,0,ROUND(AVERAGE(G16:G16)/100,4))</f>
        <v>1.11E-2</v>
      </c>
      <c r="AC16" s="3372">
        <f>IF(H16=0,0,ROUND(AVERAGE(H16:H16)/100,4))</f>
        <v>3.5999999999999999E-3</v>
      </c>
      <c r="AD16" s="3372">
        <f>AA16</f>
        <v>-2.5000000000000001E-3</v>
      </c>
    </row>
    <row r="17" spans="1:30" ht="15" thickTop="1">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661" t="s">
        <v>3258</v>
      </c>
      <c r="B18" s="3280"/>
      <c r="C18" s="3280"/>
      <c r="D18" s="3280"/>
      <c r="E18" s="3280"/>
      <c r="F18" s="3280"/>
      <c r="G18" s="3280"/>
      <c r="H18" s="3280"/>
      <c r="I18" s="3280"/>
      <c r="J18" s="3280"/>
      <c r="K18" s="3280"/>
      <c r="L18" s="3280"/>
      <c r="M18" s="3280"/>
      <c r="N18" s="3280"/>
      <c r="O18" s="3280"/>
      <c r="P18" s="3280"/>
      <c r="Q18" s="3280"/>
      <c r="R18" s="3280"/>
      <c r="S18" s="3280"/>
      <c r="T18" s="3280"/>
      <c r="U18" s="3280"/>
      <c r="V18" s="3280"/>
      <c r="W18" s="3280"/>
      <c r="X18" s="3280"/>
      <c r="Y18" s="3280"/>
      <c r="Z18" s="3280"/>
      <c r="AA18" s="3280"/>
      <c r="AB18" s="3280"/>
      <c r="AC18" s="3280"/>
      <c r="AD18" s="3280"/>
    </row>
    <row r="19" spans="1:30">
      <c r="A19" s="3280"/>
      <c r="B19" s="3280"/>
      <c r="C19" s="3280"/>
      <c r="D19" s="3280"/>
      <c r="E19" s="3280"/>
      <c r="F19" s="3280"/>
      <c r="G19" s="3280"/>
      <c r="H19" s="3280"/>
      <c r="I19" s="3373" t="s">
        <v>2801</v>
      </c>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280"/>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346"/>
      <c r="B21" s="3347" t="s">
        <v>2802</v>
      </c>
      <c r="C21" s="3348"/>
      <c r="D21" s="3348"/>
      <c r="E21" s="3348"/>
      <c r="F21" s="3348"/>
      <c r="G21" s="3348"/>
      <c r="H21" s="3348"/>
      <c r="I21" s="3348"/>
      <c r="J21" s="3349"/>
      <c r="K21" s="3348" t="s">
        <v>2794</v>
      </c>
      <c r="L21" s="3348"/>
      <c r="M21" s="3348"/>
      <c r="N21" s="3348"/>
      <c r="O21" s="3348"/>
      <c r="P21" s="3348"/>
      <c r="Q21" s="3349"/>
      <c r="R21" s="3926" t="s">
        <v>2810</v>
      </c>
      <c r="S21" s="3927"/>
      <c r="T21" s="3927"/>
      <c r="U21" s="3927"/>
      <c r="V21" s="3927"/>
      <c r="W21" s="3927"/>
      <c r="X21" s="3349"/>
      <c r="Y21" s="3926" t="s">
        <v>1925</v>
      </c>
      <c r="Z21" s="3927"/>
      <c r="AA21" s="3927"/>
      <c r="AB21" s="3927"/>
      <c r="AC21" s="3927"/>
      <c r="AD21" s="3927"/>
    </row>
    <row r="22" spans="1:30" ht="15" thickBot="1">
      <c r="A22" s="3340"/>
      <c r="B22" s="3350"/>
      <c r="C22" s="3351"/>
      <c r="D22" s="3352" t="s">
        <v>2796</v>
      </c>
      <c r="E22" s="3353" t="s">
        <v>2797</v>
      </c>
      <c r="F22" s="3353" t="s">
        <v>2798</v>
      </c>
      <c r="G22" s="3353" t="s">
        <v>1469</v>
      </c>
      <c r="H22" s="3353"/>
      <c r="I22" s="3353" t="s">
        <v>2740</v>
      </c>
      <c r="J22" s="3354"/>
      <c r="K22" s="3352" t="s">
        <v>2796</v>
      </c>
      <c r="L22" s="3353" t="s">
        <v>2797</v>
      </c>
      <c r="M22" s="3353" t="s">
        <v>2798</v>
      </c>
      <c r="N22" s="3353" t="s">
        <v>2799</v>
      </c>
      <c r="O22" s="3353"/>
      <c r="P22" s="3353" t="s">
        <v>2740</v>
      </c>
      <c r="Q22" s="3354"/>
      <c r="R22" s="3352" t="s">
        <v>2811</v>
      </c>
      <c r="S22" s="3353" t="s">
        <v>2812</v>
      </c>
      <c r="T22" s="3353" t="s">
        <v>2798</v>
      </c>
      <c r="U22" s="3353" t="s">
        <v>1469</v>
      </c>
      <c r="V22" s="3353"/>
      <c r="W22" s="3353" t="s">
        <v>2813</v>
      </c>
      <c r="X22" s="3354"/>
      <c r="Y22" s="3352" t="s">
        <v>2795</v>
      </c>
      <c r="Z22" s="3353" t="s">
        <v>2797</v>
      </c>
      <c r="AA22" s="3353" t="s">
        <v>2798</v>
      </c>
      <c r="AB22" s="3353" t="s">
        <v>1469</v>
      </c>
      <c r="AC22" s="3353"/>
      <c r="AD22" s="3353" t="s">
        <v>2816</v>
      </c>
    </row>
    <row r="23" spans="1:30">
      <c r="A23" s="3341" t="s">
        <v>2790</v>
      </c>
      <c r="B23" s="3355"/>
      <c r="C23" s="3356"/>
      <c r="D23" s="3356"/>
      <c r="E23" s="3356">
        <f>ROUND(AVERAGEIF(E24:E36,"&lt;&gt;0"),2)</f>
        <v>0.4</v>
      </c>
      <c r="F23" s="3356">
        <f>ROUND(AVERAGEIF(F24:F36,"&lt;&gt;0"),2)</f>
        <v>0.26</v>
      </c>
      <c r="G23" s="3356">
        <f>ROUND(AVERAGEIF(G24:G36,"&lt;&gt;0"),2)</f>
        <v>0.74</v>
      </c>
      <c r="H23" s="3356"/>
      <c r="I23" s="3356">
        <f>F23</f>
        <v>0.26</v>
      </c>
      <c r="J23" s="3357"/>
      <c r="K23" s="3358"/>
      <c r="L23" s="3359">
        <f>ROUND(AVERAGEIF(L24:L36,"&lt;&gt;0"),4)</f>
        <v>4.0000000000000001E-3</v>
      </c>
      <c r="M23" s="3359">
        <f>ROUND(AVERAGEIF(M24:M36,"&lt;&gt;0"),4)</f>
        <v>2.5999999999999999E-3</v>
      </c>
      <c r="N23" s="3359">
        <f>ROUND(AVERAGEIF(N24:N36,"&lt;&gt;0"),4)</f>
        <v>7.4000000000000003E-3</v>
      </c>
      <c r="O23" s="3359"/>
      <c r="P23" s="3359">
        <f>M23</f>
        <v>2.5999999999999999E-3</v>
      </c>
      <c r="Q23" s="3357"/>
      <c r="R23" s="3374"/>
      <c r="S23" s="3375">
        <f>ROUND(SUMPRODUCT(PRODUCT(1+L24:L36)),4)</f>
        <v>1.0323</v>
      </c>
      <c r="T23" s="3375">
        <f>ROUND(SUMPRODUCT(PRODUCT(1+M24:M36)),4)</f>
        <v>1.0213000000000001</v>
      </c>
      <c r="U23" s="3375">
        <f>ROUND(SUMPRODUCT(PRODUCT(1+N24:N36)),4)</f>
        <v>1.0609</v>
      </c>
      <c r="V23" s="3375"/>
      <c r="W23" s="3374">
        <f>T23</f>
        <v>1.0213000000000001</v>
      </c>
      <c r="X23" s="3357"/>
      <c r="Y23" s="3382"/>
      <c r="Z23" s="3383">
        <f>ROUND(AVERAGEIF(Z24:Z36,"&lt;&gt;0"),4)</f>
        <v>4.3E-3</v>
      </c>
      <c r="AA23" s="3384">
        <f>ROUND(AVERAGEIF(AA24:AA36,"&lt;&gt;0"),4)</f>
        <v>3.5999999999999999E-3</v>
      </c>
      <c r="AB23" s="3382">
        <f>ROUND(AVERAGEIF(AB24:AB36,"&lt;&gt;0"),4)</f>
        <v>8.8999999999999999E-3</v>
      </c>
      <c r="AC23" s="3385"/>
      <c r="AD23" s="3382">
        <f>AA23</f>
        <v>3.5999999999999999E-3</v>
      </c>
    </row>
    <row r="24" spans="1:30">
      <c r="A24" s="3342"/>
      <c r="B24" s="3360"/>
      <c r="C24" s="3361"/>
      <c r="D24" s="3361"/>
      <c r="E24" s="3361"/>
      <c r="F24" s="3361"/>
      <c r="G24" s="3361"/>
      <c r="H24" s="3361"/>
      <c r="I24" s="3361"/>
      <c r="J24" s="3349"/>
      <c r="K24" s="3362"/>
      <c r="L24" s="3363"/>
      <c r="M24" s="3363"/>
      <c r="N24" s="3363"/>
      <c r="O24" s="3363"/>
      <c r="P24" s="3363"/>
      <c r="Q24" s="3349"/>
      <c r="R24" s="3376"/>
      <c r="S24" s="3377"/>
      <c r="T24" s="3378"/>
      <c r="U24" s="3376"/>
      <c r="V24" s="3379"/>
      <c r="W24" s="3376"/>
      <c r="X24" s="3349"/>
      <c r="Y24" s="3366"/>
      <c r="Z24" s="3386"/>
      <c r="AA24" s="3387"/>
      <c r="AB24" s="3366"/>
      <c r="AC24" s="3388"/>
      <c r="AD24" s="3366"/>
    </row>
    <row r="25" spans="1:30">
      <c r="A25" s="3343" t="s">
        <v>3256</v>
      </c>
      <c r="B25" s="3402">
        <v>2023</v>
      </c>
      <c r="C25" s="3403">
        <v>4</v>
      </c>
      <c r="D25" s="3403"/>
      <c r="E25" s="3403">
        <v>0</v>
      </c>
      <c r="F25" s="3403">
        <v>0</v>
      </c>
      <c r="G25" s="3403">
        <v>0</v>
      </c>
      <c r="H25" s="3403"/>
      <c r="I25" s="3404">
        <f t="shared" ref="I25:I36" si="16">F25</f>
        <v>0</v>
      </c>
      <c r="J25" s="3364"/>
      <c r="K25" s="3365"/>
      <c r="L25" s="3366">
        <f t="shared" ref="L25:N36" si="17">E25/100</f>
        <v>0</v>
      </c>
      <c r="M25" s="3366">
        <f t="shared" si="17"/>
        <v>0</v>
      </c>
      <c r="N25" s="3366">
        <f t="shared" si="17"/>
        <v>0</v>
      </c>
      <c r="O25" s="3366"/>
      <c r="P25" s="3366">
        <f>M25</f>
        <v>0</v>
      </c>
      <c r="Q25" s="3364"/>
      <c r="R25" s="3380"/>
      <c r="S25" s="3380">
        <f>ROUND(IF(项目基本情况!$B$8="出让",SUMPRODUCT(PRODUCT(1+L25:L$36)),SUMPRODUCT(PRODUCT(1+L25:L$35))),4)</f>
        <v>1.0286999999999999</v>
      </c>
      <c r="T25" s="3380">
        <f>ROUND(IF(项目基本情况!$B$8="出让",SUMPRODUCT(PRODUCT(1+M25:M$36)),SUMPRODUCT(PRODUCT(1+M25:M$35))),4)</f>
        <v>1.0164</v>
      </c>
      <c r="U25" s="3380">
        <f>ROUND(IF(项目基本情况!$B$8="出让",SUMPRODUCT(PRODUCT(1+N25:N$36)),SUMPRODUCT(PRODUCT(1+N25:N$35))),4)</f>
        <v>1.0506</v>
      </c>
      <c r="V25" s="3380"/>
      <c r="W25" s="3380">
        <f>T25</f>
        <v>1.0164</v>
      </c>
      <c r="X25" s="3364"/>
      <c r="Y25" s="3389"/>
      <c r="Z25" s="3390">
        <f>IF(E25=0,0,ROUND(AVERAGE(E25:E36)/100,4))</f>
        <v>0</v>
      </c>
      <c r="AA25" s="3390">
        <f>IF(F25=0,0,ROUND(AVERAGE(F25:F36)/100,4))</f>
        <v>0</v>
      </c>
      <c r="AB25" s="3390">
        <f>IF(G25=0,0,ROUND(AVERAGE(G25:G36)/100,4))</f>
        <v>0</v>
      </c>
      <c r="AC25" s="3391"/>
      <c r="AD25" s="3389">
        <f>IF(I25=0,0,ROUND(AVERAGE(I25:I36)/100,4))</f>
        <v>0</v>
      </c>
    </row>
    <row r="26" spans="1:30">
      <c r="A26" s="3343" t="s">
        <v>3257</v>
      </c>
      <c r="B26" s="3402">
        <v>2023</v>
      </c>
      <c r="C26" s="3403">
        <v>3</v>
      </c>
      <c r="D26" s="3403"/>
      <c r="E26" s="3403">
        <v>0</v>
      </c>
      <c r="F26" s="3403">
        <v>0</v>
      </c>
      <c r="G26" s="3403">
        <v>0</v>
      </c>
      <c r="H26" s="3409"/>
      <c r="I26" s="3404">
        <f t="shared" si="16"/>
        <v>0</v>
      </c>
      <c r="J26" s="3364"/>
      <c r="K26" s="3365"/>
      <c r="L26" s="3366">
        <f t="shared" ref="L26:L28" si="18">E26/100</f>
        <v>0</v>
      </c>
      <c r="M26" s="3366">
        <f t="shared" ref="M26:M28" si="19">F26/100</f>
        <v>0</v>
      </c>
      <c r="N26" s="3366">
        <f t="shared" ref="N26:N28" si="20">G26/100</f>
        <v>0</v>
      </c>
      <c r="O26" s="3366"/>
      <c r="P26" s="3366">
        <f t="shared" ref="P26:P28" si="21">M26</f>
        <v>0</v>
      </c>
      <c r="Q26" s="3364"/>
      <c r="R26" s="3380"/>
      <c r="S26" s="3380">
        <f>ROUND(IF(项目基本情况!$B$8="出让",SUMPRODUCT(PRODUCT(1+L26:L$36)),SUMPRODUCT(PRODUCT(1+L26:L$35))),4)</f>
        <v>1.0286999999999999</v>
      </c>
      <c r="T26" s="3380">
        <f>ROUND(IF(项目基本情况!$B$8="出让",SUMPRODUCT(PRODUCT(1+M26:M$36)),SUMPRODUCT(PRODUCT(1+M26:M$35))),4)</f>
        <v>1.0164</v>
      </c>
      <c r="U26" s="3380">
        <f>ROUND(IF(项目基本情况!$B$8="出让",SUMPRODUCT(PRODUCT(1+N26:N$36)),SUMPRODUCT(PRODUCT(1+N26:N$35))),4)</f>
        <v>1.0506</v>
      </c>
      <c r="V26" s="3380"/>
      <c r="W26" s="3380">
        <f t="shared" ref="W26:W28" si="22">T26</f>
        <v>1.0164</v>
      </c>
      <c r="X26" s="3364"/>
      <c r="Y26" s="3389"/>
      <c r="Z26" s="3390">
        <f t="shared" ref="Z26:AB26" si="23">IF(E26=0,0,ROUND(AVERAGE(E26:E37)/100,4))</f>
        <v>0</v>
      </c>
      <c r="AA26" s="3390">
        <f t="shared" si="23"/>
        <v>0</v>
      </c>
      <c r="AB26" s="3390">
        <f t="shared" si="23"/>
        <v>0</v>
      </c>
      <c r="AC26" s="3391"/>
      <c r="AD26" s="3389">
        <f t="shared" ref="AD26:AD28" si="24">IF(I26=0,0,ROUND(AVERAGE(I26:I37)/100,4))</f>
        <v>0</v>
      </c>
    </row>
    <row r="27" spans="1:30">
      <c r="A27" s="3343" t="s">
        <v>3255</v>
      </c>
      <c r="B27" s="3402">
        <v>2023</v>
      </c>
      <c r="C27" s="3403">
        <v>2</v>
      </c>
      <c r="D27" s="3403"/>
      <c r="E27" s="3403">
        <v>0</v>
      </c>
      <c r="F27" s="3403">
        <v>0</v>
      </c>
      <c r="G27" s="3403">
        <v>0</v>
      </c>
      <c r="H27" s="3409"/>
      <c r="I27" s="3404">
        <f t="shared" si="16"/>
        <v>0</v>
      </c>
      <c r="J27" s="3364"/>
      <c r="K27" s="3365"/>
      <c r="L27" s="3366">
        <f t="shared" si="18"/>
        <v>0</v>
      </c>
      <c r="M27" s="3366">
        <f t="shared" si="19"/>
        <v>0</v>
      </c>
      <c r="N27" s="3366">
        <f t="shared" si="20"/>
        <v>0</v>
      </c>
      <c r="O27" s="3366"/>
      <c r="P27" s="3366">
        <f t="shared" si="21"/>
        <v>0</v>
      </c>
      <c r="Q27" s="3364"/>
      <c r="R27" s="3380"/>
      <c r="S27" s="3380">
        <f>ROUND(IF(项目基本情况!$B$8="出让",SUMPRODUCT(PRODUCT(1+L27:L$36)),SUMPRODUCT(PRODUCT(1+L27:L$35))),4)</f>
        <v>1.0286999999999999</v>
      </c>
      <c r="T27" s="3380">
        <f>ROUND(IF(项目基本情况!$B$8="出让",SUMPRODUCT(PRODUCT(1+M27:M$36)),SUMPRODUCT(PRODUCT(1+M27:M$35))),4)</f>
        <v>1.0164</v>
      </c>
      <c r="U27" s="3380">
        <f>ROUND(IF(项目基本情况!$B$8="出让",SUMPRODUCT(PRODUCT(1+N27:N$36)),SUMPRODUCT(PRODUCT(1+N27:N$35))),4)</f>
        <v>1.0506</v>
      </c>
      <c r="V27" s="3380"/>
      <c r="W27" s="3380">
        <f t="shared" si="22"/>
        <v>1.0164</v>
      </c>
      <c r="X27" s="3364"/>
      <c r="Y27" s="3389"/>
      <c r="Z27" s="3390">
        <f t="shared" ref="Z27:AB27" si="25">IF(E27=0,0,ROUND(AVERAGE(E27:E38)/100,4))</f>
        <v>0</v>
      </c>
      <c r="AA27" s="3390">
        <f t="shared" si="25"/>
        <v>0</v>
      </c>
      <c r="AB27" s="3390">
        <f t="shared" si="25"/>
        <v>0</v>
      </c>
      <c r="AC27" s="3391"/>
      <c r="AD27" s="3389">
        <f t="shared" si="24"/>
        <v>0</v>
      </c>
    </row>
    <row r="28" spans="1:30">
      <c r="A28" s="3343" t="s">
        <v>2784</v>
      </c>
      <c r="B28" s="3402">
        <v>2023</v>
      </c>
      <c r="C28" s="3403">
        <v>1</v>
      </c>
      <c r="D28" s="3403"/>
      <c r="E28" s="3403">
        <v>0</v>
      </c>
      <c r="F28" s="3403">
        <v>0</v>
      </c>
      <c r="G28" s="3403">
        <v>0</v>
      </c>
      <c r="H28" s="3409"/>
      <c r="I28" s="3404">
        <f t="shared" si="16"/>
        <v>0</v>
      </c>
      <c r="J28" s="3364"/>
      <c r="K28" s="3365"/>
      <c r="L28" s="3366">
        <f t="shared" si="18"/>
        <v>0</v>
      </c>
      <c r="M28" s="3366">
        <f t="shared" si="19"/>
        <v>0</v>
      </c>
      <c r="N28" s="3366">
        <f t="shared" si="20"/>
        <v>0</v>
      </c>
      <c r="O28" s="3366"/>
      <c r="P28" s="3366">
        <f t="shared" si="21"/>
        <v>0</v>
      </c>
      <c r="Q28" s="3364"/>
      <c r="R28" s="3380"/>
      <c r="S28" s="3380">
        <f>ROUND(IF(项目基本情况!$B$8="出让",SUMPRODUCT(PRODUCT(1+L28:L$36)),SUMPRODUCT(PRODUCT(1+L28:L$35))),4)</f>
        <v>1.0286999999999999</v>
      </c>
      <c r="T28" s="3380">
        <f>ROUND(IF(项目基本情况!$B$8="出让",SUMPRODUCT(PRODUCT(1+M28:M$36)),SUMPRODUCT(PRODUCT(1+M28:M$35))),4)</f>
        <v>1.0164</v>
      </c>
      <c r="U28" s="3380">
        <f>ROUND(IF(项目基本情况!$B$8="出让",SUMPRODUCT(PRODUCT(1+N28:N$36)),SUMPRODUCT(PRODUCT(1+N28:N$35))),4)</f>
        <v>1.0506</v>
      </c>
      <c r="V28" s="3380"/>
      <c r="W28" s="3380">
        <f t="shared" si="22"/>
        <v>1.0164</v>
      </c>
      <c r="X28" s="3364"/>
      <c r="Y28" s="3389"/>
      <c r="Z28" s="3390">
        <f t="shared" ref="Z28:AB28" si="26">IF(E28=0,0,ROUND(AVERAGE(E28:E39)/100,4))</f>
        <v>0</v>
      </c>
      <c r="AA28" s="3390">
        <f t="shared" si="26"/>
        <v>0</v>
      </c>
      <c r="AB28" s="3390">
        <f t="shared" si="26"/>
        <v>0</v>
      </c>
      <c r="AC28" s="3391"/>
      <c r="AD28" s="3389">
        <f t="shared" si="24"/>
        <v>0</v>
      </c>
    </row>
    <row r="29" spans="1:30">
      <c r="A29" s="3344" t="s">
        <v>3253</v>
      </c>
      <c r="B29" s="3405">
        <v>2022</v>
      </c>
      <c r="C29" s="3406">
        <v>4</v>
      </c>
      <c r="D29" s="3406"/>
      <c r="E29" s="3406">
        <v>0.45</v>
      </c>
      <c r="F29" s="3406">
        <v>0.2</v>
      </c>
      <c r="G29" s="3406">
        <v>0.38</v>
      </c>
      <c r="H29" s="3407"/>
      <c r="I29" s="3408">
        <f t="shared" si="16"/>
        <v>0.2</v>
      </c>
      <c r="J29" s="3367"/>
      <c r="K29" s="3368"/>
      <c r="L29" s="3369">
        <f t="shared" si="17"/>
        <v>4.5000000000000005E-3</v>
      </c>
      <c r="M29" s="3369">
        <f t="shared" si="17"/>
        <v>2E-3</v>
      </c>
      <c r="N29" s="3369">
        <f t="shared" si="17"/>
        <v>3.8E-3</v>
      </c>
      <c r="O29" s="3369"/>
      <c r="P29" s="3369">
        <f t="shared" ref="P29:P36" si="27">M29</f>
        <v>2E-3</v>
      </c>
      <c r="Q29" s="3367"/>
      <c r="R29" s="3367"/>
      <c r="S29" s="3367">
        <f>ROUND(IF(项目基本情况!$B$8="出让",SUMPRODUCT(PRODUCT(1+L29:L$36)),SUMPRODUCT(PRODUCT(1+L29:L$35))),4)</f>
        <v>1.0286999999999999</v>
      </c>
      <c r="T29" s="3367">
        <f>ROUND(IF(项目基本情况!$B$8="出让",SUMPRODUCT(PRODUCT(1+M29:M$36)),SUMPRODUCT(PRODUCT(1+M29:M$35))),4)</f>
        <v>1.0164</v>
      </c>
      <c r="U29" s="3367">
        <f>ROUND(IF(项目基本情况!$B$8="出让",SUMPRODUCT(PRODUCT(1+N29:N$36)),SUMPRODUCT(PRODUCT(1+N29:N$35))),4)</f>
        <v>1.0506</v>
      </c>
      <c r="V29" s="3367"/>
      <c r="W29" s="3367">
        <f t="shared" ref="W29:W36" si="28">T29</f>
        <v>1.0164</v>
      </c>
      <c r="X29" s="3367"/>
      <c r="Y29" s="3369"/>
      <c r="Z29" s="3393">
        <f t="shared" ref="Z29:AD36" si="29">IF(E29=0,0,ROUND(AVERAGE(E29:E37)/100,4))</f>
        <v>4.0000000000000001E-3</v>
      </c>
      <c r="AA29" s="3394">
        <f t="shared" si="29"/>
        <v>2.5999999999999999E-3</v>
      </c>
      <c r="AB29" s="3369">
        <f t="shared" si="29"/>
        <v>7.4000000000000003E-3</v>
      </c>
      <c r="AC29" s="3395"/>
      <c r="AD29" s="3369">
        <f t="shared" si="29"/>
        <v>2.5999999999999999E-3</v>
      </c>
    </row>
    <row r="30" spans="1:30">
      <c r="A30" s="3343" t="s">
        <v>3254</v>
      </c>
      <c r="B30" s="3402">
        <v>2022</v>
      </c>
      <c r="C30" s="3403">
        <v>3</v>
      </c>
      <c r="D30" s="3403"/>
      <c r="E30" s="3403">
        <v>0.3</v>
      </c>
      <c r="F30" s="3403">
        <v>0.28999999999999998</v>
      </c>
      <c r="G30" s="3403">
        <v>0.83</v>
      </c>
      <c r="H30" s="3409"/>
      <c r="I30" s="3404">
        <f t="shared" si="16"/>
        <v>0.28999999999999998</v>
      </c>
      <c r="J30" s="3364"/>
      <c r="K30" s="3365"/>
      <c r="L30" s="3366">
        <f t="shared" si="17"/>
        <v>3.0000000000000001E-3</v>
      </c>
      <c r="M30" s="3366">
        <f t="shared" si="17"/>
        <v>2.8999999999999998E-3</v>
      </c>
      <c r="N30" s="3366">
        <f t="shared" si="17"/>
        <v>8.3000000000000001E-3</v>
      </c>
      <c r="O30" s="3366"/>
      <c r="P30" s="3366">
        <f t="shared" si="27"/>
        <v>2.8999999999999998E-3</v>
      </c>
      <c r="Q30" s="3364"/>
      <c r="R30" s="3380"/>
      <c r="S30" s="3380">
        <f>ROUND(IF(项目基本情况!$B$8="出让",SUMPRODUCT(PRODUCT(1+L30:L$36)),SUMPRODUCT(PRODUCT(1+L30:L$35))),4)</f>
        <v>1.0241</v>
      </c>
      <c r="T30" s="3380">
        <f>ROUND(IF(项目基本情况!$B$8="出让",SUMPRODUCT(PRODUCT(1+M30:M$36)),SUMPRODUCT(PRODUCT(1+M30:M$35))),4)</f>
        <v>1.0144</v>
      </c>
      <c r="U30" s="3380">
        <f>ROUND(IF(项目基本情况!$B$8="出让",SUMPRODUCT(PRODUCT(1+N30:N$36)),SUMPRODUCT(PRODUCT(1+N30:N$35))),4)</f>
        <v>1.0467</v>
      </c>
      <c r="V30" s="3380"/>
      <c r="W30" s="3380">
        <f t="shared" si="28"/>
        <v>1.0144</v>
      </c>
      <c r="X30" s="3364"/>
      <c r="Y30" s="3389"/>
      <c r="Z30" s="3390">
        <f t="shared" si="29"/>
        <v>3.8999999999999998E-3</v>
      </c>
      <c r="AA30" s="3392">
        <f t="shared" si="29"/>
        <v>2.7000000000000001E-3</v>
      </c>
      <c r="AB30" s="3389">
        <f t="shared" si="29"/>
        <v>7.9000000000000008E-3</v>
      </c>
      <c r="AC30" s="3391"/>
      <c r="AD30" s="3389">
        <f t="shared" si="29"/>
        <v>2.7000000000000001E-3</v>
      </c>
    </row>
    <row r="31" spans="1:30">
      <c r="A31" s="3343" t="s">
        <v>3252</v>
      </c>
      <c r="B31" s="3402">
        <v>2022</v>
      </c>
      <c r="C31" s="3403">
        <v>2</v>
      </c>
      <c r="D31" s="3403"/>
      <c r="E31" s="3403">
        <v>-0.11</v>
      </c>
      <c r="F31" s="3403">
        <v>-0.13</v>
      </c>
      <c r="G31" s="3403">
        <v>0.53</v>
      </c>
      <c r="H31" s="3409"/>
      <c r="I31" s="3404">
        <f t="shared" si="16"/>
        <v>-0.13</v>
      </c>
      <c r="J31" s="3364"/>
      <c r="K31" s="3365"/>
      <c r="L31" s="3366">
        <f t="shared" si="17"/>
        <v>-1.1000000000000001E-3</v>
      </c>
      <c r="M31" s="3366">
        <f t="shared" si="17"/>
        <v>-1.2999999999999999E-3</v>
      </c>
      <c r="N31" s="3366">
        <f t="shared" si="17"/>
        <v>5.3E-3</v>
      </c>
      <c r="O31" s="3366"/>
      <c r="P31" s="3366">
        <f t="shared" si="27"/>
        <v>-1.2999999999999999E-3</v>
      </c>
      <c r="Q31" s="3364"/>
      <c r="R31" s="3380"/>
      <c r="S31" s="3380">
        <f>ROUND(IF(项目基本情况!$B$8="出让",SUMPRODUCT(PRODUCT(1+L31:L$36)),SUMPRODUCT(PRODUCT(1+L31:L$35))),4)</f>
        <v>1.0210999999999999</v>
      </c>
      <c r="T31" s="3380">
        <f>ROUND(IF(项目基本情况!$B$8="出让",SUMPRODUCT(PRODUCT(1+M31:M$36)),SUMPRODUCT(PRODUCT(1+M31:M$35))),4)</f>
        <v>1.0114000000000001</v>
      </c>
      <c r="U31" s="3380">
        <f>ROUND(IF(项目基本情况!$B$8="出让",SUMPRODUCT(PRODUCT(1+N31:N$36)),SUMPRODUCT(PRODUCT(1+N31:N$35))),4)</f>
        <v>1.0381</v>
      </c>
      <c r="V31" s="3380"/>
      <c r="W31" s="3380">
        <f t="shared" si="28"/>
        <v>1.0114000000000001</v>
      </c>
      <c r="X31" s="3364"/>
      <c r="Y31" s="3389"/>
      <c r="Z31" s="3390">
        <f t="shared" si="29"/>
        <v>4.1000000000000003E-3</v>
      </c>
      <c r="AA31" s="3392">
        <f t="shared" si="29"/>
        <v>2.7000000000000001E-3</v>
      </c>
      <c r="AB31" s="3389">
        <f t="shared" si="29"/>
        <v>7.9000000000000008E-3</v>
      </c>
      <c r="AC31" s="3391"/>
      <c r="AD31" s="3389">
        <f t="shared" si="29"/>
        <v>2.7000000000000001E-3</v>
      </c>
    </row>
    <row r="32" spans="1:30">
      <c r="A32" s="3343" t="s">
        <v>2785</v>
      </c>
      <c r="B32" s="3402">
        <v>2022</v>
      </c>
      <c r="C32" s="3403">
        <v>1</v>
      </c>
      <c r="D32" s="3403"/>
      <c r="E32" s="3403">
        <v>0.6</v>
      </c>
      <c r="F32" s="3403">
        <v>0.45</v>
      </c>
      <c r="G32" s="3403">
        <v>0.53</v>
      </c>
      <c r="H32" s="3409"/>
      <c r="I32" s="3404">
        <f t="shared" si="16"/>
        <v>0.45</v>
      </c>
      <c r="J32" s="3364"/>
      <c r="K32" s="3365"/>
      <c r="L32" s="3366">
        <f t="shared" si="17"/>
        <v>6.0000000000000001E-3</v>
      </c>
      <c r="M32" s="3366">
        <f t="shared" si="17"/>
        <v>4.5000000000000005E-3</v>
      </c>
      <c r="N32" s="3366">
        <f t="shared" si="17"/>
        <v>5.3E-3</v>
      </c>
      <c r="O32" s="3366"/>
      <c r="P32" s="3366">
        <f t="shared" si="27"/>
        <v>4.5000000000000005E-3</v>
      </c>
      <c r="Q32" s="3364"/>
      <c r="R32" s="3380"/>
      <c r="S32" s="3380">
        <f>ROUND(IF(项目基本情况!$B$8="出让",SUMPRODUCT(PRODUCT(1+L32:L$36)),SUMPRODUCT(PRODUCT(1+L32:L$35))),4)</f>
        <v>1.0222</v>
      </c>
      <c r="T32" s="3380">
        <f>ROUND(IF(项目基本情况!$B$8="出让",SUMPRODUCT(PRODUCT(1+M32:M$36)),SUMPRODUCT(PRODUCT(1+M32:M$35))),4)</f>
        <v>1.0127999999999999</v>
      </c>
      <c r="U32" s="3380">
        <f>ROUND(IF(项目基本情况!$B$8="出让",SUMPRODUCT(PRODUCT(1+N32:N$36)),SUMPRODUCT(PRODUCT(1+N32:N$35))),4)</f>
        <v>1.0326</v>
      </c>
      <c r="V32" s="3380"/>
      <c r="W32" s="3380">
        <f t="shared" si="28"/>
        <v>1.0127999999999999</v>
      </c>
      <c r="X32" s="3364"/>
      <c r="Y32" s="3389"/>
      <c r="Z32" s="3390">
        <f t="shared" si="29"/>
        <v>5.1000000000000004E-3</v>
      </c>
      <c r="AA32" s="3392">
        <f t="shared" si="29"/>
        <v>3.5000000000000001E-3</v>
      </c>
      <c r="AB32" s="3389">
        <f t="shared" si="29"/>
        <v>8.3999999999999995E-3</v>
      </c>
      <c r="AC32" s="3391"/>
      <c r="AD32" s="3389">
        <f t="shared" si="29"/>
        <v>3.5000000000000001E-3</v>
      </c>
    </row>
    <row r="33" spans="1:30">
      <c r="A33" s="3343" t="s">
        <v>2786</v>
      </c>
      <c r="B33" s="3402">
        <v>2021</v>
      </c>
      <c r="C33" s="3403">
        <v>4</v>
      </c>
      <c r="D33" s="3403"/>
      <c r="E33" s="3403">
        <v>0.57999999999999996</v>
      </c>
      <c r="F33" s="3403">
        <v>0.08</v>
      </c>
      <c r="G33" s="3403">
        <v>0.68</v>
      </c>
      <c r="H33" s="3409"/>
      <c r="I33" s="3404">
        <f t="shared" si="16"/>
        <v>0.08</v>
      </c>
      <c r="J33" s="3364"/>
      <c r="K33" s="3365"/>
      <c r="L33" s="3366">
        <f t="shared" si="17"/>
        <v>5.7999999999999996E-3</v>
      </c>
      <c r="M33" s="3366">
        <f t="shared" si="17"/>
        <v>8.0000000000000004E-4</v>
      </c>
      <c r="N33" s="3366">
        <f t="shared" si="17"/>
        <v>6.8000000000000005E-3</v>
      </c>
      <c r="O33" s="3366"/>
      <c r="P33" s="3366">
        <f t="shared" si="27"/>
        <v>8.0000000000000004E-4</v>
      </c>
      <c r="Q33" s="3364"/>
      <c r="R33" s="3380"/>
      <c r="S33" s="3380">
        <f>ROUND(IF(项目基本情况!$B$8="出让",SUMPRODUCT(PRODUCT(1+L33:L$36)),SUMPRODUCT(PRODUCT(1+L33:L$35))),4)</f>
        <v>1.0161</v>
      </c>
      <c r="T33" s="3380">
        <f>ROUND(IF(项目基本情况!$B$8="出让",SUMPRODUCT(PRODUCT(1+M33:M$36)),SUMPRODUCT(PRODUCT(1+M33:M$35))),4)</f>
        <v>1.0082</v>
      </c>
      <c r="U33" s="3380">
        <f>ROUND(IF(项目基本情况!$B$8="出让",SUMPRODUCT(PRODUCT(1+N33:N$36)),SUMPRODUCT(PRODUCT(1+N33:N$35))),4)</f>
        <v>1.0270999999999999</v>
      </c>
      <c r="V33" s="3380"/>
      <c r="W33" s="3380">
        <f t="shared" si="28"/>
        <v>1.0082</v>
      </c>
      <c r="X33" s="3364"/>
      <c r="Y33" s="3389"/>
      <c r="Z33" s="3390">
        <f t="shared" si="29"/>
        <v>4.8999999999999998E-3</v>
      </c>
      <c r="AA33" s="3392">
        <f t="shared" si="29"/>
        <v>3.3E-3</v>
      </c>
      <c r="AB33" s="3389">
        <f t="shared" si="29"/>
        <v>9.1999999999999998E-3</v>
      </c>
      <c r="AC33" s="3391"/>
      <c r="AD33" s="3389">
        <f t="shared" si="29"/>
        <v>3.3E-3</v>
      </c>
    </row>
    <row r="34" spans="1:30">
      <c r="A34" s="3343" t="s">
        <v>2787</v>
      </c>
      <c r="B34" s="3402">
        <v>2021</v>
      </c>
      <c r="C34" s="3403">
        <v>3</v>
      </c>
      <c r="D34" s="3403"/>
      <c r="E34" s="3403">
        <v>0.47</v>
      </c>
      <c r="F34" s="3403">
        <v>0.28000000000000003</v>
      </c>
      <c r="G34" s="3403">
        <v>0.91</v>
      </c>
      <c r="H34" s="3409"/>
      <c r="I34" s="3404">
        <f t="shared" si="16"/>
        <v>0.28000000000000003</v>
      </c>
      <c r="J34" s="3364"/>
      <c r="K34" s="3365"/>
      <c r="L34" s="3366">
        <f t="shared" si="17"/>
        <v>4.6999999999999993E-3</v>
      </c>
      <c r="M34" s="3366">
        <f t="shared" si="17"/>
        <v>2.8000000000000004E-3</v>
      </c>
      <c r="N34" s="3366">
        <f t="shared" si="17"/>
        <v>9.1000000000000004E-3</v>
      </c>
      <c r="O34" s="3366"/>
      <c r="P34" s="3366">
        <f t="shared" si="27"/>
        <v>2.8000000000000004E-3</v>
      </c>
      <c r="Q34" s="3364"/>
      <c r="R34" s="3380"/>
      <c r="S34" s="3380">
        <f>ROUND(IF(项目基本情况!$B$8="出让",SUMPRODUCT(PRODUCT(1+L34:L$36)),SUMPRODUCT(PRODUCT(1+L34:L$35))),4)</f>
        <v>1.0102</v>
      </c>
      <c r="T34" s="3380">
        <f>ROUND(IF(项目基本情况!$B$8="出让",SUMPRODUCT(PRODUCT(1+M34:M$36)),SUMPRODUCT(PRODUCT(1+M34:M$35))),4)</f>
        <v>1.0074000000000001</v>
      </c>
      <c r="U34" s="3380">
        <f>ROUND(IF(项目基本情况!$B$8="出让",SUMPRODUCT(PRODUCT(1+N34:N$36)),SUMPRODUCT(PRODUCT(1+N34:N$35))),4)</f>
        <v>1.0202</v>
      </c>
      <c r="V34" s="3380"/>
      <c r="W34" s="3380">
        <f t="shared" si="28"/>
        <v>1.0074000000000001</v>
      </c>
      <c r="X34" s="3364"/>
      <c r="Y34" s="3389"/>
      <c r="Z34" s="3390">
        <f t="shared" si="29"/>
        <v>4.5999999999999999E-3</v>
      </c>
      <c r="AA34" s="3392">
        <f t="shared" si="29"/>
        <v>4.1000000000000003E-3</v>
      </c>
      <c r="AB34" s="3389">
        <f t="shared" si="29"/>
        <v>0.01</v>
      </c>
      <c r="AC34" s="3391"/>
      <c r="AD34" s="3389">
        <f t="shared" si="29"/>
        <v>4.1000000000000003E-3</v>
      </c>
    </row>
    <row r="35" spans="1:30">
      <c r="A35" s="3343" t="s">
        <v>2791</v>
      </c>
      <c r="B35" s="3402">
        <v>2021</v>
      </c>
      <c r="C35" s="3403">
        <v>2</v>
      </c>
      <c r="D35" s="3403"/>
      <c r="E35" s="3403">
        <v>0.55000000000000004</v>
      </c>
      <c r="F35" s="3403">
        <v>0.46</v>
      </c>
      <c r="G35" s="3403">
        <v>1.1000000000000001</v>
      </c>
      <c r="H35" s="3409"/>
      <c r="I35" s="3404">
        <f t="shared" si="16"/>
        <v>0.46</v>
      </c>
      <c r="J35" s="3364"/>
      <c r="K35" s="3365"/>
      <c r="L35" s="3366">
        <f t="shared" si="17"/>
        <v>5.5000000000000005E-3</v>
      </c>
      <c r="M35" s="3366">
        <f t="shared" si="17"/>
        <v>4.5999999999999999E-3</v>
      </c>
      <c r="N35" s="3366">
        <f t="shared" si="17"/>
        <v>1.1000000000000001E-2</v>
      </c>
      <c r="O35" s="3366"/>
      <c r="P35" s="3366">
        <f t="shared" si="27"/>
        <v>4.5999999999999999E-3</v>
      </c>
      <c r="Q35" s="3364"/>
      <c r="R35" s="3380"/>
      <c r="S35" s="3380">
        <f>ROUND(IF(项目基本情况!$B$8="出让",SUMPRODUCT(PRODUCT(1+L35:L$36)),SUMPRODUCT(PRODUCT(1+L35:L$35))),4)</f>
        <v>1.0055000000000001</v>
      </c>
      <c r="T35" s="3380">
        <f>ROUND(IF(项目基本情况!$B$8="出让",SUMPRODUCT(PRODUCT(1+M35:M$36)),SUMPRODUCT(PRODUCT(1+M35:M$35))),4)</f>
        <v>1.0045999999999999</v>
      </c>
      <c r="U35" s="3380">
        <f>ROUND(IF(项目基本情况!$B$8="出让",SUMPRODUCT(PRODUCT(1+N35:N$36)),SUMPRODUCT(PRODUCT(1+N35:N$35))),4)</f>
        <v>1.0109999999999999</v>
      </c>
      <c r="V35" s="3380"/>
      <c r="W35" s="3380">
        <f t="shared" si="28"/>
        <v>1.0045999999999999</v>
      </c>
      <c r="X35" s="3364"/>
      <c r="Y35" s="3389"/>
      <c r="Z35" s="3390">
        <f t="shared" si="29"/>
        <v>4.4999999999999997E-3</v>
      </c>
      <c r="AA35" s="3392">
        <f t="shared" si="29"/>
        <v>4.7000000000000002E-3</v>
      </c>
      <c r="AB35" s="3389">
        <f t="shared" si="29"/>
        <v>1.04E-2</v>
      </c>
      <c r="AC35" s="3391"/>
      <c r="AD35" s="3389">
        <f t="shared" si="29"/>
        <v>4.7000000000000002E-3</v>
      </c>
    </row>
    <row r="36" spans="1:30" ht="15" thickBot="1">
      <c r="A36" s="3345" t="s">
        <v>2792</v>
      </c>
      <c r="B36" s="3410">
        <v>2021</v>
      </c>
      <c r="C36" s="3411">
        <v>1</v>
      </c>
      <c r="D36" s="3411"/>
      <c r="E36" s="3411">
        <v>0.35</v>
      </c>
      <c r="F36" s="3411">
        <v>0.48</v>
      </c>
      <c r="G36" s="3411">
        <v>0.98</v>
      </c>
      <c r="H36" s="3412"/>
      <c r="I36" s="3413">
        <f t="shared" si="16"/>
        <v>0.48</v>
      </c>
      <c r="J36" s="3370"/>
      <c r="K36" s="3371"/>
      <c r="L36" s="3372">
        <f t="shared" si="17"/>
        <v>3.4999999999999996E-3</v>
      </c>
      <c r="M36" s="3372">
        <f>F36/100</f>
        <v>4.7999999999999996E-3</v>
      </c>
      <c r="N36" s="3372">
        <f t="shared" si="17"/>
        <v>9.7999999999999997E-3</v>
      </c>
      <c r="O36" s="3372"/>
      <c r="P36" s="3372">
        <f t="shared" si="27"/>
        <v>4.7999999999999996E-3</v>
      </c>
      <c r="Q36" s="3370"/>
      <c r="R36" s="3381"/>
      <c r="S36" s="3381">
        <v>1</v>
      </c>
      <c r="T36" s="3381">
        <v>1</v>
      </c>
      <c r="U36" s="3381">
        <v>1</v>
      </c>
      <c r="V36" s="3381"/>
      <c r="W36" s="3381">
        <f t="shared" si="28"/>
        <v>1</v>
      </c>
      <c r="X36" s="3370"/>
      <c r="Y36" s="3372"/>
      <c r="Z36" s="3396">
        <f t="shared" si="29"/>
        <v>3.5000000000000001E-3</v>
      </c>
      <c r="AA36" s="3397">
        <f t="shared" si="29"/>
        <v>4.7999999999999996E-3</v>
      </c>
      <c r="AB36" s="3372">
        <f t="shared" si="29"/>
        <v>9.7999999999999997E-3</v>
      </c>
      <c r="AC36" s="3398"/>
      <c r="AD36" s="3372">
        <f t="shared" si="29"/>
        <v>4.7999999999999996E-3</v>
      </c>
    </row>
    <row r="37" spans="1:30" ht="15" thickTop="1"/>
    <row r="38" spans="1:30">
      <c r="A38" s="3661" t="s">
        <v>3259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9" customWidth="1"/>
    <col min="2" max="2" width="12.44140625" style="2989" customWidth="1"/>
    <col min="3" max="3" width="12.109375" style="2989" customWidth="1"/>
    <col min="4" max="4" width="16.6640625" style="2989" customWidth="1"/>
    <col min="5" max="5" width="12.44140625" style="2989" customWidth="1"/>
    <col min="6" max="6" width="12.77734375" style="2989" customWidth="1"/>
    <col min="7" max="16384" width="8.88671875" style="2989"/>
  </cols>
  <sheetData>
    <row r="1" spans="1:14" ht="20.399999999999999">
      <c r="A1" s="2992" t="s">
        <v>2211</v>
      </c>
      <c r="B1" s="2987"/>
      <c r="C1" s="2987"/>
      <c r="D1" s="2987"/>
      <c r="E1" s="2987"/>
      <c r="F1" s="2987"/>
      <c r="G1" s="2988"/>
      <c r="H1" s="2988"/>
      <c r="I1" s="2988"/>
      <c r="J1" s="2988"/>
      <c r="K1" s="2988"/>
      <c r="L1" s="2988"/>
      <c r="M1" s="2988"/>
      <c r="N1" s="2988"/>
    </row>
    <row r="2" spans="1:14" ht="15.6">
      <c r="A2" s="2993" t="s">
        <v>2206</v>
      </c>
      <c r="B2" s="2998">
        <f ca="1">SUMIF(B7:B14,"&lt;&gt;#ref!",B7:B14)</f>
        <v>0</v>
      </c>
      <c r="C2" s="2993" t="s">
        <v>2207</v>
      </c>
      <c r="D2" s="2990"/>
      <c r="E2" s="2990"/>
      <c r="F2" s="2990"/>
      <c r="G2" s="2988"/>
      <c r="H2" s="2988"/>
      <c r="I2" s="2988"/>
      <c r="J2" s="2988"/>
      <c r="K2" s="2988"/>
      <c r="L2" s="2988"/>
      <c r="M2" s="2988"/>
      <c r="N2" s="2988"/>
    </row>
    <row r="3" spans="1:14" ht="15.6">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5.6">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5.6">
      <c r="A5" s="2994"/>
      <c r="B5" s="2990"/>
      <c r="C5" s="2990"/>
      <c r="D5" s="2990"/>
      <c r="E5" s="2990"/>
      <c r="F5" s="2990"/>
      <c r="G5" s="2988"/>
      <c r="H5" s="2988"/>
      <c r="I5" s="2988"/>
      <c r="J5" s="2988"/>
      <c r="K5" s="2988"/>
      <c r="L5" s="2988"/>
      <c r="M5" s="2988"/>
      <c r="N5" s="2988"/>
    </row>
    <row r="6" spans="1:14" ht="31.2">
      <c r="A6" s="2995" t="s">
        <v>2212</v>
      </c>
      <c r="B6" s="2993" t="s">
        <v>2209</v>
      </c>
      <c r="C6" s="2545"/>
      <c r="D6" s="2990"/>
      <c r="E6" s="2993" t="s">
        <v>2210</v>
      </c>
      <c r="F6" s="2993" t="s">
        <v>2213</v>
      </c>
      <c r="G6" s="2988"/>
      <c r="H6" s="2988"/>
      <c r="I6" s="2988"/>
      <c r="J6" s="2988"/>
      <c r="K6" s="2988"/>
      <c r="L6" s="2988"/>
      <c r="M6" s="2988"/>
      <c r="N6" s="2988"/>
    </row>
    <row r="7" spans="1:14" ht="15.6">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5.6">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5.6">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5.6">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5.6">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5.6">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5.6">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5.6">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受贵公司委托，我公司对北京市出让国有建设用地使用权抵押价格进行了预评估。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1667.9平方米。根据《建设工程规划许可证》[]、《出让合同》[]，估价对象规划建筑面积为3611.7平方米。</v>
      </c>
    </row>
    <row r="7" spans="1:4" ht="52.2">
      <c r="A7" s="1583" t="s">
        <v>2029</v>
      </c>
    </row>
    <row r="8" spans="1:4" ht="17.399999999999999">
      <c r="A8" s="1582" t="s">
        <v>1430</v>
      </c>
    </row>
    <row r="9" spans="1:4" ht="69.599999999999994">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5" t="s">
        <v>1544</v>
      </c>
    </row>
    <row r="11" spans="1:4" ht="17.399999999999999">
      <c r="A11" s="1568" t="str">
        <f>TEXT(项目基本情况!D3,"yyyy年m月d日;;")&amp;IF(项目基本情况!B3=项目基本情况!D3,"（评估专业人员勘察现场之日）","")</f>
        <v>2023年3月1日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根据《国有土地使用证》[]，估价对象（分摊）出让国有建设用地使用权面积为1667.9平方米。根据《建设工程规划许可证》[]、《出让合同》[]，估价对象规划建筑面积为3611.7平方米。</v>
      </c>
    </row>
    <row r="21" spans="1:1" ht="17.399999999999999">
      <c r="A21" s="1579" t="s">
        <v>1592</v>
      </c>
    </row>
    <row r="22" spans="1:1" ht="87">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2049年4月30日。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2023年3月1日，在规划利用条件下、设定土地开发程度为红线外“七通”、宗地内场地，设定用途为，剩余土地使用年限为的出让国有建设用地使用权价格。</v>
      </c>
    </row>
    <row r="26" spans="1:1" ht="52.2">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-1</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29" t="s">
        <v>1807</v>
      </c>
      <c r="C8" s="1612">
        <f ca="1">ROUND(F8*F10*F9*(1-F11)/10000,0)</f>
        <v>0</v>
      </c>
      <c r="D8" s="1609" t="s">
        <v>1817</v>
      </c>
      <c r="E8" s="59" t="s">
        <v>585</v>
      </c>
      <c r="F8" s="751">
        <f ca="1">INDIRECT("'数据-取费表'!u"&amp;$G$1)</f>
        <v>0</v>
      </c>
      <c r="G8" s="1405"/>
      <c r="H8" s="2151" t="s">
        <v>1353</v>
      </c>
      <c r="I8" s="3929" t="s">
        <v>1807</v>
      </c>
      <c r="J8" s="749">
        <f ca="1">ROUND(M8*M10*M9*(1-M11)/10000,0)</f>
        <v>0</v>
      </c>
      <c r="K8" s="332" t="s">
        <v>1817</v>
      </c>
      <c r="L8" s="750" t="s">
        <v>1267</v>
      </c>
      <c r="M8" s="751">
        <f ca="1">INDIRECT("'数据-取费表'!z"&amp;$G$1)</f>
        <v>0</v>
      </c>
    </row>
    <row r="9" spans="1:25" ht="18" customHeight="1">
      <c r="A9" s="2147"/>
      <c r="B9" s="3930"/>
      <c r="C9" s="1613"/>
      <c r="D9" s="1610"/>
      <c r="E9" s="59" t="s">
        <v>586</v>
      </c>
      <c r="F9" s="751">
        <f ca="1">IF(INDIRECT("'数据-取费表'!ah"&amp;$G$1)="",INDIRECT("'数据-取费表'!k"&amp;$G$1),INDIRECT("'数据-取费表'!ah"&amp;$G$1))</f>
        <v>0</v>
      </c>
      <c r="G9" s="1405"/>
      <c r="H9" s="2136"/>
      <c r="I9" s="3930"/>
      <c r="J9" s="754"/>
      <c r="K9" s="755"/>
      <c r="L9" s="750" t="s">
        <v>1268</v>
      </c>
      <c r="M9" s="751">
        <f ca="1">F9</f>
        <v>0</v>
      </c>
    </row>
    <row r="10" spans="1:25" ht="18" customHeight="1">
      <c r="A10" s="2140"/>
      <c r="B10" s="3931"/>
      <c r="C10" s="1613"/>
      <c r="D10" s="1610"/>
      <c r="E10" s="59" t="s">
        <v>587</v>
      </c>
      <c r="F10" s="751">
        <f ca="1">INDIRECT("'数据-取费表'!ai"&amp;$G$1)</f>
        <v>0</v>
      </c>
      <c r="G10" s="1405"/>
      <c r="H10" s="2136"/>
      <c r="I10" s="3931"/>
      <c r="J10" s="754"/>
      <c r="K10" s="755"/>
      <c r="L10" s="750" t="s">
        <v>1269</v>
      </c>
      <c r="M10" s="751">
        <f ca="1">INDIRECT("'数据-取费表'!ai"&amp;$G$1)</f>
        <v>0</v>
      </c>
    </row>
    <row r="11" spans="1:25" ht="18" customHeight="1">
      <c r="A11" s="752"/>
      <c r="B11" s="3932"/>
      <c r="C11" s="1613"/>
      <c r="D11" s="1610"/>
      <c r="E11" s="59" t="s">
        <v>588</v>
      </c>
      <c r="F11" s="760">
        <f ca="1">INDIRECT("'数据-取费表'!w"&amp;$G$1)</f>
        <v>0</v>
      </c>
      <c r="G11" s="1405"/>
      <c r="H11" s="2152"/>
      <c r="I11" s="393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4.0000000000000002E-4</v>
      </c>
      <c r="D26" s="2187" t="str">
        <f>IF(F25&lt;=1,"销售费用×利率×(建设周期÷2)","销售费用×((1+利率)^(建设周期÷2)-1)")</f>
        <v>销售费用×利率×(建设周期÷2)</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9"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28"/>
      <c r="J36" s="1803"/>
      <c r="K36" s="1804"/>
      <c r="L36" s="1803"/>
      <c r="M36" s="1803"/>
    </row>
    <row r="37" spans="1:18" ht="18" customHeight="1">
      <c r="A37" s="780"/>
      <c r="B37" s="759"/>
      <c r="C37" s="67"/>
      <c r="D37" s="781"/>
      <c r="E37" s="750" t="s">
        <v>621</v>
      </c>
      <c r="F37" s="751">
        <f ca="1">INDIRECT("'数据-取费表'!r"&amp;$G$1)</f>
        <v>0</v>
      </c>
      <c r="G37" s="1786"/>
      <c r="H37" s="1789"/>
      <c r="I37" s="392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-1</v>
      </c>
      <c r="K54" s="3933"/>
      <c r="L54" s="3934"/>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60" zoomScaleNormal="60" workbookViewId="0">
      <selection activeCell="C43" sqref="C43"/>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905</v>
      </c>
      <c r="D1" s="2553" t="s">
        <v>3267</v>
      </c>
      <c r="E1" s="2079" t="s">
        <v>1728</v>
      </c>
      <c r="F1" s="2080">
        <f ca="1">J53</f>
        <v>25.18</v>
      </c>
      <c r="G1" s="3000">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3272</v>
      </c>
      <c r="C2" s="3005"/>
      <c r="D2" s="3006"/>
      <c r="E2" s="3007"/>
      <c r="F2" s="3007"/>
      <c r="G2" s="3001"/>
      <c r="H2" s="1781"/>
      <c r="I2" s="1781"/>
      <c r="J2" s="1781"/>
      <c r="K2" s="1782"/>
      <c r="L2" s="1781"/>
      <c r="M2" s="1781"/>
    </row>
    <row r="3" spans="1:33" ht="18" customHeight="1" thickBot="1">
      <c r="A3" s="798" t="s">
        <v>1256</v>
      </c>
      <c r="B3" s="799">
        <f ca="1">IF(ISERROR(B2*10000/F43),0,ROUND(B2*10000/F43,0))</f>
        <v>9059</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280</v>
      </c>
      <c r="D5" s="2143" t="s">
        <v>1805</v>
      </c>
      <c r="E5" s="2137"/>
      <c r="F5" s="2138"/>
      <c r="G5" s="1786"/>
      <c r="H5" s="747">
        <v>1</v>
      </c>
      <c r="I5" s="748" t="s">
        <v>1802</v>
      </c>
      <c r="J5" s="53">
        <f ca="1">J6+J10+J12</f>
        <v>0</v>
      </c>
      <c r="K5" s="2143" t="s">
        <v>1805</v>
      </c>
      <c r="L5" s="2137"/>
      <c r="M5" s="2138"/>
    </row>
    <row r="6" spans="1:33" ht="18" customHeight="1">
      <c r="A6" s="1617" t="s">
        <v>1353</v>
      </c>
      <c r="B6" s="3929" t="s">
        <v>1807</v>
      </c>
      <c r="C6" s="749">
        <f ca="1">ROUND(F6*F8*F7*(1-F9)/10000,0)</f>
        <v>280</v>
      </c>
      <c r="D6" s="2144" t="s">
        <v>1806</v>
      </c>
      <c r="E6" s="750" t="s">
        <v>1267</v>
      </c>
      <c r="F6" s="751">
        <f ca="1">INDIRECT("'数据-取费表'!u"&amp;$G$1)</f>
        <v>2.5</v>
      </c>
      <c r="G6" s="1786"/>
      <c r="H6" s="2151" t="s">
        <v>1812</v>
      </c>
      <c r="I6" s="3929" t="s">
        <v>1807</v>
      </c>
      <c r="J6" s="749">
        <f ca="1">ROUND(M6*M8*M7*(1-M9)/10000,0)</f>
        <v>0</v>
      </c>
      <c r="K6" s="332" t="s">
        <v>1266</v>
      </c>
      <c r="L6" s="750" t="s">
        <v>1267</v>
      </c>
      <c r="M6" s="751">
        <f ca="1">INDIRECT("'数据-取费表'!z"&amp;$G$1)</f>
        <v>0</v>
      </c>
    </row>
    <row r="7" spans="1:33" ht="18" customHeight="1">
      <c r="A7" s="2147"/>
      <c r="B7" s="3930"/>
      <c r="C7" s="754"/>
      <c r="D7" s="755"/>
      <c r="E7" s="750" t="s">
        <v>1268</v>
      </c>
      <c r="F7" s="751">
        <f ca="1">IF(INDIRECT("'数据-取费表'!ah"&amp;$G$1)="",INDIRECT("'数据-取费表'!k"&amp;$G$1),INDIRECT("'数据-取费表'!ah"&amp;$G$1))</f>
        <v>3611.7</v>
      </c>
      <c r="G7" s="1786"/>
      <c r="H7" s="2136"/>
      <c r="I7" s="3930"/>
      <c r="J7" s="754"/>
      <c r="K7" s="755"/>
      <c r="L7" s="750" t="s">
        <v>1268</v>
      </c>
      <c r="M7" s="751">
        <f ca="1">F7</f>
        <v>3611.7</v>
      </c>
    </row>
    <row r="8" spans="1:33" ht="18" customHeight="1">
      <c r="A8" s="2140"/>
      <c r="B8" s="3931"/>
      <c r="C8" s="754"/>
      <c r="D8" s="755"/>
      <c r="E8" s="750" t="s">
        <v>1269</v>
      </c>
      <c r="F8" s="751">
        <f ca="1">INDIRECT("'数据-取费表'!ai"&amp;$G$1)</f>
        <v>365</v>
      </c>
      <c r="G8" s="1786"/>
      <c r="H8" s="2136"/>
      <c r="I8" s="3931"/>
      <c r="J8" s="754"/>
      <c r="K8" s="755"/>
      <c r="L8" s="750" t="s">
        <v>1269</v>
      </c>
      <c r="M8" s="751">
        <f ca="1">INDIRECT("'数据-取费表'!ai"&amp;$G$1)</f>
        <v>365</v>
      </c>
    </row>
    <row r="9" spans="1:33" ht="18" customHeight="1">
      <c r="A9" s="752"/>
      <c r="B9" s="3932"/>
      <c r="C9" s="754"/>
      <c r="D9" s="755"/>
      <c r="E9" s="750" t="s">
        <v>1270</v>
      </c>
      <c r="F9" s="760">
        <f ca="1">INDIRECT("'数据-取费表'!w"&amp;$G$1)</f>
        <v>0.15</v>
      </c>
      <c r="G9" s="1786"/>
      <c r="H9" s="2152"/>
      <c r="I9" s="3931"/>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2232</v>
      </c>
      <c r="E10" s="2145" t="s">
        <v>1808</v>
      </c>
      <c r="F10" s="2229" t="s">
        <v>3268</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1721</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1264</v>
      </c>
      <c r="D14" s="1734" t="s">
        <v>1274</v>
      </c>
      <c r="E14" s="1735"/>
      <c r="F14" s="771"/>
      <c r="G14" s="1786"/>
      <c r="H14" s="1454" t="s">
        <v>1359</v>
      </c>
      <c r="I14" s="1950" t="s">
        <v>2103</v>
      </c>
      <c r="J14" s="51">
        <f ca="1">C29</f>
        <v>1721</v>
      </c>
      <c r="K14" s="24"/>
      <c r="L14" s="767"/>
      <c r="M14" s="768"/>
    </row>
    <row r="15" spans="1:33" s="1788" customFormat="1" ht="18" customHeight="1" thickBot="1">
      <c r="A15" s="1453" t="s">
        <v>1410</v>
      </c>
      <c r="B15" s="750" t="s">
        <v>595</v>
      </c>
      <c r="C15" s="51">
        <f ca="1">ROUND(C14*F15,0)</f>
        <v>38</v>
      </c>
      <c r="D15" s="772" t="s">
        <v>1275</v>
      </c>
      <c r="E15" s="772" t="s">
        <v>1276</v>
      </c>
      <c r="F15" s="773">
        <f>'数据-取费表'!B33</f>
        <v>0.03</v>
      </c>
      <c r="G15" s="3002"/>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17</v>
      </c>
      <c r="K16" s="1608" t="s">
        <v>1279</v>
      </c>
      <c r="L16" s="2133"/>
      <c r="M16" s="2138"/>
    </row>
    <row r="17" spans="1:33" s="1788" customFormat="1" ht="18" customHeight="1">
      <c r="A17" s="1453" t="s">
        <v>1412</v>
      </c>
      <c r="B17" s="750" t="s">
        <v>601</v>
      </c>
      <c r="C17" s="51">
        <f ca="1">ROUND(F17*(F43+INDIRECT("'数据-取费表'!S"&amp;$G$1))/10000,0)</f>
        <v>72</v>
      </c>
      <c r="D17" s="750" t="s">
        <v>1280</v>
      </c>
      <c r="E17" s="750" t="s">
        <v>1281</v>
      </c>
      <c r="F17" s="54">
        <f>'数据-取费表'!B35</f>
        <v>200</v>
      </c>
      <c r="G17" s="3002"/>
      <c r="H17" s="1454" t="s">
        <v>1359</v>
      </c>
      <c r="I17" s="750" t="s">
        <v>604</v>
      </c>
      <c r="J17" s="2762">
        <f ca="1">ROUND(IF(AND(项目基本情况!B11="自然人",项目基本情况!B10="北京市"),J6*M17/(1+'数据-取费表'!C42),J18+J19+J20),2)</f>
        <v>0.25</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19</v>
      </c>
      <c r="D18" s="750" t="s">
        <v>1275</v>
      </c>
      <c r="E18" s="750" t="s">
        <v>1276</v>
      </c>
      <c r="F18" s="775">
        <f>'数据-取费表'!B36</f>
        <v>1.4999999999999999E-2</v>
      </c>
      <c r="G18" s="3002"/>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1393</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28</v>
      </c>
      <c r="D20" s="777" t="s">
        <v>1288</v>
      </c>
      <c r="E20" s="750" t="s">
        <v>1276</v>
      </c>
      <c r="F20" s="775">
        <f>'数据-取费表'!B37</f>
        <v>0.02</v>
      </c>
      <c r="G20" s="3002"/>
      <c r="H20" s="1456" t="s">
        <v>1405</v>
      </c>
      <c r="I20" s="332" t="s">
        <v>1289</v>
      </c>
      <c r="J20" s="52">
        <f ca="1">ROUND(M20*M21/10000,2)</f>
        <v>0.25</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f ca="1">INDIRECT("'数据-取费表'!r"&amp;$G$1)</f>
        <v>1667.9</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f ca="1">ROUND(J14*M22,2)</f>
        <v>17.21</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29</v>
      </c>
      <c r="D23" s="2187" t="str">
        <f>IF(F23&lt;=1,"(建造成本+管理费用)×利率×(建设周期÷2)","(建造成本+管理费用)×((1+利率)^(建设周期÷2)-1)")</f>
        <v>(建造成本+管理费用)×利率×(建设周期÷2)</v>
      </c>
      <c r="E23" s="750" t="s">
        <v>1299</v>
      </c>
      <c r="F23" s="608">
        <f>'数据-取费表'!B20</f>
        <v>1</v>
      </c>
      <c r="G23" s="3002"/>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4.0000000000000002E-4</v>
      </c>
      <c r="D24" s="2187" t="str">
        <f>IF(F23&lt;=1,"销售费用×利率×(建设周期÷2)","销售费用×((1+利率)^(建设周期÷2)-1)")</f>
        <v>销售费用×利率×(建设周期÷2)</v>
      </c>
      <c r="E24" s="750" t="s">
        <v>1302</v>
      </c>
      <c r="F24" s="784">
        <f ca="1">'数据-取费表'!B40</f>
        <v>4.1499999999999995E-2</v>
      </c>
      <c r="G24" s="3002"/>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-17</v>
      </c>
      <c r="K25" s="2166" t="s">
        <v>1306</v>
      </c>
      <c r="L25" s="2167"/>
      <c r="M25" s="2168"/>
    </row>
    <row r="26" spans="1:33" ht="18" customHeight="1">
      <c r="A26" s="1453" t="s">
        <v>1360</v>
      </c>
      <c r="B26" s="750" t="s">
        <v>1785</v>
      </c>
      <c r="C26" s="51">
        <f ca="1">ROUND((C19+C20)*F26,0)</f>
        <v>142</v>
      </c>
      <c r="D26" s="777" t="s">
        <v>1307</v>
      </c>
      <c r="E26" s="761" t="s">
        <v>1308</v>
      </c>
      <c r="F26" s="760">
        <f ca="1">INDIRECT("'数据-取费表'!q"&amp;$G$1)</f>
        <v>0.1</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2E-3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2"/>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1721</v>
      </c>
      <c r="D29" s="2163"/>
      <c r="E29" s="2164"/>
      <c r="F29" s="2165"/>
      <c r="G29" s="3002"/>
      <c r="H29" s="788" t="s">
        <v>1316</v>
      </c>
      <c r="I29" s="789" t="s">
        <v>1317</v>
      </c>
      <c r="J29" s="790">
        <f ca="1">ROUND(J26/(1+F40)^F41,0)</f>
        <v>0</v>
      </c>
      <c r="K29" s="791" t="s">
        <v>1318</v>
      </c>
      <c r="L29" s="792"/>
      <c r="M29" s="793">
        <f ca="1">INDIRECT("'数据-取费表'!k"&amp;$G$1)</f>
        <v>3611.7</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69</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46.92</v>
      </c>
      <c r="D31" s="1734" t="s">
        <v>1321</v>
      </c>
      <c r="E31" s="1732" t="s">
        <v>1322</v>
      </c>
      <c r="F31" s="2761" t="str">
        <f>IF(项目基本情况!B11="企业","——",IF(M47="住宅",IF(F6*F7*F8/12/(1+'数据-取费表'!F30)&gt;100000,4%,2.5%),IF(F6*F7*F8/12/(1+'数据-取费表'!F30)&gt;100000,12%,7%)))</f>
        <v>——</v>
      </c>
      <c r="G31" s="1786"/>
      <c r="H31" s="2999" t="s">
        <v>2284</v>
      </c>
      <c r="I31" s="1790"/>
      <c r="J31" s="1791"/>
      <c r="K31" s="1792"/>
      <c r="L31" s="1793"/>
      <c r="M31" s="1794"/>
    </row>
    <row r="32" spans="1:33" ht="18" customHeight="1">
      <c r="A32" s="1453" t="s">
        <v>1360</v>
      </c>
      <c r="B32" s="750" t="s">
        <v>1323</v>
      </c>
      <c r="C32" s="51">
        <f ca="1">ROUND(C6*F32/(1+'数据-取费表'!C42),2)</f>
        <v>14.67</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32</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0.25</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1667.9</v>
      </c>
      <c r="G35" s="1786"/>
      <c r="H35" s="1789"/>
      <c r="I35" s="802" t="s">
        <v>1343</v>
      </c>
      <c r="J35" s="803">
        <f ca="1">ROUND(C13*J36,0)</f>
        <v>120</v>
      </c>
      <c r="K35" s="1802"/>
      <c r="L35" s="1801"/>
      <c r="M35" s="1801"/>
    </row>
    <row r="36" spans="1:18" ht="18" customHeight="1">
      <c r="A36" s="1454" t="s">
        <v>1414</v>
      </c>
      <c r="B36" s="750" t="s">
        <v>1331</v>
      </c>
      <c r="C36" s="51">
        <f ca="1">ROUND(C29*F36,2)</f>
        <v>17.21</v>
      </c>
      <c r="D36" s="1732" t="s">
        <v>1332</v>
      </c>
      <c r="E36" s="750" t="s">
        <v>1325</v>
      </c>
      <c r="F36" s="782">
        <f ca="1">INDIRECT("'数据-取费表'!Ak"&amp;$G$1)</f>
        <v>0.01</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1.72</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2.8</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211</v>
      </c>
      <c r="D39" s="2166" t="s">
        <v>1335</v>
      </c>
      <c r="E39" s="2167"/>
      <c r="F39" s="2168"/>
      <c r="G39" s="1786"/>
      <c r="H39" s="1801"/>
      <c r="I39" s="802" t="s">
        <v>1347</v>
      </c>
      <c r="J39" s="810">
        <f ca="1">ROUND(J35/C39,3)</f>
        <v>0.56899999999999995</v>
      </c>
      <c r="K39" s="1806"/>
      <c r="L39" s="1801"/>
      <c r="M39" s="1801"/>
    </row>
    <row r="40" spans="1:18" ht="18" customHeight="1">
      <c r="A40" s="747" t="s">
        <v>1420</v>
      </c>
      <c r="B40" s="1951" t="s">
        <v>1658</v>
      </c>
      <c r="C40" s="749">
        <f ca="1">ROUND(C39*(1-((1+F42)/(1+F40))^F41)/(F40-F42),0)</f>
        <v>3272</v>
      </c>
      <c r="D40" s="779" t="s">
        <v>1336</v>
      </c>
      <c r="E40" s="750" t="s">
        <v>1773</v>
      </c>
      <c r="F40" s="760">
        <f ca="1">INDIRECT("'数据-取费表'!I"&amp;$G$1)</f>
        <v>0.06</v>
      </c>
      <c r="G40" s="1786"/>
      <c r="H40" s="1786"/>
      <c r="I40" s="802" t="s">
        <v>1348</v>
      </c>
      <c r="J40" s="810">
        <f ca="1">1-J39</f>
        <v>0.43100000000000005</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25.18</v>
      </c>
      <c r="G41" s="1786"/>
      <c r="H41" s="1741"/>
      <c r="I41" s="808" t="s">
        <v>1349</v>
      </c>
      <c r="J41" s="811"/>
      <c r="K41" s="1805"/>
      <c r="L41" s="1741"/>
      <c r="M41" s="1741"/>
    </row>
    <row r="42" spans="1:18" ht="18" customHeight="1">
      <c r="A42" s="756"/>
      <c r="B42" s="757"/>
      <c r="C42" s="758"/>
      <c r="D42" s="781"/>
      <c r="E42" s="750" t="s">
        <v>1338</v>
      </c>
      <c r="F42" s="760">
        <f ca="1">INDIRECT("'数据-取费表'!v"&amp;$G$1)</f>
        <v>0.02</v>
      </c>
      <c r="G42" s="1786"/>
      <c r="H42" s="1741"/>
      <c r="I42" s="812" t="s">
        <v>1350</v>
      </c>
      <c r="J42" s="810">
        <f ca="1">ROUND(C13/C40,3)</f>
        <v>0.52600000000000002</v>
      </c>
      <c r="K42" s="1805"/>
      <c r="L42" s="1741"/>
      <c r="M42" s="1741"/>
    </row>
    <row r="43" spans="1:18" ht="18" customHeight="1" thickBot="1">
      <c r="A43" s="788" t="s">
        <v>1316</v>
      </c>
      <c r="B43" s="789" t="s">
        <v>1339</v>
      </c>
      <c r="C43" s="790">
        <f ca="1">ROUND(C40*10000/F43,0)</f>
        <v>9059</v>
      </c>
      <c r="D43" s="791" t="s">
        <v>1340</v>
      </c>
      <c r="E43" s="792" t="s">
        <v>1341</v>
      </c>
      <c r="F43" s="793">
        <f ca="1">INDIRECT("'数据-取费表'!k"&amp;$G$1)</f>
        <v>3611.7</v>
      </c>
      <c r="G43" s="1786"/>
      <c r="H43" s="1741"/>
      <c r="I43" s="812" t="s">
        <v>1351</v>
      </c>
      <c r="J43" s="813">
        <f ca="1">1-J42</f>
        <v>0.47399999999999998</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-3516</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f ca="1">C48+C52+C54</f>
        <v>0</v>
      </c>
      <c r="D47" s="3657"/>
      <c r="E47" s="3657"/>
      <c r="F47" s="3658"/>
      <c r="I47" s="2557" t="s">
        <v>1698</v>
      </c>
      <c r="J47" s="2073" t="s">
        <v>3269</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26.18</v>
      </c>
      <c r="M48" s="3004"/>
      <c r="O48" s="2090" t="s">
        <v>1733</v>
      </c>
      <c r="P48" s="2091" t="s">
        <v>1759</v>
      </c>
      <c r="Q48" s="2092">
        <f ca="1">C40+J29</f>
        <v>3272</v>
      </c>
      <c r="R48" s="2091" t="s">
        <v>1734</v>
      </c>
    </row>
    <row r="49" spans="1:18" s="1783" customFormat="1" ht="18" customHeight="1" thickBot="1">
      <c r="A49" s="752"/>
      <c r="B49" s="753"/>
      <c r="C49" s="754"/>
      <c r="D49" s="755"/>
      <c r="E49" s="750" t="s">
        <v>1268</v>
      </c>
      <c r="F49" s="751">
        <f ca="1">F7</f>
        <v>3611.7</v>
      </c>
      <c r="G49" s="1813"/>
      <c r="H49" s="1816"/>
      <c r="I49" s="2554" t="s">
        <v>1700</v>
      </c>
      <c r="J49" s="2075">
        <v>2024</v>
      </c>
      <c r="K49" s="2565" t="s">
        <v>1706</v>
      </c>
      <c r="L49" s="2076"/>
      <c r="M49" s="3004"/>
      <c r="O49" s="2090" t="s">
        <v>1735</v>
      </c>
      <c r="P49" s="2091" t="s">
        <v>1760</v>
      </c>
      <c r="Q49" s="2092">
        <f ca="1">J60</f>
        <v>182</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4"/>
      <c r="O50" s="2093" t="s">
        <v>1737</v>
      </c>
      <c r="P50" s="2091" t="s">
        <v>1761</v>
      </c>
      <c r="Q50" s="2092">
        <f ca="1">C29</f>
        <v>1721</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1718</v>
      </c>
      <c r="M51" s="3004"/>
      <c r="O51" s="2093" t="s">
        <v>1738</v>
      </c>
      <c r="P51" s="2091" t="s">
        <v>1739</v>
      </c>
      <c r="Q51" s="2094">
        <f ca="1">J58</f>
        <v>0.57999999999999996</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7.0000000000000007E-2</v>
      </c>
      <c r="K52" s="2559" t="s">
        <v>1774</v>
      </c>
      <c r="L52" s="2077"/>
      <c r="M52" s="3004"/>
      <c r="O52" s="2093" t="s">
        <v>1740</v>
      </c>
      <c r="P52" s="2091" t="s">
        <v>1741</v>
      </c>
      <c r="Q52" s="2094">
        <f>J52</f>
        <v>7.0000000000000007E-2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25.18</v>
      </c>
      <c r="K53" s="3935" t="s">
        <v>2226</v>
      </c>
      <c r="L53" s="3936"/>
      <c r="M53" s="3004"/>
      <c r="O53" s="2093" t="s">
        <v>1742</v>
      </c>
      <c r="P53" s="2091" t="s">
        <v>1743</v>
      </c>
      <c r="Q53" s="2092">
        <f ca="1">J53</f>
        <v>25.18</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4"/>
      <c r="O54" s="2090" t="s">
        <v>1745</v>
      </c>
      <c r="P54" s="2091" t="s">
        <v>1762</v>
      </c>
      <c r="Q54" s="2092">
        <f ca="1">Q48+Q49</f>
        <v>3454</v>
      </c>
      <c r="R54" s="2095" t="s">
        <v>1746</v>
      </c>
    </row>
    <row r="55" spans="1:18" s="1783" customFormat="1" ht="18" customHeight="1" thickTop="1" thickBot="1">
      <c r="A55" s="763">
        <v>2</v>
      </c>
      <c r="B55" s="764" t="s">
        <v>592</v>
      </c>
      <c r="C55" s="765">
        <f ca="1">C13</f>
        <v>1721</v>
      </c>
      <c r="D55" s="761"/>
      <c r="E55" s="761"/>
      <c r="F55" s="766"/>
      <c r="I55" s="2571" t="s">
        <v>1709</v>
      </c>
      <c r="J55" s="2543">
        <f ca="1">ROUND(IF(J47="钢混",J57/J50,1-(1-2%)*(J50-J57)/J50),3)</f>
        <v>0.57999999999999996</v>
      </c>
      <c r="K55" s="2572" t="s">
        <v>1710</v>
      </c>
      <c r="L55" s="2078"/>
      <c r="M55" s="3004"/>
      <c r="O55" s="2096" t="s">
        <v>1765</v>
      </c>
      <c r="P55" s="1405"/>
      <c r="Q55" s="1413"/>
      <c r="R55" s="1405"/>
    </row>
    <row r="56" spans="1:18" s="1783" customFormat="1" ht="42.75" customHeight="1" thickBot="1">
      <c r="A56" s="1455"/>
      <c r="B56" s="1950" t="s">
        <v>1659</v>
      </c>
      <c r="C56" s="51">
        <f ca="1">C29</f>
        <v>1721</v>
      </c>
      <c r="D56" s="2245"/>
      <c r="E56" s="750"/>
      <c r="F56" s="775"/>
      <c r="I56" s="2573" t="s">
        <v>1711</v>
      </c>
      <c r="J56" s="2583" t="s">
        <v>3328</v>
      </c>
      <c r="K56" s="2554" t="s">
        <v>1716</v>
      </c>
      <c r="L56" s="1664" t="str">
        <f ca="1">IF(L48&lt;J51,"——",L48-J51)</f>
        <v>——</v>
      </c>
      <c r="M56" s="3004"/>
      <c r="O56" s="2087" t="s">
        <v>1729</v>
      </c>
      <c r="P56" s="2088" t="s">
        <v>1730</v>
      </c>
      <c r="Q56" s="2089" t="s">
        <v>1731</v>
      </c>
      <c r="R56" s="2088" t="s">
        <v>1732</v>
      </c>
    </row>
    <row r="57" spans="1:18" s="1783" customFormat="1" ht="28.5" customHeight="1" thickBot="1">
      <c r="A57" s="763" t="s">
        <v>1277</v>
      </c>
      <c r="B57" s="764" t="s">
        <v>599</v>
      </c>
      <c r="C57" s="765">
        <f ca="1">ROUND(C58+C63+C64+C65,0)</f>
        <v>19</v>
      </c>
      <c r="D57" s="24" t="s">
        <v>1279</v>
      </c>
      <c r="E57" s="2246"/>
      <c r="F57" s="54"/>
      <c r="I57" s="2574" t="s">
        <v>1712</v>
      </c>
      <c r="J57" s="2575">
        <f ca="1">IF(OR(M47="住宅",J51&lt;L48,J56="是"),"——",J51-L48)</f>
        <v>34.82</v>
      </c>
      <c r="K57" s="2554" t="s">
        <v>1717</v>
      </c>
      <c r="L57" s="1664" t="str">
        <f ca="1">IF(L48&lt;J51,"——",IF(L55="比较法",L49,IF(L55="基准地价",L50,L51)))</f>
        <v>——</v>
      </c>
      <c r="M57" s="3004"/>
      <c r="O57" s="2090" t="s">
        <v>1733</v>
      </c>
      <c r="P57" s="2091" t="s">
        <v>1763</v>
      </c>
      <c r="Q57" s="2092">
        <f ca="1">C40+J29</f>
        <v>3272</v>
      </c>
      <c r="R57" s="2091" t="s">
        <v>1734</v>
      </c>
    </row>
    <row r="58" spans="1:18" s="1783" customFormat="1" ht="28.5" customHeight="1" thickBot="1">
      <c r="A58" s="1454" t="s">
        <v>1353</v>
      </c>
      <c r="B58" s="750" t="s">
        <v>604</v>
      </c>
      <c r="C58" s="2762">
        <f ca="1">ROUND(IF(AND(项目基本情况!B11="自然人",项目基本情况!B10="北京市"),C48*F58/(1+'数据-取费表'!C42),C59+C60+C61),2)</f>
        <v>0.25</v>
      </c>
      <c r="D58" s="2244" t="s">
        <v>605</v>
      </c>
      <c r="E58" s="2245" t="s">
        <v>637</v>
      </c>
      <c r="F58" s="2761" t="str">
        <f>IF(项目基本情况!B11="企业","——",IF('数据-取费表'!B10="住宅",IF(F48*F49*F50/12/(1+'数据-取费表'!F30)&gt;100000,4%,2.5%),IF(F48*F49*F50/12/(1+'数据-取费表'!F30)&gt;100000,12%,7%)))</f>
        <v>——</v>
      </c>
      <c r="I58" s="2574" t="s">
        <v>1713</v>
      </c>
      <c r="J58" s="2544">
        <f ca="1">IF(J55&lt;0.4,0.4,J55)</f>
        <v>0.57999999999999996</v>
      </c>
      <c r="K58" s="2554" t="s">
        <v>1718</v>
      </c>
      <c r="L58" s="1664" t="e">
        <f ca="1">ROUND(POWER(1+L52,L47-L48)*(POWER(1+L52,L48)-1)/(POWER(1+L52,L47)-1),4)</f>
        <v>#DIV/0!</v>
      </c>
      <c r="M58" s="3004"/>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f ca="1">IF(OR(M47="住宅",J51&lt;L48,J56="是"),"——",ROUND(C29*J58,0))</f>
        <v>998</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f ca="1">IF(OR(M47="住宅",J51&lt;L48,J56="是"),"0",ROUND(J59/(1+J52)^J53,0))</f>
        <v>182</v>
      </c>
      <c r="K60" s="2578" t="s">
        <v>1720</v>
      </c>
      <c r="L60" s="2577">
        <f ca="1">IF(OR(M47="住宅",L48&lt;J51),0,ROUND(L57*(L58/L59-1),0))</f>
        <v>0</v>
      </c>
      <c r="M60" s="3004"/>
      <c r="O60" s="2093" t="s">
        <v>1738</v>
      </c>
      <c r="P60" s="2091" t="s">
        <v>1747</v>
      </c>
      <c r="Q60" s="2094">
        <f>L52</f>
        <v>0</v>
      </c>
      <c r="R60" s="2095"/>
    </row>
    <row r="61" spans="1:18" s="1783" customFormat="1" ht="18" customHeight="1" thickBot="1">
      <c r="A61" s="1456" t="s">
        <v>1362</v>
      </c>
      <c r="B61" s="332" t="s">
        <v>615</v>
      </c>
      <c r="C61" s="52">
        <f ca="1">ROUND(F61*F62/10000,2)</f>
        <v>0.25</v>
      </c>
      <c r="D61" s="779" t="s">
        <v>616</v>
      </c>
      <c r="E61" s="750" t="s">
        <v>617</v>
      </c>
      <c r="F61" s="608">
        <f t="shared" si="0"/>
        <v>1.5</v>
      </c>
      <c r="K61" s="1809"/>
      <c r="O61" s="2093" t="s">
        <v>1740</v>
      </c>
      <c r="P61" s="2091" t="s">
        <v>1748</v>
      </c>
      <c r="Q61" s="2092" t="e">
        <f ca="1">L58</f>
        <v>#DIV/0!</v>
      </c>
      <c r="R61" s="2095" t="s">
        <v>1749</v>
      </c>
    </row>
    <row r="62" spans="1:18" s="1783" customFormat="1" ht="16.2" thickBot="1">
      <c r="A62" s="780"/>
      <c r="B62" s="759"/>
      <c r="C62" s="67"/>
      <c r="D62" s="781"/>
      <c r="E62" s="750" t="s">
        <v>621</v>
      </c>
      <c r="F62" s="751">
        <f t="shared" ca="1" si="0"/>
        <v>1667.9</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6.2" thickBot="1">
      <c r="A63" s="1454" t="s">
        <v>1414</v>
      </c>
      <c r="B63" s="750" t="s">
        <v>623</v>
      </c>
      <c r="C63" s="51">
        <f ca="1">ROUND(C56*F63,2)</f>
        <v>17.21</v>
      </c>
      <c r="D63" s="2245" t="s">
        <v>1332</v>
      </c>
      <c r="E63" s="750" t="s">
        <v>1276</v>
      </c>
      <c r="F63" s="782">
        <f t="shared" ca="1" si="0"/>
        <v>0.01</v>
      </c>
      <c r="I63" s="2579" t="s">
        <v>1724</v>
      </c>
      <c r="J63" s="2580">
        <v>70</v>
      </c>
      <c r="K63" s="2580">
        <v>50</v>
      </c>
      <c r="L63" s="2580">
        <v>80</v>
      </c>
      <c r="M63" s="2582">
        <v>0.02</v>
      </c>
      <c r="O63" s="2090" t="s">
        <v>1745</v>
      </c>
      <c r="P63" s="2091" t="s">
        <v>1762</v>
      </c>
      <c r="Q63" s="2092">
        <f ca="1">Q57+Q58</f>
        <v>3272</v>
      </c>
      <c r="R63" s="2095" t="s">
        <v>1746</v>
      </c>
    </row>
    <row r="64" spans="1:18" s="1783" customFormat="1" ht="16.2" thickBot="1">
      <c r="A64" s="1454" t="s">
        <v>1415</v>
      </c>
      <c r="B64" s="750" t="s">
        <v>626</v>
      </c>
      <c r="C64" s="51">
        <f ca="1">ROUND(C55*F64,2)</f>
        <v>1.72</v>
      </c>
      <c r="D64" s="2245" t="s">
        <v>627</v>
      </c>
      <c r="E64" s="750" t="s">
        <v>1276</v>
      </c>
      <c r="F64" s="783">
        <f t="shared" ca="1" si="0"/>
        <v>1E-3</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f ca="1">C47-C57</f>
        <v>-19</v>
      </c>
      <c r="D66" s="2244" t="s">
        <v>647</v>
      </c>
      <c r="E66" s="2243"/>
      <c r="F66" s="785"/>
      <c r="K66" s="1809"/>
      <c r="O66" s="2090" t="s">
        <v>1733</v>
      </c>
      <c r="P66" s="2091" t="s">
        <v>1763</v>
      </c>
      <c r="Q66" s="2092">
        <f ca="1">C40+J29</f>
        <v>3272</v>
      </c>
      <c r="R66" s="2091" t="s">
        <v>1734</v>
      </c>
    </row>
    <row r="67" spans="1:18" s="1783" customFormat="1" ht="19.2" thickBot="1">
      <c r="A67" s="747" t="s">
        <v>1309</v>
      </c>
      <c r="B67" s="1951" t="s">
        <v>1658</v>
      </c>
      <c r="C67" s="749">
        <f ca="1">ROUND(C66*(1-((1+F69)/(1+F67))^F68)/(F67-F69),0)</f>
        <v>-244</v>
      </c>
      <c r="D67" s="779" t="s">
        <v>651</v>
      </c>
      <c r="E67" s="750" t="s">
        <v>652</v>
      </c>
      <c r="F67" s="760">
        <f ca="1">F40</f>
        <v>0.06</v>
      </c>
      <c r="K67" s="1809"/>
      <c r="O67" s="2090" t="s">
        <v>1735</v>
      </c>
      <c r="P67" s="2091" t="s">
        <v>1766</v>
      </c>
      <c r="Q67" s="2092">
        <f ca="1">L60</f>
        <v>0</v>
      </c>
      <c r="R67" s="2095" t="s">
        <v>1768</v>
      </c>
    </row>
    <row r="68" spans="1:18" ht="20.399999999999999" thickBot="1">
      <c r="A68" s="752"/>
      <c r="B68" s="753"/>
      <c r="C68" s="754"/>
      <c r="D68" s="786" t="s">
        <v>1337</v>
      </c>
      <c r="E68" s="750" t="s">
        <v>1313</v>
      </c>
      <c r="F68" s="787">
        <f ca="1">F41</f>
        <v>25.18</v>
      </c>
      <c r="O68" s="2093" t="s">
        <v>1737</v>
      </c>
      <c r="P68" s="2091" t="s">
        <v>1767</v>
      </c>
      <c r="Q68" s="2097">
        <f ca="1">L51</f>
        <v>1718</v>
      </c>
      <c r="R68" s="2098" t="s">
        <v>1770</v>
      </c>
    </row>
    <row r="69" spans="1:18" ht="19.2" thickBot="1">
      <c r="A69" s="756"/>
      <c r="B69" s="757"/>
      <c r="C69" s="758"/>
      <c r="D69" s="781"/>
      <c r="E69" s="750" t="s">
        <v>657</v>
      </c>
      <c r="F69" s="2065"/>
      <c r="O69" s="2093" t="s">
        <v>1738</v>
      </c>
      <c r="P69" s="2099" t="s">
        <v>1752</v>
      </c>
      <c r="Q69" s="2092">
        <f ca="1">ROUND(Q70-Q71*Q72,0)</f>
        <v>91</v>
      </c>
      <c r="R69" s="2095"/>
    </row>
    <row r="70" spans="1:18" ht="16.2" thickBot="1">
      <c r="A70" s="788" t="s">
        <v>1316</v>
      </c>
      <c r="B70" s="789" t="s">
        <v>1339</v>
      </c>
      <c r="C70" s="790">
        <f ca="1">ROUND(C67*10000/F70,0)</f>
        <v>-676</v>
      </c>
      <c r="D70" s="791" t="s">
        <v>1340</v>
      </c>
      <c r="E70" s="792" t="s">
        <v>1341</v>
      </c>
      <c r="F70" s="793">
        <f ca="1">F43</f>
        <v>3611.7</v>
      </c>
      <c r="O70" s="2093" t="s">
        <v>1753</v>
      </c>
      <c r="P70" s="2099" t="s">
        <v>1754</v>
      </c>
      <c r="Q70" s="2092">
        <f ca="1">C39</f>
        <v>211</v>
      </c>
      <c r="R70" s="2091" t="s">
        <v>1734</v>
      </c>
    </row>
    <row r="71" spans="1:18" ht="16.2" thickBot="1">
      <c r="O71" s="2093" t="s">
        <v>1755</v>
      </c>
      <c r="P71" s="2099" t="s">
        <v>1756</v>
      </c>
      <c r="Q71" s="2092">
        <f ca="1">C13</f>
        <v>1721</v>
      </c>
      <c r="R71" s="2091" t="s">
        <v>1734</v>
      </c>
    </row>
    <row r="72" spans="1:18" ht="16.2" thickBot="1">
      <c r="O72" s="2093" t="s">
        <v>1757</v>
      </c>
      <c r="P72" s="2099" t="s">
        <v>1758</v>
      </c>
      <c r="Q72" s="2094">
        <f ca="1">J36</f>
        <v>7.0000000000000007E-2</v>
      </c>
      <c r="R72" s="2095"/>
    </row>
    <row r="73" spans="1:18" ht="16.2" thickBot="1">
      <c r="O73" s="2093" t="s">
        <v>1740</v>
      </c>
      <c r="P73" s="2091" t="s">
        <v>1747</v>
      </c>
      <c r="Q73" s="2094">
        <f>L52</f>
        <v>0</v>
      </c>
      <c r="R73" s="2095"/>
    </row>
    <row r="74" spans="1:18" ht="19.2" thickBot="1">
      <c r="O74" s="2093" t="s">
        <v>1742</v>
      </c>
      <c r="P74" s="2091" t="s">
        <v>1748</v>
      </c>
      <c r="Q74" s="2092" t="e">
        <f ca="1">L58</f>
        <v>#DIV/0!</v>
      </c>
      <c r="R74" s="2095" t="s">
        <v>1749</v>
      </c>
    </row>
    <row r="75" spans="1:18" ht="16.2" thickBot="1">
      <c r="O75" s="2093" t="s">
        <v>1771</v>
      </c>
      <c r="P75" s="2091" t="str">
        <f>K59</f>
        <v>建设期及建筑物耐用年限下的土地年期修正系数Kn</v>
      </c>
      <c r="Q75" s="2092" t="e">
        <f ca="1">L59</f>
        <v>#DIV/0!</v>
      </c>
      <c r="R75" s="2095" t="s">
        <v>1751</v>
      </c>
    </row>
    <row r="76" spans="1:18" ht="16.2" thickBot="1">
      <c r="O76" s="2090" t="s">
        <v>1745</v>
      </c>
      <c r="P76" s="2091" t="s">
        <v>1762</v>
      </c>
      <c r="Q76" s="2092">
        <f ca="1">Q66+Q67</f>
        <v>3272</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8" customWidth="1"/>
    <col min="2" max="2" width="8.88671875" style="3068"/>
    <col min="3" max="5" width="12.88671875" style="3068" customWidth="1"/>
    <col min="6" max="6" width="47.44140625" style="3068" customWidth="1"/>
    <col min="7" max="7" width="13" style="3228" customWidth="1"/>
    <col min="8" max="8" width="8.88671875" style="3062"/>
    <col min="9" max="9" width="8.88671875" style="3063"/>
    <col min="10" max="10" width="5.77734375" style="3229" customWidth="1"/>
    <col min="11" max="11" width="11.77734375" style="3229" customWidth="1"/>
    <col min="12" max="13" width="10.77734375" style="3229" customWidth="1"/>
    <col min="14" max="14" width="10" style="3229" customWidth="1"/>
    <col min="15" max="16" width="10.44140625" style="3229" bestFit="1" customWidth="1"/>
    <col min="17" max="17" width="10" style="3229" customWidth="1"/>
    <col min="18" max="18" width="10.109375" style="3229" customWidth="1"/>
    <col min="19" max="19" width="10" style="3229" customWidth="1"/>
    <col min="20" max="20" width="26.109375" style="3229" customWidth="1"/>
    <col min="21" max="21" width="8.88671875" style="3229"/>
    <col min="22" max="22" width="8.88671875" style="3063"/>
    <col min="23" max="256" width="8.88671875" style="3068"/>
    <col min="257" max="257" width="9.44140625" style="3068" customWidth="1"/>
    <col min="258" max="258" width="8.88671875" style="3068"/>
    <col min="259" max="261" width="12.88671875" style="3068" customWidth="1"/>
    <col min="262" max="262" width="47.44140625" style="3068" customWidth="1"/>
    <col min="263" max="263" width="13" style="3068" customWidth="1"/>
    <col min="264" max="265" width="8.88671875" style="3068"/>
    <col min="266" max="266" width="5.77734375" style="3068" customWidth="1"/>
    <col min="267" max="267" width="11.77734375" style="3068" customWidth="1"/>
    <col min="268" max="269" width="10.77734375" style="3068" customWidth="1"/>
    <col min="270" max="270" width="10" style="3068" customWidth="1"/>
    <col min="271" max="272" width="10.44140625" style="3068" bestFit="1" customWidth="1"/>
    <col min="273" max="273" width="10" style="3068" customWidth="1"/>
    <col min="274" max="274" width="10.109375" style="3068" customWidth="1"/>
    <col min="275" max="275" width="10" style="3068" customWidth="1"/>
    <col min="276" max="276" width="26.109375" style="3068" customWidth="1"/>
    <col min="277" max="512" width="8.88671875" style="3068"/>
    <col min="513" max="513" width="9.44140625" style="3068" customWidth="1"/>
    <col min="514" max="514" width="8.88671875" style="3068"/>
    <col min="515" max="517" width="12.88671875" style="3068" customWidth="1"/>
    <col min="518" max="518" width="47.44140625" style="3068" customWidth="1"/>
    <col min="519" max="519" width="13" style="3068" customWidth="1"/>
    <col min="520" max="521" width="8.88671875" style="3068"/>
    <col min="522" max="522" width="5.77734375" style="3068" customWidth="1"/>
    <col min="523" max="523" width="11.77734375" style="3068" customWidth="1"/>
    <col min="524" max="525" width="10.77734375" style="3068" customWidth="1"/>
    <col min="526" max="526" width="10" style="3068" customWidth="1"/>
    <col min="527" max="528" width="10.44140625" style="3068" bestFit="1" customWidth="1"/>
    <col min="529" max="529" width="10" style="3068" customWidth="1"/>
    <col min="530" max="530" width="10.109375" style="3068" customWidth="1"/>
    <col min="531" max="531" width="10" style="3068" customWidth="1"/>
    <col min="532" max="532" width="26.109375" style="3068" customWidth="1"/>
    <col min="533" max="768" width="8.88671875" style="3068"/>
    <col min="769" max="769" width="9.44140625" style="3068" customWidth="1"/>
    <col min="770" max="770" width="8.88671875" style="3068"/>
    <col min="771" max="773" width="12.88671875" style="3068" customWidth="1"/>
    <col min="774" max="774" width="47.44140625" style="3068" customWidth="1"/>
    <col min="775" max="775" width="13" style="3068" customWidth="1"/>
    <col min="776" max="777" width="8.88671875" style="3068"/>
    <col min="778" max="778" width="5.77734375" style="3068" customWidth="1"/>
    <col min="779" max="779" width="11.77734375" style="3068" customWidth="1"/>
    <col min="780" max="781" width="10.77734375" style="3068" customWidth="1"/>
    <col min="782" max="782" width="10" style="3068" customWidth="1"/>
    <col min="783" max="784" width="10.44140625" style="3068" bestFit="1" customWidth="1"/>
    <col min="785" max="785" width="10" style="3068" customWidth="1"/>
    <col min="786" max="786" width="10.109375" style="3068" customWidth="1"/>
    <col min="787" max="787" width="10" style="3068" customWidth="1"/>
    <col min="788" max="788" width="26.109375" style="3068" customWidth="1"/>
    <col min="789" max="1024" width="8.88671875" style="3068"/>
    <col min="1025" max="1025" width="9.44140625" style="3068" customWidth="1"/>
    <col min="1026" max="1026" width="8.88671875" style="3068"/>
    <col min="1027" max="1029" width="12.88671875" style="3068" customWidth="1"/>
    <col min="1030" max="1030" width="47.44140625" style="3068" customWidth="1"/>
    <col min="1031" max="1031" width="13" style="3068" customWidth="1"/>
    <col min="1032" max="1033" width="8.88671875" style="3068"/>
    <col min="1034" max="1034" width="5.77734375" style="3068" customWidth="1"/>
    <col min="1035" max="1035" width="11.77734375" style="3068" customWidth="1"/>
    <col min="1036" max="1037" width="10.77734375" style="3068" customWidth="1"/>
    <col min="1038" max="1038" width="10" style="3068" customWidth="1"/>
    <col min="1039" max="1040" width="10.44140625" style="3068" bestFit="1" customWidth="1"/>
    <col min="1041" max="1041" width="10" style="3068" customWidth="1"/>
    <col min="1042" max="1042" width="10.109375" style="3068" customWidth="1"/>
    <col min="1043" max="1043" width="10" style="3068" customWidth="1"/>
    <col min="1044" max="1044" width="26.109375" style="3068" customWidth="1"/>
    <col min="1045" max="1280" width="8.88671875" style="3068"/>
    <col min="1281" max="1281" width="9.44140625" style="3068" customWidth="1"/>
    <col min="1282" max="1282" width="8.88671875" style="3068"/>
    <col min="1283" max="1285" width="12.88671875" style="3068" customWidth="1"/>
    <col min="1286" max="1286" width="47.44140625" style="3068" customWidth="1"/>
    <col min="1287" max="1287" width="13" style="3068" customWidth="1"/>
    <col min="1288" max="1289" width="8.88671875" style="3068"/>
    <col min="1290" max="1290" width="5.77734375" style="3068" customWidth="1"/>
    <col min="1291" max="1291" width="11.77734375" style="3068" customWidth="1"/>
    <col min="1292" max="1293" width="10.77734375" style="3068" customWidth="1"/>
    <col min="1294" max="1294" width="10" style="3068" customWidth="1"/>
    <col min="1295" max="1296" width="10.44140625" style="3068" bestFit="1" customWidth="1"/>
    <col min="1297" max="1297" width="10" style="3068" customWidth="1"/>
    <col min="1298" max="1298" width="10.109375" style="3068" customWidth="1"/>
    <col min="1299" max="1299" width="10" style="3068" customWidth="1"/>
    <col min="1300" max="1300" width="26.109375" style="3068" customWidth="1"/>
    <col min="1301" max="1536" width="8.88671875" style="3068"/>
    <col min="1537" max="1537" width="9.44140625" style="3068" customWidth="1"/>
    <col min="1538" max="1538" width="8.88671875" style="3068"/>
    <col min="1539" max="1541" width="12.88671875" style="3068" customWidth="1"/>
    <col min="1542" max="1542" width="47.44140625" style="3068" customWidth="1"/>
    <col min="1543" max="1543" width="13" style="3068" customWidth="1"/>
    <col min="1544" max="1545" width="8.88671875" style="3068"/>
    <col min="1546" max="1546" width="5.77734375" style="3068" customWidth="1"/>
    <col min="1547" max="1547" width="11.77734375" style="3068" customWidth="1"/>
    <col min="1548" max="1549" width="10.77734375" style="3068" customWidth="1"/>
    <col min="1550" max="1550" width="10" style="3068" customWidth="1"/>
    <col min="1551" max="1552" width="10.44140625" style="3068" bestFit="1" customWidth="1"/>
    <col min="1553" max="1553" width="10" style="3068" customWidth="1"/>
    <col min="1554" max="1554" width="10.109375" style="3068" customWidth="1"/>
    <col min="1555" max="1555" width="10" style="3068" customWidth="1"/>
    <col min="1556" max="1556" width="26.109375" style="3068" customWidth="1"/>
    <col min="1557" max="1792" width="8.88671875" style="3068"/>
    <col min="1793" max="1793" width="9.44140625" style="3068" customWidth="1"/>
    <col min="1794" max="1794" width="8.88671875" style="3068"/>
    <col min="1795" max="1797" width="12.88671875" style="3068" customWidth="1"/>
    <col min="1798" max="1798" width="47.44140625" style="3068" customWidth="1"/>
    <col min="1799" max="1799" width="13" style="3068" customWidth="1"/>
    <col min="1800" max="1801" width="8.88671875" style="3068"/>
    <col min="1802" max="1802" width="5.77734375" style="3068" customWidth="1"/>
    <col min="1803" max="1803" width="11.77734375" style="3068" customWidth="1"/>
    <col min="1804" max="1805" width="10.77734375" style="3068" customWidth="1"/>
    <col min="1806" max="1806" width="10" style="3068" customWidth="1"/>
    <col min="1807" max="1808" width="10.44140625" style="3068" bestFit="1" customWidth="1"/>
    <col min="1809" max="1809" width="10" style="3068" customWidth="1"/>
    <col min="1810" max="1810" width="10.109375" style="3068" customWidth="1"/>
    <col min="1811" max="1811" width="10" style="3068" customWidth="1"/>
    <col min="1812" max="1812" width="26.109375" style="3068" customWidth="1"/>
    <col min="1813" max="2048" width="8.88671875" style="3068"/>
    <col min="2049" max="2049" width="9.44140625" style="3068" customWidth="1"/>
    <col min="2050" max="2050" width="8.88671875" style="3068"/>
    <col min="2051" max="2053" width="12.88671875" style="3068" customWidth="1"/>
    <col min="2054" max="2054" width="47.44140625" style="3068" customWidth="1"/>
    <col min="2055" max="2055" width="13" style="3068" customWidth="1"/>
    <col min="2056" max="2057" width="8.88671875" style="3068"/>
    <col min="2058" max="2058" width="5.77734375" style="3068" customWidth="1"/>
    <col min="2059" max="2059" width="11.77734375" style="3068" customWidth="1"/>
    <col min="2060" max="2061" width="10.77734375" style="3068" customWidth="1"/>
    <col min="2062" max="2062" width="10" style="3068" customWidth="1"/>
    <col min="2063" max="2064" width="10.44140625" style="3068" bestFit="1" customWidth="1"/>
    <col min="2065" max="2065" width="10" style="3068" customWidth="1"/>
    <col min="2066" max="2066" width="10.109375" style="3068" customWidth="1"/>
    <col min="2067" max="2067" width="10" style="3068" customWidth="1"/>
    <col min="2068" max="2068" width="26.109375" style="3068" customWidth="1"/>
    <col min="2069" max="2304" width="8.88671875" style="3068"/>
    <col min="2305" max="2305" width="9.44140625" style="3068" customWidth="1"/>
    <col min="2306" max="2306" width="8.88671875" style="3068"/>
    <col min="2307" max="2309" width="12.88671875" style="3068" customWidth="1"/>
    <col min="2310" max="2310" width="47.44140625" style="3068" customWidth="1"/>
    <col min="2311" max="2311" width="13" style="3068" customWidth="1"/>
    <col min="2312" max="2313" width="8.88671875" style="3068"/>
    <col min="2314" max="2314" width="5.77734375" style="3068" customWidth="1"/>
    <col min="2315" max="2315" width="11.77734375" style="3068" customWidth="1"/>
    <col min="2316" max="2317" width="10.77734375" style="3068" customWidth="1"/>
    <col min="2318" max="2318" width="10" style="3068" customWidth="1"/>
    <col min="2319" max="2320" width="10.44140625" style="3068" bestFit="1" customWidth="1"/>
    <col min="2321" max="2321" width="10" style="3068" customWidth="1"/>
    <col min="2322" max="2322" width="10.109375" style="3068" customWidth="1"/>
    <col min="2323" max="2323" width="10" style="3068" customWidth="1"/>
    <col min="2324" max="2324" width="26.109375" style="3068" customWidth="1"/>
    <col min="2325" max="2560" width="8.88671875" style="3068"/>
    <col min="2561" max="2561" width="9.44140625" style="3068" customWidth="1"/>
    <col min="2562" max="2562" width="8.88671875" style="3068"/>
    <col min="2563" max="2565" width="12.88671875" style="3068" customWidth="1"/>
    <col min="2566" max="2566" width="47.44140625" style="3068" customWidth="1"/>
    <col min="2567" max="2567" width="13" style="3068" customWidth="1"/>
    <col min="2568" max="2569" width="8.88671875" style="3068"/>
    <col min="2570" max="2570" width="5.77734375" style="3068" customWidth="1"/>
    <col min="2571" max="2571" width="11.77734375" style="3068" customWidth="1"/>
    <col min="2572" max="2573" width="10.77734375" style="3068" customWidth="1"/>
    <col min="2574" max="2574" width="10" style="3068" customWidth="1"/>
    <col min="2575" max="2576" width="10.44140625" style="3068" bestFit="1" customWidth="1"/>
    <col min="2577" max="2577" width="10" style="3068" customWidth="1"/>
    <col min="2578" max="2578" width="10.109375" style="3068" customWidth="1"/>
    <col min="2579" max="2579" width="10" style="3068" customWidth="1"/>
    <col min="2580" max="2580" width="26.109375" style="3068" customWidth="1"/>
    <col min="2581" max="2816" width="8.88671875" style="3068"/>
    <col min="2817" max="2817" width="9.44140625" style="3068" customWidth="1"/>
    <col min="2818" max="2818" width="8.88671875" style="3068"/>
    <col min="2819" max="2821" width="12.88671875" style="3068" customWidth="1"/>
    <col min="2822" max="2822" width="47.44140625" style="3068" customWidth="1"/>
    <col min="2823" max="2823" width="13" style="3068" customWidth="1"/>
    <col min="2824" max="2825" width="8.88671875" style="3068"/>
    <col min="2826" max="2826" width="5.77734375" style="3068" customWidth="1"/>
    <col min="2827" max="2827" width="11.77734375" style="3068" customWidth="1"/>
    <col min="2828" max="2829" width="10.77734375" style="3068" customWidth="1"/>
    <col min="2830" max="2830" width="10" style="3068" customWidth="1"/>
    <col min="2831" max="2832" width="10.44140625" style="3068" bestFit="1" customWidth="1"/>
    <col min="2833" max="2833" width="10" style="3068" customWidth="1"/>
    <col min="2834" max="2834" width="10.109375" style="3068" customWidth="1"/>
    <col min="2835" max="2835" width="10" style="3068" customWidth="1"/>
    <col min="2836" max="2836" width="26.109375" style="3068" customWidth="1"/>
    <col min="2837" max="3072" width="8.88671875" style="3068"/>
    <col min="3073" max="3073" width="9.44140625" style="3068" customWidth="1"/>
    <col min="3074" max="3074" width="8.88671875" style="3068"/>
    <col min="3075" max="3077" width="12.88671875" style="3068" customWidth="1"/>
    <col min="3078" max="3078" width="47.44140625" style="3068" customWidth="1"/>
    <col min="3079" max="3079" width="13" style="3068" customWidth="1"/>
    <col min="3080" max="3081" width="8.88671875" style="3068"/>
    <col min="3082" max="3082" width="5.77734375" style="3068" customWidth="1"/>
    <col min="3083" max="3083" width="11.77734375" style="3068" customWidth="1"/>
    <col min="3084" max="3085" width="10.77734375" style="3068" customWidth="1"/>
    <col min="3086" max="3086" width="10" style="3068" customWidth="1"/>
    <col min="3087" max="3088" width="10.44140625" style="3068" bestFit="1" customWidth="1"/>
    <col min="3089" max="3089" width="10" style="3068" customWidth="1"/>
    <col min="3090" max="3090" width="10.109375" style="3068" customWidth="1"/>
    <col min="3091" max="3091" width="10" style="3068" customWidth="1"/>
    <col min="3092" max="3092" width="26.109375" style="3068" customWidth="1"/>
    <col min="3093" max="3328" width="8.88671875" style="3068"/>
    <col min="3329" max="3329" width="9.44140625" style="3068" customWidth="1"/>
    <col min="3330" max="3330" width="8.88671875" style="3068"/>
    <col min="3331" max="3333" width="12.88671875" style="3068" customWidth="1"/>
    <col min="3334" max="3334" width="47.44140625" style="3068" customWidth="1"/>
    <col min="3335" max="3335" width="13" style="3068" customWidth="1"/>
    <col min="3336" max="3337" width="8.88671875" style="3068"/>
    <col min="3338" max="3338" width="5.77734375" style="3068" customWidth="1"/>
    <col min="3339" max="3339" width="11.77734375" style="3068" customWidth="1"/>
    <col min="3340" max="3341" width="10.77734375" style="3068" customWidth="1"/>
    <col min="3342" max="3342" width="10" style="3068" customWidth="1"/>
    <col min="3343" max="3344" width="10.44140625" style="3068" bestFit="1" customWidth="1"/>
    <col min="3345" max="3345" width="10" style="3068" customWidth="1"/>
    <col min="3346" max="3346" width="10.109375" style="3068" customWidth="1"/>
    <col min="3347" max="3347" width="10" style="3068" customWidth="1"/>
    <col min="3348" max="3348" width="26.109375" style="3068" customWidth="1"/>
    <col min="3349" max="3584" width="8.88671875" style="3068"/>
    <col min="3585" max="3585" width="9.44140625" style="3068" customWidth="1"/>
    <col min="3586" max="3586" width="8.88671875" style="3068"/>
    <col min="3587" max="3589" width="12.88671875" style="3068" customWidth="1"/>
    <col min="3590" max="3590" width="47.44140625" style="3068" customWidth="1"/>
    <col min="3591" max="3591" width="13" style="3068" customWidth="1"/>
    <col min="3592" max="3593" width="8.88671875" style="3068"/>
    <col min="3594" max="3594" width="5.77734375" style="3068" customWidth="1"/>
    <col min="3595" max="3595" width="11.77734375" style="3068" customWidth="1"/>
    <col min="3596" max="3597" width="10.77734375" style="3068" customWidth="1"/>
    <col min="3598" max="3598" width="10" style="3068" customWidth="1"/>
    <col min="3599" max="3600" width="10.44140625" style="3068" bestFit="1" customWidth="1"/>
    <col min="3601" max="3601" width="10" style="3068" customWidth="1"/>
    <col min="3602" max="3602" width="10.109375" style="3068" customWidth="1"/>
    <col min="3603" max="3603" width="10" style="3068" customWidth="1"/>
    <col min="3604" max="3604" width="26.109375" style="3068" customWidth="1"/>
    <col min="3605" max="3840" width="8.88671875" style="3068"/>
    <col min="3841" max="3841" width="9.44140625" style="3068" customWidth="1"/>
    <col min="3842" max="3842" width="8.88671875" style="3068"/>
    <col min="3843" max="3845" width="12.88671875" style="3068" customWidth="1"/>
    <col min="3846" max="3846" width="47.44140625" style="3068" customWidth="1"/>
    <col min="3847" max="3847" width="13" style="3068" customWidth="1"/>
    <col min="3848" max="3849" width="8.88671875" style="3068"/>
    <col min="3850" max="3850" width="5.77734375" style="3068" customWidth="1"/>
    <col min="3851" max="3851" width="11.77734375" style="3068" customWidth="1"/>
    <col min="3852" max="3853" width="10.77734375" style="3068" customWidth="1"/>
    <col min="3854" max="3854" width="10" style="3068" customWidth="1"/>
    <col min="3855" max="3856" width="10.44140625" style="3068" bestFit="1" customWidth="1"/>
    <col min="3857" max="3857" width="10" style="3068" customWidth="1"/>
    <col min="3858" max="3858" width="10.109375" style="3068" customWidth="1"/>
    <col min="3859" max="3859" width="10" style="3068" customWidth="1"/>
    <col min="3860" max="3860" width="26.109375" style="3068" customWidth="1"/>
    <col min="3861" max="4096" width="8.88671875" style="3068"/>
    <col min="4097" max="4097" width="9.44140625" style="3068" customWidth="1"/>
    <col min="4098" max="4098" width="8.88671875" style="3068"/>
    <col min="4099" max="4101" width="12.88671875" style="3068" customWidth="1"/>
    <col min="4102" max="4102" width="47.44140625" style="3068" customWidth="1"/>
    <col min="4103" max="4103" width="13" style="3068" customWidth="1"/>
    <col min="4104" max="4105" width="8.88671875" style="3068"/>
    <col min="4106" max="4106" width="5.77734375" style="3068" customWidth="1"/>
    <col min="4107" max="4107" width="11.77734375" style="3068" customWidth="1"/>
    <col min="4108" max="4109" width="10.77734375" style="3068" customWidth="1"/>
    <col min="4110" max="4110" width="10" style="3068" customWidth="1"/>
    <col min="4111" max="4112" width="10.44140625" style="3068" bestFit="1" customWidth="1"/>
    <col min="4113" max="4113" width="10" style="3068" customWidth="1"/>
    <col min="4114" max="4114" width="10.109375" style="3068" customWidth="1"/>
    <col min="4115" max="4115" width="10" style="3068" customWidth="1"/>
    <col min="4116" max="4116" width="26.109375" style="3068" customWidth="1"/>
    <col min="4117" max="4352" width="8.88671875" style="3068"/>
    <col min="4353" max="4353" width="9.44140625" style="3068" customWidth="1"/>
    <col min="4354" max="4354" width="8.88671875" style="3068"/>
    <col min="4355" max="4357" width="12.88671875" style="3068" customWidth="1"/>
    <col min="4358" max="4358" width="47.44140625" style="3068" customWidth="1"/>
    <col min="4359" max="4359" width="13" style="3068" customWidth="1"/>
    <col min="4360" max="4361" width="8.88671875" style="3068"/>
    <col min="4362" max="4362" width="5.77734375" style="3068" customWidth="1"/>
    <col min="4363" max="4363" width="11.77734375" style="3068" customWidth="1"/>
    <col min="4364" max="4365" width="10.77734375" style="3068" customWidth="1"/>
    <col min="4366" max="4366" width="10" style="3068" customWidth="1"/>
    <col min="4367" max="4368" width="10.44140625" style="3068" bestFit="1" customWidth="1"/>
    <col min="4369" max="4369" width="10" style="3068" customWidth="1"/>
    <col min="4370" max="4370" width="10.109375" style="3068" customWidth="1"/>
    <col min="4371" max="4371" width="10" style="3068" customWidth="1"/>
    <col min="4372" max="4372" width="26.109375" style="3068" customWidth="1"/>
    <col min="4373" max="4608" width="8.88671875" style="3068"/>
    <col min="4609" max="4609" width="9.44140625" style="3068" customWidth="1"/>
    <col min="4610" max="4610" width="8.88671875" style="3068"/>
    <col min="4611" max="4613" width="12.88671875" style="3068" customWidth="1"/>
    <col min="4614" max="4614" width="47.44140625" style="3068" customWidth="1"/>
    <col min="4615" max="4615" width="13" style="3068" customWidth="1"/>
    <col min="4616" max="4617" width="8.88671875" style="3068"/>
    <col min="4618" max="4618" width="5.77734375" style="3068" customWidth="1"/>
    <col min="4619" max="4619" width="11.77734375" style="3068" customWidth="1"/>
    <col min="4620" max="4621" width="10.77734375" style="3068" customWidth="1"/>
    <col min="4622" max="4622" width="10" style="3068" customWidth="1"/>
    <col min="4623" max="4624" width="10.44140625" style="3068" bestFit="1" customWidth="1"/>
    <col min="4625" max="4625" width="10" style="3068" customWidth="1"/>
    <col min="4626" max="4626" width="10.109375" style="3068" customWidth="1"/>
    <col min="4627" max="4627" width="10" style="3068" customWidth="1"/>
    <col min="4628" max="4628" width="26.109375" style="3068" customWidth="1"/>
    <col min="4629" max="4864" width="8.88671875" style="3068"/>
    <col min="4865" max="4865" width="9.44140625" style="3068" customWidth="1"/>
    <col min="4866" max="4866" width="8.88671875" style="3068"/>
    <col min="4867" max="4869" width="12.88671875" style="3068" customWidth="1"/>
    <col min="4870" max="4870" width="47.44140625" style="3068" customWidth="1"/>
    <col min="4871" max="4871" width="13" style="3068" customWidth="1"/>
    <col min="4872" max="4873" width="8.88671875" style="3068"/>
    <col min="4874" max="4874" width="5.77734375" style="3068" customWidth="1"/>
    <col min="4875" max="4875" width="11.77734375" style="3068" customWidth="1"/>
    <col min="4876" max="4877" width="10.77734375" style="3068" customWidth="1"/>
    <col min="4878" max="4878" width="10" style="3068" customWidth="1"/>
    <col min="4879" max="4880" width="10.44140625" style="3068" bestFit="1" customWidth="1"/>
    <col min="4881" max="4881" width="10" style="3068" customWidth="1"/>
    <col min="4882" max="4882" width="10.109375" style="3068" customWidth="1"/>
    <col min="4883" max="4883" width="10" style="3068" customWidth="1"/>
    <col min="4884" max="4884" width="26.109375" style="3068" customWidth="1"/>
    <col min="4885" max="5120" width="8.88671875" style="3068"/>
    <col min="5121" max="5121" width="9.44140625" style="3068" customWidth="1"/>
    <col min="5122" max="5122" width="8.88671875" style="3068"/>
    <col min="5123" max="5125" width="12.88671875" style="3068" customWidth="1"/>
    <col min="5126" max="5126" width="47.44140625" style="3068" customWidth="1"/>
    <col min="5127" max="5127" width="13" style="3068" customWidth="1"/>
    <col min="5128" max="5129" width="8.88671875" style="3068"/>
    <col min="5130" max="5130" width="5.77734375" style="3068" customWidth="1"/>
    <col min="5131" max="5131" width="11.77734375" style="3068" customWidth="1"/>
    <col min="5132" max="5133" width="10.77734375" style="3068" customWidth="1"/>
    <col min="5134" max="5134" width="10" style="3068" customWidth="1"/>
    <col min="5135" max="5136" width="10.44140625" style="3068" bestFit="1" customWidth="1"/>
    <col min="5137" max="5137" width="10" style="3068" customWidth="1"/>
    <col min="5138" max="5138" width="10.109375" style="3068" customWidth="1"/>
    <col min="5139" max="5139" width="10" style="3068" customWidth="1"/>
    <col min="5140" max="5140" width="26.109375" style="3068" customWidth="1"/>
    <col min="5141" max="5376" width="8.88671875" style="3068"/>
    <col min="5377" max="5377" width="9.44140625" style="3068" customWidth="1"/>
    <col min="5378" max="5378" width="8.88671875" style="3068"/>
    <col min="5379" max="5381" width="12.88671875" style="3068" customWidth="1"/>
    <col min="5382" max="5382" width="47.44140625" style="3068" customWidth="1"/>
    <col min="5383" max="5383" width="13" style="3068" customWidth="1"/>
    <col min="5384" max="5385" width="8.88671875" style="3068"/>
    <col min="5386" max="5386" width="5.77734375" style="3068" customWidth="1"/>
    <col min="5387" max="5387" width="11.77734375" style="3068" customWidth="1"/>
    <col min="5388" max="5389" width="10.77734375" style="3068" customWidth="1"/>
    <col min="5390" max="5390" width="10" style="3068" customWidth="1"/>
    <col min="5391" max="5392" width="10.44140625" style="3068" bestFit="1" customWidth="1"/>
    <col min="5393" max="5393" width="10" style="3068" customWidth="1"/>
    <col min="5394" max="5394" width="10.109375" style="3068" customWidth="1"/>
    <col min="5395" max="5395" width="10" style="3068" customWidth="1"/>
    <col min="5396" max="5396" width="26.109375" style="3068" customWidth="1"/>
    <col min="5397" max="5632" width="8.88671875" style="3068"/>
    <col min="5633" max="5633" width="9.44140625" style="3068" customWidth="1"/>
    <col min="5634" max="5634" width="8.88671875" style="3068"/>
    <col min="5635" max="5637" width="12.88671875" style="3068" customWidth="1"/>
    <col min="5638" max="5638" width="47.44140625" style="3068" customWidth="1"/>
    <col min="5639" max="5639" width="13" style="3068" customWidth="1"/>
    <col min="5640" max="5641" width="8.88671875" style="3068"/>
    <col min="5642" max="5642" width="5.77734375" style="3068" customWidth="1"/>
    <col min="5643" max="5643" width="11.77734375" style="3068" customWidth="1"/>
    <col min="5644" max="5645" width="10.77734375" style="3068" customWidth="1"/>
    <col min="5646" max="5646" width="10" style="3068" customWidth="1"/>
    <col min="5647" max="5648" width="10.44140625" style="3068" bestFit="1" customWidth="1"/>
    <col min="5649" max="5649" width="10" style="3068" customWidth="1"/>
    <col min="5650" max="5650" width="10.109375" style="3068" customWidth="1"/>
    <col min="5651" max="5651" width="10" style="3068" customWidth="1"/>
    <col min="5652" max="5652" width="26.109375" style="3068" customWidth="1"/>
    <col min="5653" max="5888" width="8.88671875" style="3068"/>
    <col min="5889" max="5889" width="9.44140625" style="3068" customWidth="1"/>
    <col min="5890" max="5890" width="8.88671875" style="3068"/>
    <col min="5891" max="5893" width="12.88671875" style="3068" customWidth="1"/>
    <col min="5894" max="5894" width="47.44140625" style="3068" customWidth="1"/>
    <col min="5895" max="5895" width="13" style="3068" customWidth="1"/>
    <col min="5896" max="5897" width="8.88671875" style="3068"/>
    <col min="5898" max="5898" width="5.77734375" style="3068" customWidth="1"/>
    <col min="5899" max="5899" width="11.77734375" style="3068" customWidth="1"/>
    <col min="5900" max="5901" width="10.77734375" style="3068" customWidth="1"/>
    <col min="5902" max="5902" width="10" style="3068" customWidth="1"/>
    <col min="5903" max="5904" width="10.44140625" style="3068" bestFit="1" customWidth="1"/>
    <col min="5905" max="5905" width="10" style="3068" customWidth="1"/>
    <col min="5906" max="5906" width="10.109375" style="3068" customWidth="1"/>
    <col min="5907" max="5907" width="10" style="3068" customWidth="1"/>
    <col min="5908" max="5908" width="26.109375" style="3068" customWidth="1"/>
    <col min="5909" max="6144" width="8.88671875" style="3068"/>
    <col min="6145" max="6145" width="9.44140625" style="3068" customWidth="1"/>
    <col min="6146" max="6146" width="8.88671875" style="3068"/>
    <col min="6147" max="6149" width="12.88671875" style="3068" customWidth="1"/>
    <col min="6150" max="6150" width="47.44140625" style="3068" customWidth="1"/>
    <col min="6151" max="6151" width="13" style="3068" customWidth="1"/>
    <col min="6152" max="6153" width="8.88671875" style="3068"/>
    <col min="6154" max="6154" width="5.77734375" style="3068" customWidth="1"/>
    <col min="6155" max="6155" width="11.77734375" style="3068" customWidth="1"/>
    <col min="6156" max="6157" width="10.77734375" style="3068" customWidth="1"/>
    <col min="6158" max="6158" width="10" style="3068" customWidth="1"/>
    <col min="6159" max="6160" width="10.44140625" style="3068" bestFit="1" customWidth="1"/>
    <col min="6161" max="6161" width="10" style="3068" customWidth="1"/>
    <col min="6162" max="6162" width="10.109375" style="3068" customWidth="1"/>
    <col min="6163" max="6163" width="10" style="3068" customWidth="1"/>
    <col min="6164" max="6164" width="26.109375" style="3068" customWidth="1"/>
    <col min="6165" max="6400" width="8.88671875" style="3068"/>
    <col min="6401" max="6401" width="9.44140625" style="3068" customWidth="1"/>
    <col min="6402" max="6402" width="8.88671875" style="3068"/>
    <col min="6403" max="6405" width="12.88671875" style="3068" customWidth="1"/>
    <col min="6406" max="6406" width="47.44140625" style="3068" customWidth="1"/>
    <col min="6407" max="6407" width="13" style="3068" customWidth="1"/>
    <col min="6408" max="6409" width="8.88671875" style="3068"/>
    <col min="6410" max="6410" width="5.77734375" style="3068" customWidth="1"/>
    <col min="6411" max="6411" width="11.77734375" style="3068" customWidth="1"/>
    <col min="6412" max="6413" width="10.77734375" style="3068" customWidth="1"/>
    <col min="6414" max="6414" width="10" style="3068" customWidth="1"/>
    <col min="6415" max="6416" width="10.44140625" style="3068" bestFit="1" customWidth="1"/>
    <col min="6417" max="6417" width="10" style="3068" customWidth="1"/>
    <col min="6418" max="6418" width="10.109375" style="3068" customWidth="1"/>
    <col min="6419" max="6419" width="10" style="3068" customWidth="1"/>
    <col min="6420" max="6420" width="26.109375" style="3068" customWidth="1"/>
    <col min="6421" max="6656" width="8.88671875" style="3068"/>
    <col min="6657" max="6657" width="9.44140625" style="3068" customWidth="1"/>
    <col min="6658" max="6658" width="8.88671875" style="3068"/>
    <col min="6659" max="6661" width="12.88671875" style="3068" customWidth="1"/>
    <col min="6662" max="6662" width="47.44140625" style="3068" customWidth="1"/>
    <col min="6663" max="6663" width="13" style="3068" customWidth="1"/>
    <col min="6664" max="6665" width="8.88671875" style="3068"/>
    <col min="6666" max="6666" width="5.77734375" style="3068" customWidth="1"/>
    <col min="6667" max="6667" width="11.77734375" style="3068" customWidth="1"/>
    <col min="6668" max="6669" width="10.77734375" style="3068" customWidth="1"/>
    <col min="6670" max="6670" width="10" style="3068" customWidth="1"/>
    <col min="6671" max="6672" width="10.44140625" style="3068" bestFit="1" customWidth="1"/>
    <col min="6673" max="6673" width="10" style="3068" customWidth="1"/>
    <col min="6674" max="6674" width="10.109375" style="3068" customWidth="1"/>
    <col min="6675" max="6675" width="10" style="3068" customWidth="1"/>
    <col min="6676" max="6676" width="26.109375" style="3068" customWidth="1"/>
    <col min="6677" max="6912" width="8.88671875" style="3068"/>
    <col min="6913" max="6913" width="9.44140625" style="3068" customWidth="1"/>
    <col min="6914" max="6914" width="8.88671875" style="3068"/>
    <col min="6915" max="6917" width="12.88671875" style="3068" customWidth="1"/>
    <col min="6918" max="6918" width="47.44140625" style="3068" customWidth="1"/>
    <col min="6919" max="6919" width="13" style="3068" customWidth="1"/>
    <col min="6920" max="6921" width="8.88671875" style="3068"/>
    <col min="6922" max="6922" width="5.77734375" style="3068" customWidth="1"/>
    <col min="6923" max="6923" width="11.77734375" style="3068" customWidth="1"/>
    <col min="6924" max="6925" width="10.77734375" style="3068" customWidth="1"/>
    <col min="6926" max="6926" width="10" style="3068" customWidth="1"/>
    <col min="6927" max="6928" width="10.44140625" style="3068" bestFit="1" customWidth="1"/>
    <col min="6929" max="6929" width="10" style="3068" customWidth="1"/>
    <col min="6930" max="6930" width="10.109375" style="3068" customWidth="1"/>
    <col min="6931" max="6931" width="10" style="3068" customWidth="1"/>
    <col min="6932" max="6932" width="26.109375" style="3068" customWidth="1"/>
    <col min="6933" max="7168" width="8.88671875" style="3068"/>
    <col min="7169" max="7169" width="9.44140625" style="3068" customWidth="1"/>
    <col min="7170" max="7170" width="8.88671875" style="3068"/>
    <col min="7171" max="7173" width="12.88671875" style="3068" customWidth="1"/>
    <col min="7174" max="7174" width="47.44140625" style="3068" customWidth="1"/>
    <col min="7175" max="7175" width="13" style="3068" customWidth="1"/>
    <col min="7176" max="7177" width="8.88671875" style="3068"/>
    <col min="7178" max="7178" width="5.77734375" style="3068" customWidth="1"/>
    <col min="7179" max="7179" width="11.77734375" style="3068" customWidth="1"/>
    <col min="7180" max="7181" width="10.77734375" style="3068" customWidth="1"/>
    <col min="7182" max="7182" width="10" style="3068" customWidth="1"/>
    <col min="7183" max="7184" width="10.44140625" style="3068" bestFit="1" customWidth="1"/>
    <col min="7185" max="7185" width="10" style="3068" customWidth="1"/>
    <col min="7186" max="7186" width="10.109375" style="3068" customWidth="1"/>
    <col min="7187" max="7187" width="10" style="3068" customWidth="1"/>
    <col min="7188" max="7188" width="26.109375" style="3068" customWidth="1"/>
    <col min="7189" max="7424" width="8.88671875" style="3068"/>
    <col min="7425" max="7425" width="9.44140625" style="3068" customWidth="1"/>
    <col min="7426" max="7426" width="8.88671875" style="3068"/>
    <col min="7427" max="7429" width="12.88671875" style="3068" customWidth="1"/>
    <col min="7430" max="7430" width="47.44140625" style="3068" customWidth="1"/>
    <col min="7431" max="7431" width="13" style="3068" customWidth="1"/>
    <col min="7432" max="7433" width="8.88671875" style="3068"/>
    <col min="7434" max="7434" width="5.77734375" style="3068" customWidth="1"/>
    <col min="7435" max="7435" width="11.77734375" style="3068" customWidth="1"/>
    <col min="7436" max="7437" width="10.77734375" style="3068" customWidth="1"/>
    <col min="7438" max="7438" width="10" style="3068" customWidth="1"/>
    <col min="7439" max="7440" width="10.44140625" style="3068" bestFit="1" customWidth="1"/>
    <col min="7441" max="7441" width="10" style="3068" customWidth="1"/>
    <col min="7442" max="7442" width="10.109375" style="3068" customWidth="1"/>
    <col min="7443" max="7443" width="10" style="3068" customWidth="1"/>
    <col min="7444" max="7444" width="26.109375" style="3068" customWidth="1"/>
    <col min="7445" max="7680" width="8.88671875" style="3068"/>
    <col min="7681" max="7681" width="9.44140625" style="3068" customWidth="1"/>
    <col min="7682" max="7682" width="8.88671875" style="3068"/>
    <col min="7683" max="7685" width="12.88671875" style="3068" customWidth="1"/>
    <col min="7686" max="7686" width="47.44140625" style="3068" customWidth="1"/>
    <col min="7687" max="7687" width="13" style="3068" customWidth="1"/>
    <col min="7688" max="7689" width="8.88671875" style="3068"/>
    <col min="7690" max="7690" width="5.77734375" style="3068" customWidth="1"/>
    <col min="7691" max="7691" width="11.77734375" style="3068" customWidth="1"/>
    <col min="7692" max="7693" width="10.77734375" style="3068" customWidth="1"/>
    <col min="7694" max="7694" width="10" style="3068" customWidth="1"/>
    <col min="7695" max="7696" width="10.44140625" style="3068" bestFit="1" customWidth="1"/>
    <col min="7697" max="7697" width="10" style="3068" customWidth="1"/>
    <col min="7698" max="7698" width="10.109375" style="3068" customWidth="1"/>
    <col min="7699" max="7699" width="10" style="3068" customWidth="1"/>
    <col min="7700" max="7700" width="26.109375" style="3068" customWidth="1"/>
    <col min="7701" max="7936" width="8.88671875" style="3068"/>
    <col min="7937" max="7937" width="9.44140625" style="3068" customWidth="1"/>
    <col min="7938" max="7938" width="8.88671875" style="3068"/>
    <col min="7939" max="7941" width="12.88671875" style="3068" customWidth="1"/>
    <col min="7942" max="7942" width="47.44140625" style="3068" customWidth="1"/>
    <col min="7943" max="7943" width="13" style="3068" customWidth="1"/>
    <col min="7944" max="7945" width="8.88671875" style="3068"/>
    <col min="7946" max="7946" width="5.77734375" style="3068" customWidth="1"/>
    <col min="7947" max="7947" width="11.77734375" style="3068" customWidth="1"/>
    <col min="7948" max="7949" width="10.77734375" style="3068" customWidth="1"/>
    <col min="7950" max="7950" width="10" style="3068" customWidth="1"/>
    <col min="7951" max="7952" width="10.44140625" style="3068" bestFit="1" customWidth="1"/>
    <col min="7953" max="7953" width="10" style="3068" customWidth="1"/>
    <col min="7954" max="7954" width="10.109375" style="3068" customWidth="1"/>
    <col min="7955" max="7955" width="10" style="3068" customWidth="1"/>
    <col min="7956" max="7956" width="26.109375" style="3068" customWidth="1"/>
    <col min="7957" max="8192" width="8.88671875" style="3068"/>
    <col min="8193" max="8193" width="9.44140625" style="3068" customWidth="1"/>
    <col min="8194" max="8194" width="8.88671875" style="3068"/>
    <col min="8195" max="8197" width="12.88671875" style="3068" customWidth="1"/>
    <col min="8198" max="8198" width="47.44140625" style="3068" customWidth="1"/>
    <col min="8199" max="8199" width="13" style="3068" customWidth="1"/>
    <col min="8200" max="8201" width="8.88671875" style="3068"/>
    <col min="8202" max="8202" width="5.77734375" style="3068" customWidth="1"/>
    <col min="8203" max="8203" width="11.77734375" style="3068" customWidth="1"/>
    <col min="8204" max="8205" width="10.77734375" style="3068" customWidth="1"/>
    <col min="8206" max="8206" width="10" style="3068" customWidth="1"/>
    <col min="8207" max="8208" width="10.44140625" style="3068" bestFit="1" customWidth="1"/>
    <col min="8209" max="8209" width="10" style="3068" customWidth="1"/>
    <col min="8210" max="8210" width="10.109375" style="3068" customWidth="1"/>
    <col min="8211" max="8211" width="10" style="3068" customWidth="1"/>
    <col min="8212" max="8212" width="26.109375" style="3068" customWidth="1"/>
    <col min="8213" max="8448" width="8.88671875" style="3068"/>
    <col min="8449" max="8449" width="9.44140625" style="3068" customWidth="1"/>
    <col min="8450" max="8450" width="8.88671875" style="3068"/>
    <col min="8451" max="8453" width="12.88671875" style="3068" customWidth="1"/>
    <col min="8454" max="8454" width="47.44140625" style="3068" customWidth="1"/>
    <col min="8455" max="8455" width="13" style="3068" customWidth="1"/>
    <col min="8456" max="8457" width="8.88671875" style="3068"/>
    <col min="8458" max="8458" width="5.77734375" style="3068" customWidth="1"/>
    <col min="8459" max="8459" width="11.77734375" style="3068" customWidth="1"/>
    <col min="8460" max="8461" width="10.77734375" style="3068" customWidth="1"/>
    <col min="8462" max="8462" width="10" style="3068" customWidth="1"/>
    <col min="8463" max="8464" width="10.44140625" style="3068" bestFit="1" customWidth="1"/>
    <col min="8465" max="8465" width="10" style="3068" customWidth="1"/>
    <col min="8466" max="8466" width="10.109375" style="3068" customWidth="1"/>
    <col min="8467" max="8467" width="10" style="3068" customWidth="1"/>
    <col min="8468" max="8468" width="26.109375" style="3068" customWidth="1"/>
    <col min="8469" max="8704" width="8.88671875" style="3068"/>
    <col min="8705" max="8705" width="9.44140625" style="3068" customWidth="1"/>
    <col min="8706" max="8706" width="8.88671875" style="3068"/>
    <col min="8707" max="8709" width="12.88671875" style="3068" customWidth="1"/>
    <col min="8710" max="8710" width="47.44140625" style="3068" customWidth="1"/>
    <col min="8711" max="8711" width="13" style="3068" customWidth="1"/>
    <col min="8712" max="8713" width="8.88671875" style="3068"/>
    <col min="8714" max="8714" width="5.77734375" style="3068" customWidth="1"/>
    <col min="8715" max="8715" width="11.77734375" style="3068" customWidth="1"/>
    <col min="8716" max="8717" width="10.77734375" style="3068" customWidth="1"/>
    <col min="8718" max="8718" width="10" style="3068" customWidth="1"/>
    <col min="8719" max="8720" width="10.44140625" style="3068" bestFit="1" customWidth="1"/>
    <col min="8721" max="8721" width="10" style="3068" customWidth="1"/>
    <col min="8722" max="8722" width="10.109375" style="3068" customWidth="1"/>
    <col min="8723" max="8723" width="10" style="3068" customWidth="1"/>
    <col min="8724" max="8724" width="26.109375" style="3068" customWidth="1"/>
    <col min="8725" max="8960" width="8.88671875" style="3068"/>
    <col min="8961" max="8961" width="9.44140625" style="3068" customWidth="1"/>
    <col min="8962" max="8962" width="8.88671875" style="3068"/>
    <col min="8963" max="8965" width="12.88671875" style="3068" customWidth="1"/>
    <col min="8966" max="8966" width="47.44140625" style="3068" customWidth="1"/>
    <col min="8967" max="8967" width="13" style="3068" customWidth="1"/>
    <col min="8968" max="8969" width="8.88671875" style="3068"/>
    <col min="8970" max="8970" width="5.77734375" style="3068" customWidth="1"/>
    <col min="8971" max="8971" width="11.77734375" style="3068" customWidth="1"/>
    <col min="8972" max="8973" width="10.77734375" style="3068" customWidth="1"/>
    <col min="8974" max="8974" width="10" style="3068" customWidth="1"/>
    <col min="8975" max="8976" width="10.44140625" style="3068" bestFit="1" customWidth="1"/>
    <col min="8977" max="8977" width="10" style="3068" customWidth="1"/>
    <col min="8978" max="8978" width="10.109375" style="3068" customWidth="1"/>
    <col min="8979" max="8979" width="10" style="3068" customWidth="1"/>
    <col min="8980" max="8980" width="26.109375" style="3068" customWidth="1"/>
    <col min="8981" max="9216" width="8.88671875" style="3068"/>
    <col min="9217" max="9217" width="9.44140625" style="3068" customWidth="1"/>
    <col min="9218" max="9218" width="8.88671875" style="3068"/>
    <col min="9219" max="9221" width="12.88671875" style="3068" customWidth="1"/>
    <col min="9222" max="9222" width="47.44140625" style="3068" customWidth="1"/>
    <col min="9223" max="9223" width="13" style="3068" customWidth="1"/>
    <col min="9224" max="9225" width="8.88671875" style="3068"/>
    <col min="9226" max="9226" width="5.77734375" style="3068" customWidth="1"/>
    <col min="9227" max="9227" width="11.77734375" style="3068" customWidth="1"/>
    <col min="9228" max="9229" width="10.77734375" style="3068" customWidth="1"/>
    <col min="9230" max="9230" width="10" style="3068" customWidth="1"/>
    <col min="9231" max="9232" width="10.44140625" style="3068" bestFit="1" customWidth="1"/>
    <col min="9233" max="9233" width="10" style="3068" customWidth="1"/>
    <col min="9234" max="9234" width="10.109375" style="3068" customWidth="1"/>
    <col min="9235" max="9235" width="10" style="3068" customWidth="1"/>
    <col min="9236" max="9236" width="26.109375" style="3068" customWidth="1"/>
    <col min="9237" max="9472" width="8.88671875" style="3068"/>
    <col min="9473" max="9473" width="9.44140625" style="3068" customWidth="1"/>
    <col min="9474" max="9474" width="8.88671875" style="3068"/>
    <col min="9475" max="9477" width="12.88671875" style="3068" customWidth="1"/>
    <col min="9478" max="9478" width="47.44140625" style="3068" customWidth="1"/>
    <col min="9479" max="9479" width="13" style="3068" customWidth="1"/>
    <col min="9480" max="9481" width="8.88671875" style="3068"/>
    <col min="9482" max="9482" width="5.77734375" style="3068" customWidth="1"/>
    <col min="9483" max="9483" width="11.77734375" style="3068" customWidth="1"/>
    <col min="9484" max="9485" width="10.77734375" style="3068" customWidth="1"/>
    <col min="9486" max="9486" width="10" style="3068" customWidth="1"/>
    <col min="9487" max="9488" width="10.44140625" style="3068" bestFit="1" customWidth="1"/>
    <col min="9489" max="9489" width="10" style="3068" customWidth="1"/>
    <col min="9490" max="9490" width="10.109375" style="3068" customWidth="1"/>
    <col min="9491" max="9491" width="10" style="3068" customWidth="1"/>
    <col min="9492" max="9492" width="26.109375" style="3068" customWidth="1"/>
    <col min="9493" max="9728" width="8.88671875" style="3068"/>
    <col min="9729" max="9729" width="9.44140625" style="3068" customWidth="1"/>
    <col min="9730" max="9730" width="8.88671875" style="3068"/>
    <col min="9731" max="9733" width="12.88671875" style="3068" customWidth="1"/>
    <col min="9734" max="9734" width="47.44140625" style="3068" customWidth="1"/>
    <col min="9735" max="9735" width="13" style="3068" customWidth="1"/>
    <col min="9736" max="9737" width="8.88671875" style="3068"/>
    <col min="9738" max="9738" width="5.77734375" style="3068" customWidth="1"/>
    <col min="9739" max="9739" width="11.77734375" style="3068" customWidth="1"/>
    <col min="9740" max="9741" width="10.77734375" style="3068" customWidth="1"/>
    <col min="9742" max="9742" width="10" style="3068" customWidth="1"/>
    <col min="9743" max="9744" width="10.44140625" style="3068" bestFit="1" customWidth="1"/>
    <col min="9745" max="9745" width="10" style="3068" customWidth="1"/>
    <col min="9746" max="9746" width="10.109375" style="3068" customWidth="1"/>
    <col min="9747" max="9747" width="10" style="3068" customWidth="1"/>
    <col min="9748" max="9748" width="26.109375" style="3068" customWidth="1"/>
    <col min="9749" max="9984" width="8.88671875" style="3068"/>
    <col min="9985" max="9985" width="9.44140625" style="3068" customWidth="1"/>
    <col min="9986" max="9986" width="8.88671875" style="3068"/>
    <col min="9987" max="9989" width="12.88671875" style="3068" customWidth="1"/>
    <col min="9990" max="9990" width="47.44140625" style="3068" customWidth="1"/>
    <col min="9991" max="9991" width="13" style="3068" customWidth="1"/>
    <col min="9992" max="9993" width="8.88671875" style="3068"/>
    <col min="9994" max="9994" width="5.77734375" style="3068" customWidth="1"/>
    <col min="9995" max="9995" width="11.77734375" style="3068" customWidth="1"/>
    <col min="9996" max="9997" width="10.77734375" style="3068" customWidth="1"/>
    <col min="9998" max="9998" width="10" style="3068" customWidth="1"/>
    <col min="9999" max="10000" width="10.44140625" style="3068" bestFit="1" customWidth="1"/>
    <col min="10001" max="10001" width="10" style="3068" customWidth="1"/>
    <col min="10002" max="10002" width="10.109375" style="3068" customWidth="1"/>
    <col min="10003" max="10003" width="10" style="3068" customWidth="1"/>
    <col min="10004" max="10004" width="26.109375" style="3068" customWidth="1"/>
    <col min="10005" max="10240" width="8.88671875" style="3068"/>
    <col min="10241" max="10241" width="9.44140625" style="3068" customWidth="1"/>
    <col min="10242" max="10242" width="8.88671875" style="3068"/>
    <col min="10243" max="10245" width="12.88671875" style="3068" customWidth="1"/>
    <col min="10246" max="10246" width="47.44140625" style="3068" customWidth="1"/>
    <col min="10247" max="10247" width="13" style="3068" customWidth="1"/>
    <col min="10248" max="10249" width="8.88671875" style="3068"/>
    <col min="10250" max="10250" width="5.77734375" style="3068" customWidth="1"/>
    <col min="10251" max="10251" width="11.77734375" style="3068" customWidth="1"/>
    <col min="10252" max="10253" width="10.77734375" style="3068" customWidth="1"/>
    <col min="10254" max="10254" width="10" style="3068" customWidth="1"/>
    <col min="10255" max="10256" width="10.44140625" style="3068" bestFit="1" customWidth="1"/>
    <col min="10257" max="10257" width="10" style="3068" customWidth="1"/>
    <col min="10258" max="10258" width="10.109375" style="3068" customWidth="1"/>
    <col min="10259" max="10259" width="10" style="3068" customWidth="1"/>
    <col min="10260" max="10260" width="26.109375" style="3068" customWidth="1"/>
    <col min="10261" max="10496" width="8.88671875" style="3068"/>
    <col min="10497" max="10497" width="9.44140625" style="3068" customWidth="1"/>
    <col min="10498" max="10498" width="8.88671875" style="3068"/>
    <col min="10499" max="10501" width="12.88671875" style="3068" customWidth="1"/>
    <col min="10502" max="10502" width="47.44140625" style="3068" customWidth="1"/>
    <col min="10503" max="10503" width="13" style="3068" customWidth="1"/>
    <col min="10504" max="10505" width="8.88671875" style="3068"/>
    <col min="10506" max="10506" width="5.77734375" style="3068" customWidth="1"/>
    <col min="10507" max="10507" width="11.77734375" style="3068" customWidth="1"/>
    <col min="10508" max="10509" width="10.77734375" style="3068" customWidth="1"/>
    <col min="10510" max="10510" width="10" style="3068" customWidth="1"/>
    <col min="10511" max="10512" width="10.44140625" style="3068" bestFit="1" customWidth="1"/>
    <col min="10513" max="10513" width="10" style="3068" customWidth="1"/>
    <col min="10514" max="10514" width="10.109375" style="3068" customWidth="1"/>
    <col min="10515" max="10515" width="10" style="3068" customWidth="1"/>
    <col min="10516" max="10516" width="26.109375" style="3068" customWidth="1"/>
    <col min="10517" max="10752" width="8.88671875" style="3068"/>
    <col min="10753" max="10753" width="9.44140625" style="3068" customWidth="1"/>
    <col min="10754" max="10754" width="8.88671875" style="3068"/>
    <col min="10755" max="10757" width="12.88671875" style="3068" customWidth="1"/>
    <col min="10758" max="10758" width="47.44140625" style="3068" customWidth="1"/>
    <col min="10759" max="10759" width="13" style="3068" customWidth="1"/>
    <col min="10760" max="10761" width="8.88671875" style="3068"/>
    <col min="10762" max="10762" width="5.77734375" style="3068" customWidth="1"/>
    <col min="10763" max="10763" width="11.77734375" style="3068" customWidth="1"/>
    <col min="10764" max="10765" width="10.77734375" style="3068" customWidth="1"/>
    <col min="10766" max="10766" width="10" style="3068" customWidth="1"/>
    <col min="10767" max="10768" width="10.44140625" style="3068" bestFit="1" customWidth="1"/>
    <col min="10769" max="10769" width="10" style="3068" customWidth="1"/>
    <col min="10770" max="10770" width="10.109375" style="3068" customWidth="1"/>
    <col min="10771" max="10771" width="10" style="3068" customWidth="1"/>
    <col min="10772" max="10772" width="26.109375" style="3068" customWidth="1"/>
    <col min="10773" max="11008" width="8.88671875" style="3068"/>
    <col min="11009" max="11009" width="9.44140625" style="3068" customWidth="1"/>
    <col min="11010" max="11010" width="8.88671875" style="3068"/>
    <col min="11011" max="11013" width="12.88671875" style="3068" customWidth="1"/>
    <col min="11014" max="11014" width="47.44140625" style="3068" customWidth="1"/>
    <col min="11015" max="11015" width="13" style="3068" customWidth="1"/>
    <col min="11016" max="11017" width="8.88671875" style="3068"/>
    <col min="11018" max="11018" width="5.77734375" style="3068" customWidth="1"/>
    <col min="11019" max="11019" width="11.77734375" style="3068" customWidth="1"/>
    <col min="11020" max="11021" width="10.77734375" style="3068" customWidth="1"/>
    <col min="11022" max="11022" width="10" style="3068" customWidth="1"/>
    <col min="11023" max="11024" width="10.44140625" style="3068" bestFit="1" customWidth="1"/>
    <col min="11025" max="11025" width="10" style="3068" customWidth="1"/>
    <col min="11026" max="11026" width="10.109375" style="3068" customWidth="1"/>
    <col min="11027" max="11027" width="10" style="3068" customWidth="1"/>
    <col min="11028" max="11028" width="26.109375" style="3068" customWidth="1"/>
    <col min="11029" max="11264" width="8.88671875" style="3068"/>
    <col min="11265" max="11265" width="9.44140625" style="3068" customWidth="1"/>
    <col min="11266" max="11266" width="8.88671875" style="3068"/>
    <col min="11267" max="11269" width="12.88671875" style="3068" customWidth="1"/>
    <col min="11270" max="11270" width="47.44140625" style="3068" customWidth="1"/>
    <col min="11271" max="11271" width="13" style="3068" customWidth="1"/>
    <col min="11272" max="11273" width="8.88671875" style="3068"/>
    <col min="11274" max="11274" width="5.77734375" style="3068" customWidth="1"/>
    <col min="11275" max="11275" width="11.77734375" style="3068" customWidth="1"/>
    <col min="11276" max="11277" width="10.77734375" style="3068" customWidth="1"/>
    <col min="11278" max="11278" width="10" style="3068" customWidth="1"/>
    <col min="11279" max="11280" width="10.44140625" style="3068" bestFit="1" customWidth="1"/>
    <col min="11281" max="11281" width="10" style="3068" customWidth="1"/>
    <col min="11282" max="11282" width="10.109375" style="3068" customWidth="1"/>
    <col min="11283" max="11283" width="10" style="3068" customWidth="1"/>
    <col min="11284" max="11284" width="26.109375" style="3068" customWidth="1"/>
    <col min="11285" max="11520" width="8.88671875" style="3068"/>
    <col min="11521" max="11521" width="9.44140625" style="3068" customWidth="1"/>
    <col min="11522" max="11522" width="8.88671875" style="3068"/>
    <col min="11523" max="11525" width="12.88671875" style="3068" customWidth="1"/>
    <col min="11526" max="11526" width="47.44140625" style="3068" customWidth="1"/>
    <col min="11527" max="11527" width="13" style="3068" customWidth="1"/>
    <col min="11528" max="11529" width="8.88671875" style="3068"/>
    <col min="11530" max="11530" width="5.77734375" style="3068" customWidth="1"/>
    <col min="11531" max="11531" width="11.77734375" style="3068" customWidth="1"/>
    <col min="11532" max="11533" width="10.77734375" style="3068" customWidth="1"/>
    <col min="11534" max="11534" width="10" style="3068" customWidth="1"/>
    <col min="11535" max="11536" width="10.44140625" style="3068" bestFit="1" customWidth="1"/>
    <col min="11537" max="11537" width="10" style="3068" customWidth="1"/>
    <col min="11538" max="11538" width="10.109375" style="3068" customWidth="1"/>
    <col min="11539" max="11539" width="10" style="3068" customWidth="1"/>
    <col min="11540" max="11540" width="26.109375" style="3068" customWidth="1"/>
    <col min="11541" max="11776" width="8.88671875" style="3068"/>
    <col min="11777" max="11777" width="9.44140625" style="3068" customWidth="1"/>
    <col min="11778" max="11778" width="8.88671875" style="3068"/>
    <col min="11779" max="11781" width="12.88671875" style="3068" customWidth="1"/>
    <col min="11782" max="11782" width="47.44140625" style="3068" customWidth="1"/>
    <col min="11783" max="11783" width="13" style="3068" customWidth="1"/>
    <col min="11784" max="11785" width="8.88671875" style="3068"/>
    <col min="11786" max="11786" width="5.77734375" style="3068" customWidth="1"/>
    <col min="11787" max="11787" width="11.77734375" style="3068" customWidth="1"/>
    <col min="11788" max="11789" width="10.77734375" style="3068" customWidth="1"/>
    <col min="11790" max="11790" width="10" style="3068" customWidth="1"/>
    <col min="11791" max="11792" width="10.44140625" style="3068" bestFit="1" customWidth="1"/>
    <col min="11793" max="11793" width="10" style="3068" customWidth="1"/>
    <col min="11794" max="11794" width="10.109375" style="3068" customWidth="1"/>
    <col min="11795" max="11795" width="10" style="3068" customWidth="1"/>
    <col min="11796" max="11796" width="26.109375" style="3068" customWidth="1"/>
    <col min="11797" max="12032" width="8.88671875" style="3068"/>
    <col min="12033" max="12033" width="9.44140625" style="3068" customWidth="1"/>
    <col min="12034" max="12034" width="8.88671875" style="3068"/>
    <col min="12035" max="12037" width="12.88671875" style="3068" customWidth="1"/>
    <col min="12038" max="12038" width="47.44140625" style="3068" customWidth="1"/>
    <col min="12039" max="12039" width="13" style="3068" customWidth="1"/>
    <col min="12040" max="12041" width="8.88671875" style="3068"/>
    <col min="12042" max="12042" width="5.77734375" style="3068" customWidth="1"/>
    <col min="12043" max="12043" width="11.77734375" style="3068" customWidth="1"/>
    <col min="12044" max="12045" width="10.77734375" style="3068" customWidth="1"/>
    <col min="12046" max="12046" width="10" style="3068" customWidth="1"/>
    <col min="12047" max="12048" width="10.44140625" style="3068" bestFit="1" customWidth="1"/>
    <col min="12049" max="12049" width="10" style="3068" customWidth="1"/>
    <col min="12050" max="12050" width="10.109375" style="3068" customWidth="1"/>
    <col min="12051" max="12051" width="10" style="3068" customWidth="1"/>
    <col min="12052" max="12052" width="26.109375" style="3068" customWidth="1"/>
    <col min="12053" max="12288" width="8.88671875" style="3068"/>
    <col min="12289" max="12289" width="9.44140625" style="3068" customWidth="1"/>
    <col min="12290" max="12290" width="8.88671875" style="3068"/>
    <col min="12291" max="12293" width="12.88671875" style="3068" customWidth="1"/>
    <col min="12294" max="12294" width="47.44140625" style="3068" customWidth="1"/>
    <col min="12295" max="12295" width="13" style="3068" customWidth="1"/>
    <col min="12296" max="12297" width="8.88671875" style="3068"/>
    <col min="12298" max="12298" width="5.77734375" style="3068" customWidth="1"/>
    <col min="12299" max="12299" width="11.77734375" style="3068" customWidth="1"/>
    <col min="12300" max="12301" width="10.77734375" style="3068" customWidth="1"/>
    <col min="12302" max="12302" width="10" style="3068" customWidth="1"/>
    <col min="12303" max="12304" width="10.44140625" style="3068" bestFit="1" customWidth="1"/>
    <col min="12305" max="12305" width="10" style="3068" customWidth="1"/>
    <col min="12306" max="12306" width="10.109375" style="3068" customWidth="1"/>
    <col min="12307" max="12307" width="10" style="3068" customWidth="1"/>
    <col min="12308" max="12308" width="26.109375" style="3068" customWidth="1"/>
    <col min="12309" max="12544" width="8.88671875" style="3068"/>
    <col min="12545" max="12545" width="9.44140625" style="3068" customWidth="1"/>
    <col min="12546" max="12546" width="8.88671875" style="3068"/>
    <col min="12547" max="12549" width="12.88671875" style="3068" customWidth="1"/>
    <col min="12550" max="12550" width="47.44140625" style="3068" customWidth="1"/>
    <col min="12551" max="12551" width="13" style="3068" customWidth="1"/>
    <col min="12552" max="12553" width="8.88671875" style="3068"/>
    <col min="12554" max="12554" width="5.77734375" style="3068" customWidth="1"/>
    <col min="12555" max="12555" width="11.77734375" style="3068" customWidth="1"/>
    <col min="12556" max="12557" width="10.77734375" style="3068" customWidth="1"/>
    <col min="12558" max="12558" width="10" style="3068" customWidth="1"/>
    <col min="12559" max="12560" width="10.44140625" style="3068" bestFit="1" customWidth="1"/>
    <col min="12561" max="12561" width="10" style="3068" customWidth="1"/>
    <col min="12562" max="12562" width="10.109375" style="3068" customWidth="1"/>
    <col min="12563" max="12563" width="10" style="3068" customWidth="1"/>
    <col min="12564" max="12564" width="26.109375" style="3068" customWidth="1"/>
    <col min="12565" max="12800" width="8.88671875" style="3068"/>
    <col min="12801" max="12801" width="9.44140625" style="3068" customWidth="1"/>
    <col min="12802" max="12802" width="8.88671875" style="3068"/>
    <col min="12803" max="12805" width="12.88671875" style="3068" customWidth="1"/>
    <col min="12806" max="12806" width="47.44140625" style="3068" customWidth="1"/>
    <col min="12807" max="12807" width="13" style="3068" customWidth="1"/>
    <col min="12808" max="12809" width="8.88671875" style="3068"/>
    <col min="12810" max="12810" width="5.77734375" style="3068" customWidth="1"/>
    <col min="12811" max="12811" width="11.77734375" style="3068" customWidth="1"/>
    <col min="12812" max="12813" width="10.77734375" style="3068" customWidth="1"/>
    <col min="12814" max="12814" width="10" style="3068" customWidth="1"/>
    <col min="12815" max="12816" width="10.44140625" style="3068" bestFit="1" customWidth="1"/>
    <col min="12817" max="12817" width="10" style="3068" customWidth="1"/>
    <col min="12818" max="12818" width="10.109375" style="3068" customWidth="1"/>
    <col min="12819" max="12819" width="10" style="3068" customWidth="1"/>
    <col min="12820" max="12820" width="26.109375" style="3068" customWidth="1"/>
    <col min="12821" max="13056" width="8.88671875" style="3068"/>
    <col min="13057" max="13057" width="9.44140625" style="3068" customWidth="1"/>
    <col min="13058" max="13058" width="8.88671875" style="3068"/>
    <col min="13059" max="13061" width="12.88671875" style="3068" customWidth="1"/>
    <col min="13062" max="13062" width="47.44140625" style="3068" customWidth="1"/>
    <col min="13063" max="13063" width="13" style="3068" customWidth="1"/>
    <col min="13064" max="13065" width="8.88671875" style="3068"/>
    <col min="13066" max="13066" width="5.77734375" style="3068" customWidth="1"/>
    <col min="13067" max="13067" width="11.77734375" style="3068" customWidth="1"/>
    <col min="13068" max="13069" width="10.77734375" style="3068" customWidth="1"/>
    <col min="13070" max="13070" width="10" style="3068" customWidth="1"/>
    <col min="13071" max="13072" width="10.44140625" style="3068" bestFit="1" customWidth="1"/>
    <col min="13073" max="13073" width="10" style="3068" customWidth="1"/>
    <col min="13074" max="13074" width="10.109375" style="3068" customWidth="1"/>
    <col min="13075" max="13075" width="10" style="3068" customWidth="1"/>
    <col min="13076" max="13076" width="26.109375" style="3068" customWidth="1"/>
    <col min="13077" max="13312" width="8.88671875" style="3068"/>
    <col min="13313" max="13313" width="9.44140625" style="3068" customWidth="1"/>
    <col min="13314" max="13314" width="8.88671875" style="3068"/>
    <col min="13315" max="13317" width="12.88671875" style="3068" customWidth="1"/>
    <col min="13318" max="13318" width="47.44140625" style="3068" customWidth="1"/>
    <col min="13319" max="13319" width="13" style="3068" customWidth="1"/>
    <col min="13320" max="13321" width="8.88671875" style="3068"/>
    <col min="13322" max="13322" width="5.77734375" style="3068" customWidth="1"/>
    <col min="13323" max="13323" width="11.77734375" style="3068" customWidth="1"/>
    <col min="13324" max="13325" width="10.77734375" style="3068" customWidth="1"/>
    <col min="13326" max="13326" width="10" style="3068" customWidth="1"/>
    <col min="13327" max="13328" width="10.44140625" style="3068" bestFit="1" customWidth="1"/>
    <col min="13329" max="13329" width="10" style="3068" customWidth="1"/>
    <col min="13330" max="13330" width="10.109375" style="3068" customWidth="1"/>
    <col min="13331" max="13331" width="10" style="3068" customWidth="1"/>
    <col min="13332" max="13332" width="26.109375" style="3068" customWidth="1"/>
    <col min="13333" max="13568" width="8.88671875" style="3068"/>
    <col min="13569" max="13569" width="9.44140625" style="3068" customWidth="1"/>
    <col min="13570" max="13570" width="8.88671875" style="3068"/>
    <col min="13571" max="13573" width="12.88671875" style="3068" customWidth="1"/>
    <col min="13574" max="13574" width="47.44140625" style="3068" customWidth="1"/>
    <col min="13575" max="13575" width="13" style="3068" customWidth="1"/>
    <col min="13576" max="13577" width="8.88671875" style="3068"/>
    <col min="13578" max="13578" width="5.77734375" style="3068" customWidth="1"/>
    <col min="13579" max="13579" width="11.77734375" style="3068" customWidth="1"/>
    <col min="13580" max="13581" width="10.77734375" style="3068" customWidth="1"/>
    <col min="13582" max="13582" width="10" style="3068" customWidth="1"/>
    <col min="13583" max="13584" width="10.44140625" style="3068" bestFit="1" customWidth="1"/>
    <col min="13585" max="13585" width="10" style="3068" customWidth="1"/>
    <col min="13586" max="13586" width="10.109375" style="3068" customWidth="1"/>
    <col min="13587" max="13587" width="10" style="3068" customWidth="1"/>
    <col min="13588" max="13588" width="26.109375" style="3068" customWidth="1"/>
    <col min="13589" max="13824" width="8.88671875" style="3068"/>
    <col min="13825" max="13825" width="9.44140625" style="3068" customWidth="1"/>
    <col min="13826" max="13826" width="8.88671875" style="3068"/>
    <col min="13827" max="13829" width="12.88671875" style="3068" customWidth="1"/>
    <col min="13830" max="13830" width="47.44140625" style="3068" customWidth="1"/>
    <col min="13831" max="13831" width="13" style="3068" customWidth="1"/>
    <col min="13832" max="13833" width="8.88671875" style="3068"/>
    <col min="13834" max="13834" width="5.77734375" style="3068" customWidth="1"/>
    <col min="13835" max="13835" width="11.77734375" style="3068" customWidth="1"/>
    <col min="13836" max="13837" width="10.77734375" style="3068" customWidth="1"/>
    <col min="13838" max="13838" width="10" style="3068" customWidth="1"/>
    <col min="13839" max="13840" width="10.44140625" style="3068" bestFit="1" customWidth="1"/>
    <col min="13841" max="13841" width="10" style="3068" customWidth="1"/>
    <col min="13842" max="13842" width="10.109375" style="3068" customWidth="1"/>
    <col min="13843" max="13843" width="10" style="3068" customWidth="1"/>
    <col min="13844" max="13844" width="26.109375" style="3068" customWidth="1"/>
    <col min="13845" max="14080" width="8.88671875" style="3068"/>
    <col min="14081" max="14081" width="9.44140625" style="3068" customWidth="1"/>
    <col min="14082" max="14082" width="8.88671875" style="3068"/>
    <col min="14083" max="14085" width="12.88671875" style="3068" customWidth="1"/>
    <col min="14086" max="14086" width="47.44140625" style="3068" customWidth="1"/>
    <col min="14087" max="14087" width="13" style="3068" customWidth="1"/>
    <col min="14088" max="14089" width="8.88671875" style="3068"/>
    <col min="14090" max="14090" width="5.77734375" style="3068" customWidth="1"/>
    <col min="14091" max="14091" width="11.77734375" style="3068" customWidth="1"/>
    <col min="14092" max="14093" width="10.77734375" style="3068" customWidth="1"/>
    <col min="14094" max="14094" width="10" style="3068" customWidth="1"/>
    <col min="14095" max="14096" width="10.44140625" style="3068" bestFit="1" customWidth="1"/>
    <col min="14097" max="14097" width="10" style="3068" customWidth="1"/>
    <col min="14098" max="14098" width="10.109375" style="3068" customWidth="1"/>
    <col min="14099" max="14099" width="10" style="3068" customWidth="1"/>
    <col min="14100" max="14100" width="26.109375" style="3068" customWidth="1"/>
    <col min="14101" max="14336" width="8.88671875" style="3068"/>
    <col min="14337" max="14337" width="9.44140625" style="3068" customWidth="1"/>
    <col min="14338" max="14338" width="8.88671875" style="3068"/>
    <col min="14339" max="14341" width="12.88671875" style="3068" customWidth="1"/>
    <col min="14342" max="14342" width="47.44140625" style="3068" customWidth="1"/>
    <col min="14343" max="14343" width="13" style="3068" customWidth="1"/>
    <col min="14344" max="14345" width="8.88671875" style="3068"/>
    <col min="14346" max="14346" width="5.77734375" style="3068" customWidth="1"/>
    <col min="14347" max="14347" width="11.77734375" style="3068" customWidth="1"/>
    <col min="14348" max="14349" width="10.77734375" style="3068" customWidth="1"/>
    <col min="14350" max="14350" width="10" style="3068" customWidth="1"/>
    <col min="14351" max="14352" width="10.44140625" style="3068" bestFit="1" customWidth="1"/>
    <col min="14353" max="14353" width="10" style="3068" customWidth="1"/>
    <col min="14354" max="14354" width="10.109375" style="3068" customWidth="1"/>
    <col min="14355" max="14355" width="10" style="3068" customWidth="1"/>
    <col min="14356" max="14356" width="26.109375" style="3068" customWidth="1"/>
    <col min="14357" max="14592" width="8.88671875" style="3068"/>
    <col min="14593" max="14593" width="9.44140625" style="3068" customWidth="1"/>
    <col min="14594" max="14594" width="8.88671875" style="3068"/>
    <col min="14595" max="14597" width="12.88671875" style="3068" customWidth="1"/>
    <col min="14598" max="14598" width="47.44140625" style="3068" customWidth="1"/>
    <col min="14599" max="14599" width="13" style="3068" customWidth="1"/>
    <col min="14600" max="14601" width="8.88671875" style="3068"/>
    <col min="14602" max="14602" width="5.77734375" style="3068" customWidth="1"/>
    <col min="14603" max="14603" width="11.77734375" style="3068" customWidth="1"/>
    <col min="14604" max="14605" width="10.77734375" style="3068" customWidth="1"/>
    <col min="14606" max="14606" width="10" style="3068" customWidth="1"/>
    <col min="14607" max="14608" width="10.44140625" style="3068" bestFit="1" customWidth="1"/>
    <col min="14609" max="14609" width="10" style="3068" customWidth="1"/>
    <col min="14610" max="14610" width="10.109375" style="3068" customWidth="1"/>
    <col min="14611" max="14611" width="10" style="3068" customWidth="1"/>
    <col min="14612" max="14612" width="26.109375" style="3068" customWidth="1"/>
    <col min="14613" max="14848" width="8.88671875" style="3068"/>
    <col min="14849" max="14849" width="9.44140625" style="3068" customWidth="1"/>
    <col min="14850" max="14850" width="8.88671875" style="3068"/>
    <col min="14851" max="14853" width="12.88671875" style="3068" customWidth="1"/>
    <col min="14854" max="14854" width="47.44140625" style="3068" customWidth="1"/>
    <col min="14855" max="14855" width="13" style="3068" customWidth="1"/>
    <col min="14856" max="14857" width="8.88671875" style="3068"/>
    <col min="14858" max="14858" width="5.77734375" style="3068" customWidth="1"/>
    <col min="14859" max="14859" width="11.77734375" style="3068" customWidth="1"/>
    <col min="14860" max="14861" width="10.77734375" style="3068" customWidth="1"/>
    <col min="14862" max="14862" width="10" style="3068" customWidth="1"/>
    <col min="14863" max="14864" width="10.44140625" style="3068" bestFit="1" customWidth="1"/>
    <col min="14865" max="14865" width="10" style="3068" customWidth="1"/>
    <col min="14866" max="14866" width="10.109375" style="3068" customWidth="1"/>
    <col min="14867" max="14867" width="10" style="3068" customWidth="1"/>
    <col min="14868" max="14868" width="26.109375" style="3068" customWidth="1"/>
    <col min="14869" max="15104" width="8.88671875" style="3068"/>
    <col min="15105" max="15105" width="9.44140625" style="3068" customWidth="1"/>
    <col min="15106" max="15106" width="8.88671875" style="3068"/>
    <col min="15107" max="15109" width="12.88671875" style="3068" customWidth="1"/>
    <col min="15110" max="15110" width="47.44140625" style="3068" customWidth="1"/>
    <col min="15111" max="15111" width="13" style="3068" customWidth="1"/>
    <col min="15112" max="15113" width="8.88671875" style="3068"/>
    <col min="15114" max="15114" width="5.77734375" style="3068" customWidth="1"/>
    <col min="15115" max="15115" width="11.77734375" style="3068" customWidth="1"/>
    <col min="15116" max="15117" width="10.77734375" style="3068" customWidth="1"/>
    <col min="15118" max="15118" width="10" style="3068" customWidth="1"/>
    <col min="15119" max="15120" width="10.44140625" style="3068" bestFit="1" customWidth="1"/>
    <col min="15121" max="15121" width="10" style="3068" customWidth="1"/>
    <col min="15122" max="15122" width="10.109375" style="3068" customWidth="1"/>
    <col min="15123" max="15123" width="10" style="3068" customWidth="1"/>
    <col min="15124" max="15124" width="26.109375" style="3068" customWidth="1"/>
    <col min="15125" max="15360" width="8.88671875" style="3068"/>
    <col min="15361" max="15361" width="9.44140625" style="3068" customWidth="1"/>
    <col min="15362" max="15362" width="8.88671875" style="3068"/>
    <col min="15363" max="15365" width="12.88671875" style="3068" customWidth="1"/>
    <col min="15366" max="15366" width="47.44140625" style="3068" customWidth="1"/>
    <col min="15367" max="15367" width="13" style="3068" customWidth="1"/>
    <col min="15368" max="15369" width="8.88671875" style="3068"/>
    <col min="15370" max="15370" width="5.77734375" style="3068" customWidth="1"/>
    <col min="15371" max="15371" width="11.77734375" style="3068" customWidth="1"/>
    <col min="15372" max="15373" width="10.77734375" style="3068" customWidth="1"/>
    <col min="15374" max="15374" width="10" style="3068" customWidth="1"/>
    <col min="15375" max="15376" width="10.44140625" style="3068" bestFit="1" customWidth="1"/>
    <col min="15377" max="15377" width="10" style="3068" customWidth="1"/>
    <col min="15378" max="15378" width="10.109375" style="3068" customWidth="1"/>
    <col min="15379" max="15379" width="10" style="3068" customWidth="1"/>
    <col min="15380" max="15380" width="26.109375" style="3068" customWidth="1"/>
    <col min="15381" max="15616" width="8.88671875" style="3068"/>
    <col min="15617" max="15617" width="9.44140625" style="3068" customWidth="1"/>
    <col min="15618" max="15618" width="8.88671875" style="3068"/>
    <col min="15619" max="15621" width="12.88671875" style="3068" customWidth="1"/>
    <col min="15622" max="15622" width="47.44140625" style="3068" customWidth="1"/>
    <col min="15623" max="15623" width="13" style="3068" customWidth="1"/>
    <col min="15624" max="15625" width="8.88671875" style="3068"/>
    <col min="15626" max="15626" width="5.77734375" style="3068" customWidth="1"/>
    <col min="15627" max="15627" width="11.77734375" style="3068" customWidth="1"/>
    <col min="15628" max="15629" width="10.77734375" style="3068" customWidth="1"/>
    <col min="15630" max="15630" width="10" style="3068" customWidth="1"/>
    <col min="15631" max="15632" width="10.44140625" style="3068" bestFit="1" customWidth="1"/>
    <col min="15633" max="15633" width="10" style="3068" customWidth="1"/>
    <col min="15634" max="15634" width="10.109375" style="3068" customWidth="1"/>
    <col min="15635" max="15635" width="10" style="3068" customWidth="1"/>
    <col min="15636" max="15636" width="26.109375" style="3068" customWidth="1"/>
    <col min="15637" max="15872" width="8.88671875" style="3068"/>
    <col min="15873" max="15873" width="9.44140625" style="3068" customWidth="1"/>
    <col min="15874" max="15874" width="8.88671875" style="3068"/>
    <col min="15875" max="15877" width="12.88671875" style="3068" customWidth="1"/>
    <col min="15878" max="15878" width="47.44140625" style="3068" customWidth="1"/>
    <col min="15879" max="15879" width="13" style="3068" customWidth="1"/>
    <col min="15880" max="15881" width="8.88671875" style="3068"/>
    <col min="15882" max="15882" width="5.77734375" style="3068" customWidth="1"/>
    <col min="15883" max="15883" width="11.77734375" style="3068" customWidth="1"/>
    <col min="15884" max="15885" width="10.77734375" style="3068" customWidth="1"/>
    <col min="15886" max="15886" width="10" style="3068" customWidth="1"/>
    <col min="15887" max="15888" width="10.44140625" style="3068" bestFit="1" customWidth="1"/>
    <col min="15889" max="15889" width="10" style="3068" customWidth="1"/>
    <col min="15890" max="15890" width="10.109375" style="3068" customWidth="1"/>
    <col min="15891" max="15891" width="10" style="3068" customWidth="1"/>
    <col min="15892" max="15892" width="26.109375" style="3068" customWidth="1"/>
    <col min="15893" max="16128" width="8.88671875" style="3068"/>
    <col min="16129" max="16129" width="9.44140625" style="3068" customWidth="1"/>
    <col min="16130" max="16130" width="8.88671875" style="3068"/>
    <col min="16131" max="16133" width="12.88671875" style="3068" customWidth="1"/>
    <col min="16134" max="16134" width="47.44140625" style="3068" customWidth="1"/>
    <col min="16135" max="16135" width="13" style="3068" customWidth="1"/>
    <col min="16136" max="16137" width="8.88671875" style="3068"/>
    <col min="16138" max="16138" width="5.77734375" style="3068" customWidth="1"/>
    <col min="16139" max="16139" width="11.77734375" style="3068" customWidth="1"/>
    <col min="16140" max="16141" width="10.77734375" style="3068" customWidth="1"/>
    <col min="16142" max="16142" width="10" style="3068" customWidth="1"/>
    <col min="16143" max="16144" width="10.44140625" style="3068" bestFit="1" customWidth="1"/>
    <col min="16145" max="16145" width="10" style="3068" customWidth="1"/>
    <col min="16146" max="16146" width="10.109375" style="3068" customWidth="1"/>
    <col min="16147" max="16147" width="10" style="3068" customWidth="1"/>
    <col min="16148" max="16148" width="26.109375" style="3068" customWidth="1"/>
    <col min="16149" max="16384" width="8.88671875" style="3068"/>
  </cols>
  <sheetData>
    <row r="1" spans="1:22" ht="21" customHeight="1">
      <c r="A1" s="3057" t="s">
        <v>2443</v>
      </c>
      <c r="B1" s="3058"/>
      <c r="C1" s="3071"/>
      <c r="D1" s="3071"/>
      <c r="E1" s="3059"/>
      <c r="F1" s="3060"/>
      <c r="G1" s="3061"/>
      <c r="J1" s="3064" t="s">
        <v>2300</v>
      </c>
      <c r="K1" s="3065"/>
      <c r="L1" s="3065"/>
      <c r="M1" s="3065"/>
      <c r="N1" s="3065"/>
      <c r="O1" s="3065"/>
      <c r="P1" s="3065"/>
      <c r="Q1" s="3065"/>
      <c r="R1" s="3066"/>
      <c r="S1" s="3067"/>
      <c r="T1" s="3067"/>
      <c r="U1" s="3067"/>
    </row>
    <row r="2" spans="1:22" s="3080" customFormat="1" ht="13.2" customHeight="1">
      <c r="A2" s="3069" t="s">
        <v>2301</v>
      </c>
      <c r="B2" s="3070" t="e">
        <f>C40</f>
        <v>#DIV/0!</v>
      </c>
      <c r="C2" s="3071" t="s">
        <v>2302</v>
      </c>
      <c r="D2" s="3071"/>
      <c r="E2" s="3072"/>
      <c r="F2" s="3073"/>
      <c r="G2" s="3074"/>
      <c r="H2" s="3075"/>
      <c r="I2" s="3076"/>
      <c r="J2" s="3937" t="s">
        <v>2303</v>
      </c>
      <c r="K2" s="3938"/>
      <c r="L2" s="3077" t="s">
        <v>2304</v>
      </c>
      <c r="M2" s="3077" t="s">
        <v>2305</v>
      </c>
      <c r="N2" s="3077" t="s">
        <v>2306</v>
      </c>
      <c r="O2" s="3077" t="s">
        <v>2307</v>
      </c>
      <c r="P2" s="3077" t="s">
        <v>2308</v>
      </c>
      <c r="Q2" s="3078" t="s">
        <v>2309</v>
      </c>
      <c r="R2" s="3079" t="s">
        <v>2310</v>
      </c>
      <c r="S2" s="3067"/>
      <c r="T2" s="3067"/>
      <c r="U2" s="3067"/>
      <c r="V2" s="3076"/>
    </row>
    <row r="3" spans="1:22" s="3080" customFormat="1" ht="13.2" customHeight="1">
      <c r="A3" s="3081" t="s">
        <v>2311</v>
      </c>
      <c r="B3" s="3082" t="e">
        <f>ROUND(B2*10000/B4,0)</f>
        <v>#DIV/0!</v>
      </c>
      <c r="C3" s="3071" t="s">
        <v>2312</v>
      </c>
      <c r="D3" s="3071"/>
      <c r="E3" s="3072"/>
      <c r="F3" s="3073"/>
      <c r="G3" s="3074"/>
      <c r="H3" s="3075"/>
      <c r="I3" s="3076"/>
      <c r="J3" s="3939" t="s">
        <v>2313</v>
      </c>
      <c r="K3" s="3940"/>
      <c r="L3" s="3083"/>
      <c r="M3" s="3083"/>
      <c r="N3" s="3083"/>
      <c r="O3" s="3083"/>
      <c r="P3" s="3083"/>
      <c r="Q3" s="3084"/>
      <c r="R3" s="3085">
        <f>SUM(L3:Q3)</f>
        <v>0</v>
      </c>
      <c r="S3" s="3067"/>
      <c r="T3" s="3067"/>
      <c r="U3" s="3067"/>
      <c r="V3" s="3076"/>
    </row>
    <row r="4" spans="1:22" s="3080" customFormat="1" ht="13.2" customHeight="1">
      <c r="A4" s="3086" t="s">
        <v>2314</v>
      </c>
      <c r="B4" s="3087"/>
      <c r="C4" s="3071"/>
      <c r="D4" s="3071"/>
      <c r="E4" s="3072"/>
      <c r="F4" s="3073"/>
      <c r="G4" s="3074"/>
      <c r="H4" s="3075"/>
      <c r="I4" s="3076"/>
      <c r="J4" s="3939" t="s">
        <v>2315</v>
      </c>
      <c r="K4" s="3940"/>
      <c r="L4" s="3088"/>
      <c r="M4" s="3088"/>
      <c r="N4" s="3088"/>
      <c r="O4" s="3088"/>
      <c r="P4" s="3088"/>
      <c r="Q4" s="3089"/>
      <c r="R4" s="3090">
        <f>SUM(L4:Q4)</f>
        <v>0</v>
      </c>
      <c r="S4" s="3067"/>
      <c r="T4" s="3067"/>
      <c r="U4" s="3067"/>
      <c r="V4" s="3076"/>
    </row>
    <row r="5" spans="1:22" s="3080" customFormat="1" ht="13.2" customHeight="1" thickBot="1">
      <c r="A5" s="3091" t="s">
        <v>2316</v>
      </c>
      <c r="B5" s="3092"/>
      <c r="C5" s="3071"/>
      <c r="D5" s="3093"/>
      <c r="E5" s="3073"/>
      <c r="F5" s="3073"/>
      <c r="G5" s="3074"/>
      <c r="H5" s="3075"/>
      <c r="I5" s="3076"/>
      <c r="J5" s="3094" t="s">
        <v>2317</v>
      </c>
      <c r="K5" s="3095"/>
      <c r="L5" s="3095"/>
      <c r="M5" s="3096"/>
      <c r="N5" s="3096"/>
      <c r="O5" s="3096"/>
      <c r="P5" s="3096"/>
      <c r="Q5" s="3096"/>
      <c r="R5" s="3079">
        <f>SUM(R14,R19,R24,R25,R27,R28)</f>
        <v>0</v>
      </c>
      <c r="S5" s="3067"/>
      <c r="T5" s="3067" t="s">
        <v>2318</v>
      </c>
      <c r="U5" s="3067" t="e">
        <f>ROUND(R5*10000/365/R3,1)</f>
        <v>#DIV/0!</v>
      </c>
      <c r="V5" s="3076"/>
    </row>
    <row r="6" spans="1:22" s="3080" customFormat="1" ht="13.2" customHeight="1" thickBot="1">
      <c r="A6" s="3941" t="s">
        <v>2319</v>
      </c>
      <c r="B6" s="3942"/>
      <c r="C6" s="3943"/>
      <c r="D6" s="3097"/>
      <c r="E6" s="3098"/>
      <c r="F6" s="3099"/>
      <c r="G6" s="3100"/>
      <c r="H6" s="3075"/>
      <c r="I6" s="3076"/>
      <c r="J6" s="3944">
        <v>1</v>
      </c>
      <c r="K6" s="3945" t="s">
        <v>2320</v>
      </c>
      <c r="L6" s="3101" t="s">
        <v>2321</v>
      </c>
      <c r="M6" s="3102" t="s">
        <v>2322</v>
      </c>
      <c r="N6" s="3102" t="s">
        <v>2323</v>
      </c>
      <c r="O6" s="3102" t="s">
        <v>2324</v>
      </c>
      <c r="P6" s="3102" t="s">
        <v>2325</v>
      </c>
      <c r="Q6" s="3102" t="s">
        <v>2326</v>
      </c>
      <c r="R6" s="3085" t="s">
        <v>2327</v>
      </c>
      <c r="S6" s="3067"/>
      <c r="T6" s="3067" t="s">
        <v>2328</v>
      </c>
      <c r="U6" s="3067"/>
      <c r="V6" s="3076"/>
    </row>
    <row r="7" spans="1:22" s="3080" customFormat="1" ht="13.2" customHeight="1">
      <c r="A7" s="3103" t="s">
        <v>2329</v>
      </c>
      <c r="B7" s="3104"/>
      <c r="C7" s="3105"/>
      <c r="D7" s="3106">
        <f>SUM(D9,D10,D11,D17,0)</f>
        <v>0</v>
      </c>
      <c r="E7" s="3107" t="e">
        <f>E9+E10+E11+E17</f>
        <v>#DIV/0!</v>
      </c>
      <c r="F7" s="3108"/>
      <c r="G7" s="3109"/>
      <c r="H7" s="3075"/>
      <c r="I7" s="3076"/>
      <c r="J7" s="3944"/>
      <c r="K7" s="3946"/>
      <c r="L7" s="3110" t="s">
        <v>2330</v>
      </c>
      <c r="M7" s="3111"/>
      <c r="N7" s="3087"/>
      <c r="O7" s="3112"/>
      <c r="P7" s="3112"/>
      <c r="Q7" s="3113">
        <v>365</v>
      </c>
      <c r="R7" s="3114">
        <f>ROUND(M7*N7*O7*P7*Q7/10000,0)</f>
        <v>0</v>
      </c>
      <c r="S7" s="3067"/>
      <c r="T7" s="3067" t="s">
        <v>2331</v>
      </c>
      <c r="U7" s="3067"/>
      <c r="V7" s="3076"/>
    </row>
    <row r="8" spans="1:22" s="3080" customFormat="1" ht="13.2" customHeight="1">
      <c r="A8" s="3115" t="s">
        <v>2332</v>
      </c>
      <c r="B8" s="3948" t="s">
        <v>2333</v>
      </c>
      <c r="C8" s="3949"/>
      <c r="D8" s="3116" t="s">
        <v>2334</v>
      </c>
      <c r="E8" s="3117" t="s">
        <v>2335</v>
      </c>
      <c r="F8" s="3118" t="s">
        <v>2336</v>
      </c>
      <c r="G8" s="3119"/>
      <c r="H8" s="3075"/>
      <c r="I8" s="3076"/>
      <c r="J8" s="3944"/>
      <c r="K8" s="3946"/>
      <c r="L8" s="3110" t="s">
        <v>2337</v>
      </c>
      <c r="M8" s="3111"/>
      <c r="N8" s="3087"/>
      <c r="O8" s="3112"/>
      <c r="P8" s="3112"/>
      <c r="Q8" s="3113">
        <v>365</v>
      </c>
      <c r="R8" s="3114">
        <f t="shared" ref="R8:R13" si="0">ROUND(M8*N8*O8*P8*Q8/10000,0)</f>
        <v>0</v>
      </c>
      <c r="S8" s="3067"/>
      <c r="T8" s="3067" t="s">
        <v>2338</v>
      </c>
      <c r="U8" s="3067"/>
      <c r="V8" s="3076"/>
    </row>
    <row r="9" spans="1:22" s="3080" customFormat="1" ht="13.2" customHeight="1">
      <c r="A9" s="3115">
        <v>1</v>
      </c>
      <c r="B9" s="3948" t="s">
        <v>2339</v>
      </c>
      <c r="C9" s="3949"/>
      <c r="D9" s="3116">
        <f>ROUND(D6*E9,0)</f>
        <v>0</v>
      </c>
      <c r="E9" s="3120"/>
      <c r="F9" s="3121" t="s">
        <v>2340</v>
      </c>
      <c r="G9" s="3100"/>
      <c r="H9" s="3075"/>
      <c r="I9" s="3076"/>
      <c r="J9" s="3944"/>
      <c r="K9" s="3946"/>
      <c r="L9" s="3110" t="s">
        <v>2341</v>
      </c>
      <c r="M9" s="3111"/>
      <c r="N9" s="3087"/>
      <c r="O9" s="3112"/>
      <c r="P9" s="3112"/>
      <c r="Q9" s="3113">
        <v>365</v>
      </c>
      <c r="R9" s="3114">
        <f t="shared" si="0"/>
        <v>0</v>
      </c>
      <c r="S9" s="3067"/>
      <c r="T9" s="3067"/>
      <c r="U9" s="3067"/>
      <c r="V9" s="3076"/>
    </row>
    <row r="10" spans="1:22" s="3080" customFormat="1" ht="13.2" customHeight="1">
      <c r="A10" s="3115">
        <v>2</v>
      </c>
      <c r="B10" s="3948" t="s">
        <v>2342</v>
      </c>
      <c r="C10" s="3949"/>
      <c r="D10" s="3116">
        <f>ROUND(D6*E10,0)</f>
        <v>0</v>
      </c>
      <c r="E10" s="3120"/>
      <c r="F10" s="3121" t="s">
        <v>2343</v>
      </c>
      <c r="G10" s="3100"/>
      <c r="H10" s="3075"/>
      <c r="I10" s="3076"/>
      <c r="J10" s="3944"/>
      <c r="K10" s="3946"/>
      <c r="L10" s="3110" t="s">
        <v>2344</v>
      </c>
      <c r="M10" s="3111"/>
      <c r="N10" s="3087"/>
      <c r="O10" s="3112"/>
      <c r="P10" s="3112"/>
      <c r="Q10" s="3113">
        <v>365</v>
      </c>
      <c r="R10" s="3114">
        <f t="shared" si="0"/>
        <v>0</v>
      </c>
      <c r="S10" s="3067"/>
      <c r="T10" s="3067"/>
      <c r="U10" s="3067"/>
      <c r="V10" s="3076"/>
    </row>
    <row r="11" spans="1:22" s="3080" customFormat="1" ht="13.2" customHeight="1">
      <c r="A11" s="3115">
        <v>3</v>
      </c>
      <c r="B11" s="3948" t="s">
        <v>2345</v>
      </c>
      <c r="C11" s="3949"/>
      <c r="D11" s="3116">
        <f>D12+D14+D15+D16</f>
        <v>0</v>
      </c>
      <c r="E11" s="3122" t="e">
        <f>D11/D6</f>
        <v>#DIV/0!</v>
      </c>
      <c r="F11" s="3118"/>
      <c r="G11" s="3119"/>
      <c r="H11" s="3075"/>
      <c r="I11" s="3076"/>
      <c r="J11" s="3944"/>
      <c r="K11" s="3946"/>
      <c r="L11" s="3110" t="s">
        <v>2346</v>
      </c>
      <c r="M11" s="3111"/>
      <c r="N11" s="3087"/>
      <c r="O11" s="3112"/>
      <c r="P11" s="3112"/>
      <c r="Q11" s="3113">
        <v>365</v>
      </c>
      <c r="R11" s="3114">
        <f t="shared" si="0"/>
        <v>0</v>
      </c>
      <c r="S11" s="3067"/>
      <c r="T11" s="3067"/>
      <c r="U11" s="3067"/>
      <c r="V11" s="3076"/>
    </row>
    <row r="12" spans="1:22" s="3080" customFormat="1" ht="13.2" customHeight="1">
      <c r="A12" s="3123" t="s">
        <v>2347</v>
      </c>
      <c r="B12" s="3950" t="s">
        <v>2348</v>
      </c>
      <c r="C12" s="3951"/>
      <c r="D12" s="3124">
        <f>ROUND(D13*1.2%*(1-30%),0)</f>
        <v>0</v>
      </c>
      <c r="E12" s="3125">
        <v>1.2E-2</v>
      </c>
      <c r="F12" s="3118" t="s">
        <v>2349</v>
      </c>
      <c r="G12" s="3119"/>
      <c r="H12" s="3075"/>
      <c r="I12" s="3076"/>
      <c r="J12" s="3944"/>
      <c r="K12" s="3946"/>
      <c r="L12" s="3110" t="s">
        <v>2350</v>
      </c>
      <c r="M12" s="3111"/>
      <c r="N12" s="3087"/>
      <c r="O12" s="3112"/>
      <c r="P12" s="3112"/>
      <c r="Q12" s="3113">
        <v>365</v>
      </c>
      <c r="R12" s="3114">
        <f t="shared" si="0"/>
        <v>0</v>
      </c>
      <c r="S12" s="3067"/>
      <c r="T12" s="3067"/>
      <c r="U12" s="3067"/>
      <c r="V12" s="3076"/>
    </row>
    <row r="13" spans="1:22" s="3080" customFormat="1" ht="13.2" customHeight="1">
      <c r="A13" s="3123"/>
      <c r="B13" s="3126"/>
      <c r="C13" s="3127" t="s">
        <v>2351</v>
      </c>
      <c r="D13" s="3128"/>
      <c r="E13" s="3129"/>
      <c r="F13" s="3118"/>
      <c r="G13" s="3119"/>
      <c r="H13" s="3075"/>
      <c r="I13" s="3076"/>
      <c r="J13" s="3944"/>
      <c r="K13" s="3946"/>
      <c r="L13" s="3110" t="s">
        <v>2352</v>
      </c>
      <c r="M13" s="3111"/>
      <c r="N13" s="3087"/>
      <c r="O13" s="3112"/>
      <c r="P13" s="3112"/>
      <c r="Q13" s="3113">
        <v>365</v>
      </c>
      <c r="R13" s="3114">
        <f t="shared" si="0"/>
        <v>0</v>
      </c>
      <c r="S13" s="3067"/>
      <c r="T13" s="3067"/>
      <c r="U13" s="3067"/>
      <c r="V13" s="3076"/>
    </row>
    <row r="14" spans="1:22" s="3080" customFormat="1" ht="13.2" customHeight="1">
      <c r="A14" s="3123" t="s">
        <v>2353</v>
      </c>
      <c r="B14" s="3950" t="s">
        <v>2354</v>
      </c>
      <c r="C14" s="3951"/>
      <c r="D14" s="3124">
        <f>ROUND(E14*B5/10000,0)</f>
        <v>0</v>
      </c>
      <c r="E14" s="3113"/>
      <c r="F14" s="3118" t="s">
        <v>2355</v>
      </c>
      <c r="G14" s="3119"/>
      <c r="H14" s="3075"/>
      <c r="I14" s="3076"/>
      <c r="J14" s="3944"/>
      <c r="K14" s="3947"/>
      <c r="L14" s="3130" t="s">
        <v>2356</v>
      </c>
      <c r="M14" s="3131">
        <f>SUM(M7:M13)</f>
        <v>0</v>
      </c>
      <c r="N14" s="3131" t="e">
        <f>ROUND((N7*M7+N8*M8+N9*M9+N10*M10+N11*M11+N12*M12+N13*M13)/M14,0)</f>
        <v>#DIV/0!</v>
      </c>
      <c r="O14" s="3132"/>
      <c r="P14" s="3132"/>
      <c r="Q14" s="3133"/>
      <c r="R14" s="3079">
        <f>SUM(R7:R13)</f>
        <v>0</v>
      </c>
      <c r="S14" s="3067"/>
      <c r="T14" s="3067"/>
      <c r="U14" s="3067"/>
      <c r="V14" s="3076"/>
    </row>
    <row r="15" spans="1:22" s="3080" customFormat="1" ht="13.2" customHeight="1">
      <c r="A15" s="3123" t="s">
        <v>2357</v>
      </c>
      <c r="B15" s="3950" t="s">
        <v>2358</v>
      </c>
      <c r="C15" s="3951"/>
      <c r="D15" s="3124">
        <f>ROUND(D6*E15,0)</f>
        <v>0</v>
      </c>
      <c r="E15" s="3125">
        <v>5.5E-2</v>
      </c>
      <c r="F15" s="3118" t="s">
        <v>2359</v>
      </c>
      <c r="G15" s="3100"/>
      <c r="H15" s="3075"/>
      <c r="I15" s="3076"/>
      <c r="J15" s="3944">
        <v>2</v>
      </c>
      <c r="K15" s="3945" t="s">
        <v>2360</v>
      </c>
      <c r="L15" s="3110" t="s">
        <v>2361</v>
      </c>
      <c r="M15" s="3111" t="s">
        <v>2362</v>
      </c>
      <c r="N15" s="3111" t="s">
        <v>2363</v>
      </c>
      <c r="O15" s="3112" t="s">
        <v>2364</v>
      </c>
      <c r="P15" s="3112" t="s">
        <v>2365</v>
      </c>
      <c r="Q15" s="3087" t="s">
        <v>2366</v>
      </c>
      <c r="R15" s="3134" t="s">
        <v>2367</v>
      </c>
      <c r="S15" s="3067"/>
      <c r="T15" s="3067"/>
      <c r="U15" s="3067"/>
      <c r="V15" s="3076"/>
    </row>
    <row r="16" spans="1:22" s="3080" customFormat="1" ht="13.2" customHeight="1">
      <c r="A16" s="3123" t="s">
        <v>2368</v>
      </c>
      <c r="B16" s="3950" t="s">
        <v>2369</v>
      </c>
      <c r="C16" s="3951"/>
      <c r="D16" s="3135">
        <f>D6*E16</f>
        <v>0</v>
      </c>
      <c r="E16" s="3136"/>
      <c r="F16" s="3121" t="s">
        <v>2370</v>
      </c>
      <c r="G16" s="3100"/>
      <c r="H16" s="3075"/>
      <c r="I16" s="3076"/>
      <c r="J16" s="3944"/>
      <c r="K16" s="3946"/>
      <c r="L16" s="3110" t="s">
        <v>2371</v>
      </c>
      <c r="M16" s="3111"/>
      <c r="N16" s="3111"/>
      <c r="O16" s="3112"/>
      <c r="P16" s="3113">
        <v>365</v>
      </c>
      <c r="Q16" s="3087"/>
      <c r="R16" s="3134">
        <f>ROUND(M16*N16*O16*P16/10000,0)</f>
        <v>0</v>
      </c>
      <c r="S16" s="3067"/>
      <c r="T16" s="3067"/>
      <c r="U16" s="3067"/>
      <c r="V16" s="3076"/>
    </row>
    <row r="17" spans="1:22" s="3080" customFormat="1" ht="13.2" customHeight="1" thickBot="1">
      <c r="A17" s="3137">
        <v>4</v>
      </c>
      <c r="B17" s="3952" t="s">
        <v>2372</v>
      </c>
      <c r="C17" s="3953"/>
      <c r="D17" s="3138">
        <f>ROUND(D6*E17,0)</f>
        <v>0</v>
      </c>
      <c r="E17" s="3139"/>
      <c r="F17" s="3140" t="s">
        <v>2373</v>
      </c>
      <c r="G17" s="3100"/>
      <c r="H17" s="3075"/>
      <c r="I17" s="3076"/>
      <c r="J17" s="3944"/>
      <c r="K17" s="3946"/>
      <c r="L17" s="3110" t="s">
        <v>2374</v>
      </c>
      <c r="M17" s="3111"/>
      <c r="N17" s="3111"/>
      <c r="O17" s="3112"/>
      <c r="P17" s="3113">
        <v>365</v>
      </c>
      <c r="Q17" s="3087"/>
      <c r="R17" s="3134">
        <f>ROUND(M17*N17*O17*P17/10000,0)</f>
        <v>0</v>
      </c>
      <c r="S17" s="3067"/>
      <c r="T17" s="3067"/>
      <c r="U17" s="3067"/>
      <c r="V17" s="3076"/>
    </row>
    <row r="18" spans="1:22" s="3080" customFormat="1" ht="13.2" customHeight="1" thickBot="1">
      <c r="A18" s="3103" t="s">
        <v>2375</v>
      </c>
      <c r="B18" s="3104"/>
      <c r="C18" s="3104"/>
      <c r="D18" s="3141">
        <f>ROUND(D6*E18,0)</f>
        <v>0</v>
      </c>
      <c r="E18" s="3142"/>
      <c r="F18" s="3143" t="s">
        <v>2376</v>
      </c>
      <c r="G18" s="3100"/>
      <c r="H18" s="3075"/>
      <c r="I18" s="3076"/>
      <c r="J18" s="3944"/>
      <c r="K18" s="3946"/>
      <c r="L18" s="3110" t="s">
        <v>2377</v>
      </c>
      <c r="M18" s="3111"/>
      <c r="N18" s="3111"/>
      <c r="O18" s="3112"/>
      <c r="P18" s="3113">
        <v>365</v>
      </c>
      <c r="Q18" s="3087"/>
      <c r="R18" s="3134">
        <f>ROUND(M18*N18*O18*P18/10000,0)</f>
        <v>0</v>
      </c>
      <c r="S18" s="3067"/>
      <c r="T18" s="3067"/>
      <c r="U18" s="3067"/>
      <c r="V18" s="3076"/>
    </row>
    <row r="19" spans="1:22" s="3080" customFormat="1" ht="13.2" customHeight="1" thickBot="1">
      <c r="A19" s="3144" t="s">
        <v>2378</v>
      </c>
      <c r="B19" s="3098"/>
      <c r="C19" s="3098"/>
      <c r="D19" s="3098"/>
      <c r="E19" s="3098"/>
      <c r="F19" s="3099"/>
      <c r="G19" s="3119"/>
      <c r="H19" s="3075"/>
      <c r="I19" s="3076"/>
      <c r="J19" s="3944"/>
      <c r="K19" s="3947"/>
      <c r="L19" s="3130" t="s">
        <v>2356</v>
      </c>
      <c r="M19" s="3131"/>
      <c r="N19" s="3131">
        <f>SUM(N16:N18)</f>
        <v>0</v>
      </c>
      <c r="O19" s="3132"/>
      <c r="P19" s="3145" t="s">
        <v>2444</v>
      </c>
      <c r="Q19" s="3112"/>
      <c r="R19" s="3146">
        <f>ROUND(IF(P19="按比例",R14*Q19,SUM(R16:R18)),0)</f>
        <v>0</v>
      </c>
      <c r="S19" s="3067"/>
      <c r="T19" s="3067"/>
      <c r="U19" s="3067"/>
      <c r="V19" s="3076"/>
    </row>
    <row r="20" spans="1:22" s="3080" customFormat="1" ht="13.2" customHeight="1">
      <c r="A20" s="3103"/>
      <c r="B20" s="3104"/>
      <c r="C20" s="3104"/>
      <c r="D20" s="3104"/>
      <c r="E20" s="3104"/>
      <c r="F20" s="3147"/>
      <c r="G20" s="3119"/>
      <c r="H20" s="3075"/>
      <c r="I20" s="3076"/>
      <c r="J20" s="3944">
        <v>3</v>
      </c>
      <c r="K20" s="3945" t="s">
        <v>2379</v>
      </c>
      <c r="L20" s="3110" t="s">
        <v>2380</v>
      </c>
      <c r="M20" s="3111" t="s">
        <v>2381</v>
      </c>
      <c r="N20" s="3148" t="s">
        <v>2382</v>
      </c>
      <c r="O20" s="3112" t="s">
        <v>2383</v>
      </c>
      <c r="P20" s="3113" t="s">
        <v>2384</v>
      </c>
      <c r="Q20" s="3087" t="s">
        <v>2385</v>
      </c>
      <c r="R20" s="3134" t="s">
        <v>2327</v>
      </c>
      <c r="S20" s="3149"/>
      <c r="T20" s="3149"/>
      <c r="U20" s="3149"/>
      <c r="V20" s="3076"/>
    </row>
    <row r="21" spans="1:22" s="3080" customFormat="1" ht="13.2" customHeight="1">
      <c r="A21" s="3103"/>
      <c r="B21" s="3104"/>
      <c r="C21" s="3150" t="s">
        <v>2386</v>
      </c>
      <c r="D21" s="3151" t="s">
        <v>2387</v>
      </c>
      <c r="E21" s="3152" t="s">
        <v>2388</v>
      </c>
      <c r="F21" s="3147"/>
      <c r="G21" s="3119"/>
      <c r="H21" s="3075"/>
      <c r="I21" s="3076"/>
      <c r="J21" s="3944"/>
      <c r="K21" s="3946"/>
      <c r="L21" s="3110" t="s">
        <v>2389</v>
      </c>
      <c r="M21" s="3111"/>
      <c r="N21" s="3111"/>
      <c r="O21" s="3112"/>
      <c r="P21" s="3113">
        <v>365</v>
      </c>
      <c r="Q21" s="3087"/>
      <c r="R21" s="3153">
        <f>ROUND(M21*N21*O21*P21/10000,0)</f>
        <v>0</v>
      </c>
      <c r="S21" s="3149"/>
      <c r="T21" s="3149"/>
      <c r="U21" s="3149"/>
      <c r="V21" s="3076"/>
    </row>
    <row r="22" spans="1:22" s="3080" customFormat="1" ht="13.2" customHeight="1">
      <c r="A22" s="3103"/>
      <c r="B22" s="3104"/>
      <c r="C22" s="3154" t="s">
        <v>2390</v>
      </c>
      <c r="D22" s="3155" t="s">
        <v>2391</v>
      </c>
      <c r="E22" s="3156" t="s">
        <v>2392</v>
      </c>
      <c r="F22" s="3147"/>
      <c r="G22" s="3157"/>
      <c r="H22" s="3075"/>
      <c r="I22" s="3076"/>
      <c r="J22" s="3944"/>
      <c r="K22" s="3946"/>
      <c r="L22" s="3110" t="s">
        <v>2393</v>
      </c>
      <c r="M22" s="3111"/>
      <c r="N22" s="3111"/>
      <c r="O22" s="3112"/>
      <c r="P22" s="3113">
        <v>365</v>
      </c>
      <c r="Q22" s="3087"/>
      <c r="R22" s="3153">
        <f>ROUND(M22*N22*O22*P22/10000,0)</f>
        <v>0</v>
      </c>
      <c r="S22" s="3149"/>
      <c r="T22" s="3149"/>
      <c r="U22" s="3149"/>
      <c r="V22" s="3076"/>
    </row>
    <row r="23" spans="1:22" s="3080" customFormat="1" ht="13.2" customHeight="1">
      <c r="A23" s="3158">
        <v>1</v>
      </c>
      <c r="B23" s="3159" t="s">
        <v>2394</v>
      </c>
      <c r="C23" s="3160">
        <f>D6</f>
        <v>0</v>
      </c>
      <c r="D23" s="3161">
        <f>C23*(1+D24)</f>
        <v>0</v>
      </c>
      <c r="E23" s="3162">
        <f>D23*(1+E24)</f>
        <v>0</v>
      </c>
      <c r="F23" s="3163"/>
      <c r="G23" s="3164"/>
      <c r="H23" s="3075"/>
      <c r="I23" s="3076"/>
      <c r="J23" s="3944"/>
      <c r="K23" s="3946"/>
      <c r="L23" s="3110" t="s">
        <v>2395</v>
      </c>
      <c r="M23" s="3111"/>
      <c r="N23" s="3111"/>
      <c r="O23" s="3112"/>
      <c r="P23" s="3113">
        <v>365</v>
      </c>
      <c r="Q23" s="3087"/>
      <c r="R23" s="3153">
        <f>ROUND(M23*N23*O23*P23/10000,0)</f>
        <v>0</v>
      </c>
      <c r="S23" s="3067"/>
      <c r="T23" s="3067"/>
      <c r="U23" s="3067"/>
      <c r="V23" s="3076"/>
    </row>
    <row r="24" spans="1:22" s="3080" customFormat="1" ht="13.2" customHeight="1">
      <c r="A24" s="3165"/>
      <c r="B24" s="3166" t="s">
        <v>2396</v>
      </c>
      <c r="C24" s="3167"/>
      <c r="D24" s="3168"/>
      <c r="E24" s="3169"/>
      <c r="F24" s="3170"/>
      <c r="G24" s="3164"/>
      <c r="H24" s="3075"/>
      <c r="I24" s="3076"/>
      <c r="J24" s="3944"/>
      <c r="K24" s="3947"/>
      <c r="L24" s="3130" t="s">
        <v>2356</v>
      </c>
      <c r="M24" s="3131">
        <f>SUM(M21:M23)</f>
        <v>0</v>
      </c>
      <c r="N24" s="3131"/>
      <c r="O24" s="3132"/>
      <c r="P24" s="3145" t="s">
        <v>2444</v>
      </c>
      <c r="Q24" s="3112"/>
      <c r="R24" s="3146">
        <f>ROUND(IF(P24="按比例",R14*Q24,SUM(R21:R23)),0)</f>
        <v>0</v>
      </c>
      <c r="S24" s="3067"/>
      <c r="T24" s="3067"/>
      <c r="U24" s="3067"/>
      <c r="V24" s="3076"/>
    </row>
    <row r="25" spans="1:22" s="3177" customFormat="1" ht="13.2" customHeight="1">
      <c r="A25" s="3165"/>
      <c r="B25" s="3166"/>
      <c r="C25" s="3167"/>
      <c r="D25" s="3168"/>
      <c r="E25" s="3169"/>
      <c r="F25" s="3170"/>
      <c r="G25" s="3157"/>
      <c r="H25" s="3075"/>
      <c r="I25" s="3076"/>
      <c r="J25" s="3171">
        <v>4</v>
      </c>
      <c r="K25" s="3172" t="s">
        <v>2397</v>
      </c>
      <c r="L25" s="3173"/>
      <c r="M25" s="3173"/>
      <c r="N25" s="3173"/>
      <c r="O25" s="3173"/>
      <c r="P25" s="3174"/>
      <c r="Q25" s="3175"/>
      <c r="R25" s="3146">
        <f>ROUND(R14*Q25,0)</f>
        <v>0</v>
      </c>
      <c r="S25" s="3067"/>
      <c r="T25" s="3067"/>
      <c r="U25" s="3067"/>
      <c r="V25" s="3176"/>
    </row>
    <row r="26" spans="1:22" s="3177" customFormat="1" ht="13.2" customHeight="1">
      <c r="A26" s="3158">
        <v>2</v>
      </c>
      <c r="B26" s="3159" t="s">
        <v>2398</v>
      </c>
      <c r="C26" s="3160">
        <f>D7</f>
        <v>0</v>
      </c>
      <c r="D26" s="3161">
        <f>D23*D27</f>
        <v>0</v>
      </c>
      <c r="E26" s="3162">
        <f>E23*E27</f>
        <v>0</v>
      </c>
      <c r="F26" s="3163"/>
      <c r="G26" s="3164"/>
      <c r="H26" s="3075"/>
      <c r="I26" s="3076"/>
      <c r="J26" s="3954">
        <v>5</v>
      </c>
      <c r="K26" s="3178" t="s">
        <v>2399</v>
      </c>
      <c r="L26" s="3179"/>
      <c r="M26" s="3180"/>
      <c r="N26" s="3181" t="s">
        <v>2400</v>
      </c>
      <c r="O26" s="3181" t="s">
        <v>2401</v>
      </c>
      <c r="P26" s="3182" t="s">
        <v>2402</v>
      </c>
      <c r="Q26" s="3182" t="s">
        <v>2403</v>
      </c>
      <c r="R26" s="3085" t="s">
        <v>2404</v>
      </c>
      <c r="S26" s="3183"/>
      <c r="T26" s="3183"/>
      <c r="U26" s="3183"/>
      <c r="V26" s="3176"/>
    </row>
    <row r="27" spans="1:22" s="3080" customFormat="1" ht="13.2" customHeight="1">
      <c r="A27" s="3165"/>
      <c r="B27" s="3166" t="s">
        <v>2405</v>
      </c>
      <c r="C27" s="3184" t="e">
        <f>E7</f>
        <v>#DIV/0!</v>
      </c>
      <c r="D27" s="3168"/>
      <c r="E27" s="3169"/>
      <c r="F27" s="3170"/>
      <c r="G27" s="3164"/>
      <c r="H27" s="3185"/>
      <c r="I27" s="3176"/>
      <c r="J27" s="3955"/>
      <c r="K27" s="3186"/>
      <c r="L27" s="3187"/>
      <c r="M27" s="3188"/>
      <c r="N27" s="3189"/>
      <c r="O27" s="3189"/>
      <c r="P27" s="3189"/>
      <c r="Q27" s="3190"/>
      <c r="R27" s="3146">
        <f>ROUND(O27*N27*P27*(1-Q27)/10000,0)</f>
        <v>0</v>
      </c>
      <c r="S27" s="3067"/>
      <c r="T27" s="3067"/>
      <c r="U27" s="3067"/>
      <c r="V27" s="3076"/>
    </row>
    <row r="28" spans="1:22" s="3177" customFormat="1" ht="13.2" customHeight="1" thickBot="1">
      <c r="A28" s="3165"/>
      <c r="B28" s="3166"/>
      <c r="C28" s="3184"/>
      <c r="D28" s="3168"/>
      <c r="E28" s="3169" t="s">
        <v>2406</v>
      </c>
      <c r="F28" s="3170"/>
      <c r="G28" s="3157"/>
      <c r="H28" s="3185"/>
      <c r="I28" s="3176"/>
      <c r="J28" s="3191">
        <v>6</v>
      </c>
      <c r="K28" s="3192" t="s">
        <v>2407</v>
      </c>
      <c r="L28" s="3193" t="s">
        <v>2408</v>
      </c>
      <c r="M28" s="3194"/>
      <c r="N28" s="3193" t="s">
        <v>2409</v>
      </c>
      <c r="O28" s="3195"/>
      <c r="P28" s="3193" t="s">
        <v>2410</v>
      </c>
      <c r="Q28" s="3196">
        <v>1.4999999999999999E-2</v>
      </c>
      <c r="R28" s="3197"/>
      <c r="S28" s="3149"/>
      <c r="T28" s="3149"/>
      <c r="U28" s="3149"/>
      <c r="V28" s="3176"/>
    </row>
    <row r="29" spans="1:22" s="3177" customFormat="1" ht="13.2" customHeight="1">
      <c r="A29" s="3158">
        <v>3</v>
      </c>
      <c r="B29" s="3159" t="s">
        <v>2411</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2" customHeight="1" thickBot="1">
      <c r="A30" s="3165"/>
      <c r="B30" s="3166" t="s">
        <v>2412</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2" customHeight="1">
      <c r="A31" s="3165"/>
      <c r="B31" s="3166"/>
      <c r="C31" s="3199"/>
      <c r="D31" s="3198"/>
      <c r="E31" s="3129"/>
      <c r="F31" s="3170"/>
      <c r="G31" s="3157"/>
      <c r="H31" s="3185"/>
      <c r="I31" s="3176"/>
      <c r="J31" s="3064" t="s">
        <v>2413</v>
      </c>
      <c r="K31" s="3065"/>
      <c r="L31" s="3065"/>
      <c r="M31" s="3065"/>
      <c r="N31" s="3065"/>
      <c r="O31" s="3065"/>
      <c r="P31" s="3065"/>
      <c r="Q31" s="3065"/>
      <c r="R31" s="3066"/>
      <c r="S31" s="3149"/>
      <c r="T31" s="3067"/>
      <c r="U31" s="3067"/>
      <c r="V31" s="3176"/>
    </row>
    <row r="32" spans="1:22" s="3177" customFormat="1" ht="13.2" customHeight="1">
      <c r="A32" s="3158">
        <v>4</v>
      </c>
      <c r="B32" s="3159" t="s">
        <v>2414</v>
      </c>
      <c r="C32" s="3160">
        <f>C23-C26-C29</f>
        <v>0</v>
      </c>
      <c r="D32" s="3161">
        <f>D23-D26-D29</f>
        <v>0</v>
      </c>
      <c r="E32" s="3162">
        <f>E23-E26-E29</f>
        <v>0</v>
      </c>
      <c r="F32" s="3163"/>
      <c r="G32" s="3157"/>
      <c r="H32" s="3075"/>
      <c r="I32" s="3076"/>
      <c r="J32" s="3937" t="s">
        <v>2415</v>
      </c>
      <c r="K32" s="3938"/>
      <c r="L32" s="3077" t="s">
        <v>2416</v>
      </c>
      <c r="M32" s="3077" t="s">
        <v>2305</v>
      </c>
      <c r="N32" s="3077" t="s">
        <v>2306</v>
      </c>
      <c r="O32" s="3077" t="s">
        <v>2307</v>
      </c>
      <c r="P32" s="3077" t="s">
        <v>2308</v>
      </c>
      <c r="Q32" s="3078" t="s">
        <v>2417</v>
      </c>
      <c r="R32" s="3200" t="s">
        <v>2418</v>
      </c>
      <c r="S32" s="3149"/>
      <c r="T32" s="3067"/>
      <c r="U32" s="3067"/>
      <c r="V32" s="3176"/>
    </row>
    <row r="33" spans="1:23" s="3080" customFormat="1" ht="13.2" customHeight="1">
      <c r="A33" s="3158"/>
      <c r="B33" s="3159"/>
      <c r="C33" s="3160"/>
      <c r="D33" s="3201"/>
      <c r="E33" s="3202"/>
      <c r="F33" s="3163"/>
      <c r="G33" s="3157"/>
      <c r="H33" s="3185"/>
      <c r="I33" s="3176"/>
      <c r="J33" s="3939" t="s">
        <v>2419</v>
      </c>
      <c r="K33" s="3940"/>
      <c r="L33" s="3083"/>
      <c r="M33" s="3083"/>
      <c r="N33" s="3083"/>
      <c r="O33" s="3083"/>
      <c r="P33" s="3083"/>
      <c r="Q33" s="3084"/>
      <c r="R33" s="3203">
        <f>SUM(L33:Q33)</f>
        <v>0</v>
      </c>
      <c r="S33" s="3149"/>
      <c r="T33" s="3067"/>
      <c r="U33" s="3067"/>
      <c r="V33" s="3076"/>
    </row>
    <row r="34" spans="1:23" s="3080" customFormat="1" ht="13.2" customHeight="1">
      <c r="A34" s="3158">
        <v>5</v>
      </c>
      <c r="B34" s="3159" t="s">
        <v>2420</v>
      </c>
      <c r="C34" s="3204"/>
      <c r="D34" s="3205"/>
      <c r="E34" s="3206"/>
      <c r="F34" s="3163"/>
      <c r="G34" s="3157"/>
      <c r="H34" s="3185"/>
      <c r="I34" s="3176"/>
      <c r="J34" s="3939" t="s">
        <v>2421</v>
      </c>
      <c r="K34" s="3940"/>
      <c r="L34" s="3088"/>
      <c r="M34" s="3088"/>
      <c r="N34" s="3088"/>
      <c r="O34" s="3088"/>
      <c r="P34" s="3088"/>
      <c r="Q34" s="3089"/>
      <c r="R34" s="3207">
        <f>SUM(L34:Q34)</f>
        <v>0</v>
      </c>
      <c r="S34" s="3149"/>
      <c r="T34" s="3067"/>
      <c r="U34" s="3067" t="e">
        <f>ROUND(R35*10000/365/R33,1)</f>
        <v>#DIV/0!</v>
      </c>
      <c r="V34" s="3076"/>
    </row>
    <row r="35" spans="1:23" s="3080" customFormat="1" ht="13.2" customHeight="1">
      <c r="A35" s="3158">
        <v>6</v>
      </c>
      <c r="B35" s="3159" t="s">
        <v>2422</v>
      </c>
      <c r="C35" s="3208"/>
      <c r="D35" s="3209"/>
      <c r="E35" s="3210"/>
      <c r="F35" s="3163"/>
      <c r="G35" s="3211"/>
      <c r="H35" s="3075"/>
      <c r="I35" s="3176"/>
      <c r="J35" s="3094" t="s">
        <v>2423</v>
      </c>
      <c r="K35" s="3095"/>
      <c r="L35" s="3095"/>
      <c r="M35" s="3096"/>
      <c r="N35" s="3096"/>
      <c r="O35" s="3096"/>
      <c r="P35" s="3096"/>
      <c r="Q35" s="3096"/>
      <c r="R35" s="3212">
        <f>R40+R41+R43</f>
        <v>0</v>
      </c>
      <c r="S35" s="3149"/>
      <c r="T35" s="3067" t="s">
        <v>2424</v>
      </c>
      <c r="U35" s="3067"/>
      <c r="V35" s="3076"/>
    </row>
    <row r="36" spans="1:23" s="3080" customFormat="1" ht="13.2" customHeight="1" thickBot="1">
      <c r="A36" s="3158">
        <v>7</v>
      </c>
      <c r="B36" s="3213" t="s">
        <v>2425</v>
      </c>
      <c r="C36" s="3214"/>
      <c r="D36" s="3215"/>
      <c r="E36" s="3216"/>
      <c r="F36" s="3217">
        <f>C36+D36+E36</f>
        <v>0</v>
      </c>
      <c r="G36" s="3157"/>
      <c r="H36" s="3075"/>
      <c r="I36" s="3076"/>
      <c r="J36" s="3944">
        <v>1</v>
      </c>
      <c r="K36" s="3945" t="s">
        <v>2426</v>
      </c>
      <c r="L36" s="3101"/>
      <c r="M36" s="3102"/>
      <c r="N36" s="3102"/>
      <c r="O36" s="3102"/>
      <c r="P36" s="3102"/>
      <c r="Q36" s="3102"/>
      <c r="R36" s="3085" t="s">
        <v>2327</v>
      </c>
      <c r="S36" s="3149"/>
      <c r="T36" s="3067" t="s">
        <v>2328</v>
      </c>
      <c r="U36" s="3067"/>
      <c r="V36" s="3076"/>
    </row>
    <row r="37" spans="1:23" s="3080" customFormat="1" ht="13.2" customHeight="1">
      <c r="A37" s="3158"/>
      <c r="B37" s="3159"/>
      <c r="C37" s="3159"/>
      <c r="D37" s="3159"/>
      <c r="E37" s="3159"/>
      <c r="F37" s="3163"/>
      <c r="G37" s="3157"/>
      <c r="H37" s="3075"/>
      <c r="I37" s="3076"/>
      <c r="J37" s="3944"/>
      <c r="K37" s="3946"/>
      <c r="L37" s="3110"/>
      <c r="M37" s="3111"/>
      <c r="N37" s="3087"/>
      <c r="O37" s="3112"/>
      <c r="P37" s="3112"/>
      <c r="Q37" s="3113"/>
      <c r="R37" s="3114"/>
      <c r="S37" s="3149"/>
      <c r="T37" s="3067" t="s">
        <v>2331</v>
      </c>
      <c r="U37" s="3067"/>
      <c r="V37" s="3076"/>
    </row>
    <row r="38" spans="1:23" s="3080" customFormat="1" ht="13.2" customHeight="1">
      <c r="A38" s="3158">
        <v>8</v>
      </c>
      <c r="B38" s="3159"/>
      <c r="C38" s="3116" t="e">
        <f>ROUND(C32*(1-((1+C35)/(1+C34))^C36)/(C34-C35),0)</f>
        <v>#DIV/0!</v>
      </c>
      <c r="D38" s="3116">
        <f>IF(D23=0,0,ROUND(D32*(1-((1+D35)/(1+D34))^D36)/(D34-D35),0))</f>
        <v>0</v>
      </c>
      <c r="E38" s="3116">
        <f>IF(E23=0,0,ROUND(E32*(1-((1+E35)/(1+E34))^E36)/(E34-E35),0))</f>
        <v>0</v>
      </c>
      <c r="F38" s="3163"/>
      <c r="G38" s="3157"/>
      <c r="H38" s="3075"/>
      <c r="I38" s="3076"/>
      <c r="J38" s="3944"/>
      <c r="K38" s="3946"/>
      <c r="L38" s="3110"/>
      <c r="M38" s="3111"/>
      <c r="N38" s="3087"/>
      <c r="O38" s="3112"/>
      <c r="P38" s="3112"/>
      <c r="Q38" s="3113"/>
      <c r="R38" s="3114"/>
      <c r="S38" s="3149"/>
      <c r="T38" s="3067" t="s">
        <v>2338</v>
      </c>
      <c r="U38" s="3067"/>
      <c r="V38" s="3076"/>
    </row>
    <row r="39" spans="1:23" s="3080" customFormat="1" ht="13.2" customHeight="1">
      <c r="A39" s="3158">
        <v>9</v>
      </c>
      <c r="B39" s="3159" t="s">
        <v>2427</v>
      </c>
      <c r="C39" s="3124" t="e">
        <f>C38</f>
        <v>#DIV/0!</v>
      </c>
      <c r="D39" s="3159">
        <f>D38/(1+D34)^C36</f>
        <v>0</v>
      </c>
      <c r="E39" s="3159">
        <f>E38/(1+E34)^(C36+D36)</f>
        <v>0</v>
      </c>
      <c r="F39" s="3163"/>
      <c r="G39" s="3218"/>
      <c r="H39" s="3075"/>
      <c r="I39" s="3076"/>
      <c r="J39" s="3944"/>
      <c r="K39" s="3946"/>
      <c r="L39" s="3110"/>
      <c r="M39" s="3111"/>
      <c r="N39" s="3087"/>
      <c r="O39" s="3112"/>
      <c r="P39" s="3112"/>
      <c r="Q39" s="3113"/>
      <c r="R39" s="3114"/>
      <c r="S39" s="3149"/>
      <c r="T39" s="3067"/>
      <c r="U39" s="3067"/>
      <c r="V39" s="3076"/>
    </row>
    <row r="40" spans="1:23" s="3080" customFormat="1" ht="13.2" customHeight="1">
      <c r="A40" s="3219">
        <v>10</v>
      </c>
      <c r="B40" s="3159" t="s">
        <v>2428</v>
      </c>
      <c r="C40" s="3220" t="e">
        <f>C39+D39+E39</f>
        <v>#DIV/0!</v>
      </c>
      <c r="D40" s="3221"/>
      <c r="E40" s="3221"/>
      <c r="F40" s="3222"/>
      <c r="G40" s="3157"/>
      <c r="H40" s="3075"/>
      <c r="I40" s="3076"/>
      <c r="J40" s="3944"/>
      <c r="K40" s="3947"/>
      <c r="L40" s="3130" t="s">
        <v>2429</v>
      </c>
      <c r="M40" s="3131"/>
      <c r="N40" s="3131"/>
      <c r="O40" s="3132"/>
      <c r="P40" s="3132"/>
      <c r="Q40" s="3133"/>
      <c r="R40" s="3079">
        <f>SUM(R37:R39)</f>
        <v>0</v>
      </c>
      <c r="S40" s="3149"/>
      <c r="T40" s="3067"/>
      <c r="U40" s="3067"/>
      <c r="V40" s="3076"/>
    </row>
    <row r="41" spans="1:23" s="3080" customFormat="1" ht="13.2" customHeight="1" thickBot="1">
      <c r="A41" s="3223">
        <v>11</v>
      </c>
      <c r="B41" s="3224" t="s">
        <v>2430</v>
      </c>
      <c r="C41" s="3224" t="e">
        <f>ROUND(C40*10000/B4,0)</f>
        <v>#DIV/0!</v>
      </c>
      <c r="D41" s="3225"/>
      <c r="E41" s="3225"/>
      <c r="F41" s="3226"/>
      <c r="G41" s="3227"/>
      <c r="H41" s="3075"/>
      <c r="I41" s="3076"/>
      <c r="J41" s="3171">
        <v>2</v>
      </c>
      <c r="K41" s="3172" t="s">
        <v>2431</v>
      </c>
      <c r="L41" s="3173"/>
      <c r="M41" s="3173"/>
      <c r="N41" s="3173"/>
      <c r="O41" s="3173"/>
      <c r="P41" s="3174"/>
      <c r="Q41" s="3175"/>
      <c r="R41" s="3146">
        <f>ROUND(R40*Q41,0)</f>
        <v>0</v>
      </c>
      <c r="S41" s="3149"/>
      <c r="T41" s="3067"/>
      <c r="U41" s="3183"/>
      <c r="V41" s="3076"/>
    </row>
    <row r="42" spans="1:23" s="3080" customFormat="1" ht="13.2" customHeight="1">
      <c r="G42" s="3227"/>
      <c r="H42" s="3075"/>
      <c r="I42" s="3076"/>
      <c r="J42" s="3954">
        <v>3</v>
      </c>
      <c r="K42" s="3178" t="s">
        <v>2432</v>
      </c>
      <c r="L42" s="3179"/>
      <c r="M42" s="3180"/>
      <c r="N42" s="3181" t="s">
        <v>2433</v>
      </c>
      <c r="O42" s="3181" t="s">
        <v>2434</v>
      </c>
      <c r="P42" s="3182" t="s">
        <v>2435</v>
      </c>
      <c r="Q42" s="3182" t="s">
        <v>2436</v>
      </c>
      <c r="R42" s="3085" t="s">
        <v>2437</v>
      </c>
      <c r="S42" s="3183"/>
      <c r="T42" s="3183"/>
      <c r="U42" s="3067"/>
      <c r="V42" s="3076"/>
    </row>
    <row r="43" spans="1:23" ht="13.2" customHeight="1">
      <c r="A43" s="3080"/>
      <c r="B43" s="3080"/>
      <c r="C43" s="3080"/>
      <c r="D43" s="3080"/>
      <c r="E43" s="3080"/>
      <c r="F43" s="3080"/>
      <c r="I43" s="3062"/>
      <c r="J43" s="3955"/>
      <c r="K43" s="3186"/>
      <c r="L43" s="3187"/>
      <c r="M43" s="3188"/>
      <c r="N43" s="3111"/>
      <c r="O43" s="3111"/>
      <c r="P43" s="3111"/>
      <c r="Q43" s="3175"/>
      <c r="R43" s="3146">
        <f>ROUND(O43*N43*P43*(1-Q43)/10000,0)</f>
        <v>0</v>
      </c>
      <c r="S43" s="3149"/>
      <c r="T43" s="3067"/>
      <c r="V43" s="3229"/>
      <c r="W43" s="3230"/>
    </row>
    <row r="44" spans="1:23" ht="13.2" customHeight="1" thickBot="1">
      <c r="J44" s="3191">
        <v>6</v>
      </c>
      <c r="K44" s="3192" t="s">
        <v>2438</v>
      </c>
      <c r="L44" s="3231" t="s">
        <v>2439</v>
      </c>
      <c r="M44" s="3194"/>
      <c r="N44" s="3231" t="s">
        <v>2440</v>
      </c>
      <c r="O44" s="3194"/>
      <c r="P44" s="3231" t="s">
        <v>2441</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0</v>
      </c>
      <c r="C2" s="3009"/>
      <c r="D2" s="3009"/>
      <c r="E2" s="3009"/>
      <c r="F2" s="3009"/>
      <c r="G2" s="3009"/>
    </row>
    <row r="3" spans="1:25" s="1783" customFormat="1" ht="18" customHeight="1">
      <c r="A3" s="1237" t="s">
        <v>1218</v>
      </c>
      <c r="B3" s="412">
        <f ca="1">ROUND(B2*10000/'数据-汇总表'!E3,0)</f>
        <v>0</v>
      </c>
      <c r="C3" s="3009"/>
      <c r="D3" s="3009"/>
      <c r="E3" s="3009"/>
      <c r="F3" s="3009"/>
      <c r="G3" s="3009"/>
    </row>
    <row r="4" spans="1:25" s="1783" customFormat="1" ht="18" customHeight="1">
      <c r="A4" s="413" t="s">
        <v>428</v>
      </c>
      <c r="B4" s="414">
        <f ca="1">ROUND(B2*10000/'数据-汇总表'!D3,0)</f>
        <v>0</v>
      </c>
      <c r="C4" s="2963"/>
      <c r="D4" s="3009"/>
      <c r="E4" s="3009"/>
      <c r="F4" s="3009"/>
      <c r="G4" s="3009"/>
    </row>
    <row r="5" spans="1:25" s="1783" customFormat="1" ht="18" customHeight="1" thickBot="1">
      <c r="A5" s="416"/>
      <c r="B5" s="417">
        <f ca="1">ROUND(B2/('数据-汇总表'!D3/666.67),0)</f>
        <v>0</v>
      </c>
      <c r="C5" s="418" t="s">
        <v>429</v>
      </c>
      <c r="D5" s="3009"/>
      <c r="E5" s="3009"/>
      <c r="F5" s="3009"/>
      <c r="G5" s="3009"/>
    </row>
    <row r="6" spans="1:25" s="1905" customFormat="1" ht="13.5" customHeight="1">
      <c r="A6" s="711"/>
      <c r="B6" s="712" t="s">
        <v>552</v>
      </c>
      <c r="C6" s="713" t="s">
        <v>553</v>
      </c>
      <c r="D6" s="713" t="s">
        <v>554</v>
      </c>
      <c r="E6" s="714" t="s">
        <v>555</v>
      </c>
      <c r="F6" s="714" t="s">
        <v>556</v>
      </c>
      <c r="G6" s="3008"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2">
        <f>ROUND(D8*E8/10000,0)</f>
        <v>0</v>
      </c>
      <c r="D8" s="3012">
        <v>0</v>
      </c>
      <c r="E8" s="3013">
        <v>0</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72</v>
      </c>
      <c r="D13" s="3012">
        <f>'数据-汇总表'!E6</f>
        <v>3611.7</v>
      </c>
      <c r="E13" s="3012">
        <f>'数据-取费表'!B28</f>
        <v>200</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0.72099999999999997</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857" t="s">
        <v>471</v>
      </c>
      <c r="D4" s="3858"/>
      <c r="E4" s="3859" t="s">
        <v>472</v>
      </c>
      <c r="F4" s="3860"/>
      <c r="G4" s="3857" t="s">
        <v>473</v>
      </c>
      <c r="H4" s="3858"/>
      <c r="I4" s="3857" t="s">
        <v>474</v>
      </c>
      <c r="J4" s="3858"/>
      <c r="K4" s="818" t="s">
        <v>475</v>
      </c>
      <c r="L4" s="1856"/>
      <c r="M4" s="1857"/>
      <c r="N4" s="1857"/>
      <c r="O4" s="1857"/>
      <c r="P4" s="3861" t="s">
        <v>476</v>
      </c>
      <c r="Q4" s="3862"/>
      <c r="R4" s="3843" t="s">
        <v>472</v>
      </c>
      <c r="S4" s="3844"/>
      <c r="T4" s="3843" t="s">
        <v>473</v>
      </c>
      <c r="U4" s="3844"/>
      <c r="V4" s="3869" t="s">
        <v>474</v>
      </c>
      <c r="W4" s="3869"/>
      <c r="X4" s="1380"/>
      <c r="Y4" s="3843" t="s">
        <v>476</v>
      </c>
      <c r="Z4" s="3844"/>
      <c r="AA4" s="3854" t="s">
        <v>472</v>
      </c>
      <c r="AB4" s="3854" t="s">
        <v>473</v>
      </c>
      <c r="AC4" s="3854" t="s">
        <v>474</v>
      </c>
    </row>
    <row r="5" spans="1:29">
      <c r="A5" s="485"/>
      <c r="B5" s="486"/>
      <c r="C5" s="3847" t="s">
        <v>2192</v>
      </c>
      <c r="D5" s="3848"/>
      <c r="E5" s="3870" t="s">
        <v>2193</v>
      </c>
      <c r="F5" s="3871"/>
      <c r="G5" s="3847" t="s">
        <v>2194</v>
      </c>
      <c r="H5" s="3848"/>
      <c r="I5" s="3847" t="s">
        <v>2195</v>
      </c>
      <c r="J5" s="3848"/>
      <c r="K5" s="819"/>
      <c r="L5" s="1856"/>
      <c r="M5" s="1857"/>
      <c r="N5" s="1857"/>
      <c r="O5" s="1857"/>
      <c r="P5" s="3863"/>
      <c r="Q5" s="3864"/>
      <c r="R5" s="3845"/>
      <c r="S5" s="3846"/>
      <c r="T5" s="3845"/>
      <c r="U5" s="3846"/>
      <c r="V5" s="3869"/>
      <c r="W5" s="3869"/>
      <c r="X5" s="1380"/>
      <c r="Y5" s="3845"/>
      <c r="Z5" s="3846"/>
      <c r="AA5" s="3855"/>
      <c r="AB5" s="3855"/>
      <c r="AC5" s="3855"/>
    </row>
    <row r="6" spans="1:29" ht="15" thickBot="1">
      <c r="A6" s="487"/>
      <c r="B6" s="488"/>
      <c r="C6" s="3849" t="s">
        <v>2196</v>
      </c>
      <c r="D6" s="3850"/>
      <c r="E6" s="3852" t="s">
        <v>2196</v>
      </c>
      <c r="F6" s="3853"/>
      <c r="G6" s="3849" t="s">
        <v>2196</v>
      </c>
      <c r="H6" s="3850"/>
      <c r="I6" s="3849" t="s">
        <v>2196</v>
      </c>
      <c r="J6" s="3850"/>
      <c r="K6" s="819" t="s">
        <v>477</v>
      </c>
      <c r="L6" s="1856"/>
      <c r="M6" s="1857"/>
      <c r="N6" s="1857"/>
      <c r="O6" s="1857"/>
      <c r="P6" s="3865"/>
      <c r="Q6" s="3866"/>
      <c r="R6" s="3845"/>
      <c r="S6" s="3846"/>
      <c r="T6" s="3867"/>
      <c r="U6" s="3868"/>
      <c r="V6" s="3869"/>
      <c r="W6" s="3869"/>
      <c r="X6" s="1380"/>
      <c r="Y6" s="3867"/>
      <c r="Z6" s="3868"/>
      <c r="AA6" s="3856"/>
      <c r="AB6" s="3856"/>
      <c r="AC6" s="3856"/>
    </row>
    <row r="7" spans="1:29" s="1118" customFormat="1" ht="15" thickBot="1">
      <c r="A7" s="2392"/>
      <c r="B7" s="2399" t="s">
        <v>478</v>
      </c>
      <c r="C7" s="489">
        <f>'数据-取费表'!B2</f>
        <v>44986</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41" t="s">
        <v>479</v>
      </c>
      <c r="Q7" s="3851"/>
      <c r="R7" s="1381" t="s">
        <v>10</v>
      </c>
      <c r="S7" s="1382">
        <f t="shared" ref="S7:S15" si="0">F7</f>
        <v>0</v>
      </c>
      <c r="T7" s="1381" t="s">
        <v>10</v>
      </c>
      <c r="U7" s="1382">
        <f t="shared" ref="U7:U15" si="1">H7</f>
        <v>0</v>
      </c>
      <c r="V7" s="1381" t="s">
        <v>10</v>
      </c>
      <c r="W7" s="1382">
        <f t="shared" ref="W7:W15" si="2">J7</f>
        <v>0</v>
      </c>
      <c r="X7" s="1383"/>
      <c r="Y7" s="3841" t="s">
        <v>479</v>
      </c>
      <c r="Z7" s="3842"/>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41" t="s">
        <v>482</v>
      </c>
      <c r="Q8" s="3842"/>
      <c r="R8" s="1381" t="s">
        <v>10</v>
      </c>
      <c r="S8" s="1382">
        <f t="shared" si="0"/>
        <v>0</v>
      </c>
      <c r="T8" s="1381" t="s">
        <v>10</v>
      </c>
      <c r="U8" s="1382">
        <f t="shared" si="1"/>
        <v>0</v>
      </c>
      <c r="V8" s="1381" t="s">
        <v>10</v>
      </c>
      <c r="W8" s="1382">
        <f t="shared" si="2"/>
        <v>0</v>
      </c>
      <c r="X8" s="1383"/>
      <c r="Y8" s="3841" t="s">
        <v>482</v>
      </c>
      <c r="Z8" s="3842"/>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76" t="s">
        <v>484</v>
      </c>
      <c r="Q9" s="1050" t="str">
        <f t="shared" ref="Q9:Q15" si="6">B9</f>
        <v>用途</v>
      </c>
      <c r="R9" s="1381" t="s">
        <v>5</v>
      </c>
      <c r="S9" s="1382">
        <f t="shared" si="0"/>
        <v>100</v>
      </c>
      <c r="T9" s="1381" t="s">
        <v>5</v>
      </c>
      <c r="U9" s="1382">
        <f t="shared" si="1"/>
        <v>100</v>
      </c>
      <c r="V9" s="1381" t="s">
        <v>5</v>
      </c>
      <c r="W9" s="1382">
        <f t="shared" si="2"/>
        <v>100</v>
      </c>
      <c r="X9" s="1383"/>
      <c r="Y9" s="379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7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76"/>
      <c r="Q11" s="1050" t="str">
        <f t="shared" si="6"/>
        <v>容积率</v>
      </c>
      <c r="R11" s="1381" t="s">
        <v>8</v>
      </c>
      <c r="S11" s="1382" t="e">
        <f t="shared" si="0"/>
        <v>#N/A</v>
      </c>
      <c r="T11" s="1381" t="s">
        <v>8</v>
      </c>
      <c r="U11" s="1382" t="e">
        <f t="shared" si="1"/>
        <v>#N/A</v>
      </c>
      <c r="V11" s="1381" t="s">
        <v>8</v>
      </c>
      <c r="W11" s="1382" t="e">
        <f t="shared" si="2"/>
        <v>#N/A</v>
      </c>
      <c r="X11" s="1383"/>
      <c r="Y11" s="379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76"/>
      <c r="Q12" s="1050">
        <f t="shared" si="6"/>
        <v>111</v>
      </c>
      <c r="R12" s="1381" t="s">
        <v>8</v>
      </c>
      <c r="S12" s="1382">
        <f t="shared" si="0"/>
        <v>100</v>
      </c>
      <c r="T12" s="1381" t="s">
        <v>8</v>
      </c>
      <c r="U12" s="1382">
        <f t="shared" si="1"/>
        <v>100</v>
      </c>
      <c r="V12" s="1381" t="s">
        <v>8</v>
      </c>
      <c r="W12" s="1382">
        <f t="shared" si="2"/>
        <v>100</v>
      </c>
      <c r="X12" s="1383"/>
      <c r="Y12" s="379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76"/>
      <c r="Q13" s="1050">
        <f t="shared" si="6"/>
        <v>111</v>
      </c>
      <c r="R13" s="1381" t="s">
        <v>8</v>
      </c>
      <c r="S13" s="1382">
        <f t="shared" si="0"/>
        <v>100</v>
      </c>
      <c r="T13" s="1381" t="s">
        <v>8</v>
      </c>
      <c r="U13" s="1382">
        <f t="shared" si="1"/>
        <v>100</v>
      </c>
      <c r="V13" s="1381" t="s">
        <v>8</v>
      </c>
      <c r="W13" s="1382">
        <f t="shared" si="2"/>
        <v>100</v>
      </c>
      <c r="X13" s="1383"/>
      <c r="Y13" s="3790"/>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76"/>
      <c r="Q14" s="1050">
        <f t="shared" si="6"/>
        <v>111</v>
      </c>
      <c r="R14" s="1381" t="s">
        <v>8</v>
      </c>
      <c r="S14" s="1382">
        <f t="shared" si="0"/>
        <v>100</v>
      </c>
      <c r="T14" s="1381" t="s">
        <v>8</v>
      </c>
      <c r="U14" s="1382">
        <f t="shared" si="1"/>
        <v>100</v>
      </c>
      <c r="V14" s="1381" t="s">
        <v>8</v>
      </c>
      <c r="W14" s="1382">
        <f t="shared" si="2"/>
        <v>100</v>
      </c>
      <c r="X14" s="1383"/>
      <c r="Y14" s="3790"/>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2" t="s">
        <v>489</v>
      </c>
      <c r="Q15" s="1385" t="str">
        <f t="shared" si="6"/>
        <v>居住社区成熟度</v>
      </c>
      <c r="R15" s="1386" t="s">
        <v>8</v>
      </c>
      <c r="S15" s="1387">
        <f t="shared" si="0"/>
        <v>100</v>
      </c>
      <c r="T15" s="1386" t="s">
        <v>8</v>
      </c>
      <c r="U15" s="1387">
        <f t="shared" si="1"/>
        <v>100</v>
      </c>
      <c r="V15" s="1386" t="s">
        <v>8</v>
      </c>
      <c r="W15" s="1387">
        <f t="shared" si="2"/>
        <v>100</v>
      </c>
      <c r="X15" s="1380"/>
      <c r="Y15" s="387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3"/>
      <c r="Q16" s="1385"/>
      <c r="R16" s="1386"/>
      <c r="S16" s="1387"/>
      <c r="T16" s="1386"/>
      <c r="U16" s="1387"/>
      <c r="V16" s="1386"/>
      <c r="W16" s="1387"/>
      <c r="X16" s="1380"/>
      <c r="Y16" s="3873"/>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3"/>
      <c r="Q17" s="1385" t="str">
        <f>B17</f>
        <v>交通便捷度</v>
      </c>
      <c r="R17" s="1386" t="s">
        <v>8</v>
      </c>
      <c r="S17" s="1387">
        <f>F17</f>
        <v>100</v>
      </c>
      <c r="T17" s="1386" t="s">
        <v>8</v>
      </c>
      <c r="U17" s="1387">
        <f>H17</f>
        <v>100</v>
      </c>
      <c r="V17" s="1386" t="s">
        <v>8</v>
      </c>
      <c r="W17" s="1387">
        <f>J17</f>
        <v>100</v>
      </c>
      <c r="X17" s="1380"/>
      <c r="Y17" s="387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3"/>
      <c r="Q18" s="1385"/>
      <c r="R18" s="1386"/>
      <c r="S18" s="1387"/>
      <c r="T18" s="1386"/>
      <c r="U18" s="1387"/>
      <c r="V18" s="1386"/>
      <c r="W18" s="1387"/>
      <c r="X18" s="1380"/>
      <c r="Y18" s="3873"/>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3"/>
      <c r="Q19" s="1385" t="str">
        <f>B19</f>
        <v>公共配套设施</v>
      </c>
      <c r="R19" s="1386" t="s">
        <v>8</v>
      </c>
      <c r="S19" s="1387">
        <f>F19</f>
        <v>100</v>
      </c>
      <c r="T19" s="1386" t="s">
        <v>8</v>
      </c>
      <c r="U19" s="1387">
        <f>H19</f>
        <v>100</v>
      </c>
      <c r="V19" s="1386" t="s">
        <v>8</v>
      </c>
      <c r="W19" s="1387">
        <f>J19</f>
        <v>100</v>
      </c>
      <c r="X19" s="1380"/>
      <c r="Y19" s="387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3"/>
      <c r="Q20" s="1385"/>
      <c r="R20" s="1386"/>
      <c r="S20" s="1387"/>
      <c r="T20" s="1386"/>
      <c r="U20" s="1387"/>
      <c r="V20" s="1386"/>
      <c r="W20" s="1387"/>
      <c r="X20" s="1380"/>
      <c r="Y20" s="3873"/>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3"/>
      <c r="Q21" s="2193" t="str">
        <f>B21</f>
        <v>基础设施水平</v>
      </c>
      <c r="R21" s="1386" t="s">
        <v>8</v>
      </c>
      <c r="S21" s="1387">
        <f>F21</f>
        <v>100</v>
      </c>
      <c r="T21" s="1386" t="s">
        <v>8</v>
      </c>
      <c r="U21" s="1387">
        <f>H21</f>
        <v>100</v>
      </c>
      <c r="V21" s="1386" t="s">
        <v>8</v>
      </c>
      <c r="W21" s="1387">
        <f>J21</f>
        <v>100</v>
      </c>
      <c r="X21" s="2195"/>
      <c r="Y21" s="387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3"/>
      <c r="Q22" s="2193"/>
      <c r="R22" s="1386"/>
      <c r="S22" s="1387"/>
      <c r="T22" s="1386"/>
      <c r="U22" s="1387"/>
      <c r="V22" s="1386"/>
      <c r="W22" s="1387"/>
      <c r="X22" s="2195"/>
      <c r="Y22" s="3873"/>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3"/>
      <c r="Q23" s="1385" t="str">
        <f>B23</f>
        <v>自然及人文环境</v>
      </c>
      <c r="R23" s="1386" t="s">
        <v>8</v>
      </c>
      <c r="S23" s="1387">
        <f>F23</f>
        <v>100</v>
      </c>
      <c r="T23" s="1386" t="s">
        <v>8</v>
      </c>
      <c r="U23" s="1387">
        <f>H23</f>
        <v>100</v>
      </c>
      <c r="V23" s="1386" t="s">
        <v>8</v>
      </c>
      <c r="W23" s="1387">
        <f>J23</f>
        <v>100</v>
      </c>
      <c r="X23" s="1380"/>
      <c r="Y23" s="387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3"/>
      <c r="Q24" s="1385"/>
      <c r="R24" s="1386"/>
      <c r="S24" s="1387"/>
      <c r="T24" s="1386"/>
      <c r="U24" s="1387"/>
      <c r="V24" s="1386"/>
      <c r="W24" s="1387"/>
      <c r="X24" s="1380"/>
      <c r="Y24" s="3873"/>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3"/>
      <c r="Q25" s="1385" t="str">
        <f t="shared" ref="Q25:Q46" si="8">B25</f>
        <v>楼层-1</v>
      </c>
      <c r="R25" s="1386" t="s">
        <v>8</v>
      </c>
      <c r="S25" s="1387">
        <f>F25</f>
        <v>100</v>
      </c>
      <c r="T25" s="1386" t="s">
        <v>8</v>
      </c>
      <c r="U25" s="1387">
        <f>H25</f>
        <v>100</v>
      </c>
      <c r="V25" s="1386" t="s">
        <v>8</v>
      </c>
      <c r="W25" s="1387">
        <f>J25</f>
        <v>100</v>
      </c>
      <c r="X25" s="1380"/>
      <c r="Y25" s="387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3"/>
      <c r="Q26" s="1385" t="str">
        <f t="shared" si="8"/>
        <v>朝向</v>
      </c>
      <c r="R26" s="1386" t="s">
        <v>8</v>
      </c>
      <c r="S26" s="1387">
        <f>F26</f>
        <v>100</v>
      </c>
      <c r="T26" s="1386" t="s">
        <v>8</v>
      </c>
      <c r="U26" s="1387">
        <f>H26</f>
        <v>100</v>
      </c>
      <c r="V26" s="1386" t="s">
        <v>8</v>
      </c>
      <c r="W26" s="1387">
        <f>J26</f>
        <v>100</v>
      </c>
      <c r="X26" s="1380"/>
      <c r="Y26" s="387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3"/>
      <c r="Q27" s="1050" t="str">
        <f t="shared" si="8"/>
        <v>道路级别</v>
      </c>
      <c r="R27" s="1381" t="s">
        <v>8</v>
      </c>
      <c r="S27" s="1382">
        <f>F27</f>
        <v>100</v>
      </c>
      <c r="T27" s="1381" t="s">
        <v>8</v>
      </c>
      <c r="U27" s="1382">
        <f>H27</f>
        <v>100</v>
      </c>
      <c r="V27" s="1381" t="s">
        <v>8</v>
      </c>
      <c r="W27" s="1382">
        <f>J27</f>
        <v>100</v>
      </c>
      <c r="X27" s="1383"/>
      <c r="Y27" s="387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3"/>
      <c r="Q28" s="1385">
        <f t="shared" si="8"/>
        <v>111</v>
      </c>
      <c r="R28" s="1386" t="s">
        <v>8</v>
      </c>
      <c r="S28" s="1387">
        <f t="shared" ref="S28:S46" si="9">F28</f>
        <v>100</v>
      </c>
      <c r="T28" s="1386" t="s">
        <v>8</v>
      </c>
      <c r="U28" s="1387">
        <f t="shared" ref="U28:U46" si="10">H28</f>
        <v>100</v>
      </c>
      <c r="V28" s="1386" t="s">
        <v>8</v>
      </c>
      <c r="W28" s="1387">
        <f t="shared" ref="W28:W46" si="11">J28</f>
        <v>100</v>
      </c>
      <c r="X28" s="1380"/>
      <c r="Y28" s="387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3"/>
      <c r="Q29" s="1385">
        <f t="shared" si="8"/>
        <v>111</v>
      </c>
      <c r="R29" s="1386" t="s">
        <v>8</v>
      </c>
      <c r="S29" s="1387">
        <f t="shared" si="9"/>
        <v>100</v>
      </c>
      <c r="T29" s="1386" t="s">
        <v>8</v>
      </c>
      <c r="U29" s="1387">
        <f t="shared" si="10"/>
        <v>100</v>
      </c>
      <c r="V29" s="1386" t="s">
        <v>8</v>
      </c>
      <c r="W29" s="1387">
        <f t="shared" si="11"/>
        <v>100</v>
      </c>
      <c r="X29" s="1380"/>
      <c r="Y29" s="387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3"/>
      <c r="Q30" s="1385">
        <f t="shared" si="8"/>
        <v>111</v>
      </c>
      <c r="R30" s="1386" t="s">
        <v>8</v>
      </c>
      <c r="S30" s="1387">
        <f t="shared" si="9"/>
        <v>100</v>
      </c>
      <c r="T30" s="1386" t="s">
        <v>8</v>
      </c>
      <c r="U30" s="1387">
        <f t="shared" si="10"/>
        <v>100</v>
      </c>
      <c r="V30" s="1386" t="s">
        <v>8</v>
      </c>
      <c r="W30" s="1387">
        <f t="shared" si="11"/>
        <v>100</v>
      </c>
      <c r="X30" s="1380"/>
      <c r="Y30" s="3873"/>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3"/>
      <c r="Q31" s="1385">
        <f t="shared" si="8"/>
        <v>111</v>
      </c>
      <c r="R31" s="1386" t="s">
        <v>8</v>
      </c>
      <c r="S31" s="1387">
        <f t="shared" si="9"/>
        <v>100</v>
      </c>
      <c r="T31" s="1386" t="s">
        <v>8</v>
      </c>
      <c r="U31" s="1387">
        <f t="shared" si="10"/>
        <v>100</v>
      </c>
      <c r="V31" s="1386" t="s">
        <v>8</v>
      </c>
      <c r="W31" s="1387">
        <f t="shared" si="11"/>
        <v>100</v>
      </c>
      <c r="X31" s="1380"/>
      <c r="Y31" s="3873"/>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4" t="s">
        <v>499</v>
      </c>
      <c r="Q32" s="1385" t="str">
        <f t="shared" si="8"/>
        <v>建筑类型</v>
      </c>
      <c r="R32" s="1386" t="s">
        <v>8</v>
      </c>
      <c r="S32" s="1387">
        <f t="shared" si="9"/>
        <v>100</v>
      </c>
      <c r="T32" s="1386" t="s">
        <v>8</v>
      </c>
      <c r="U32" s="1387">
        <f t="shared" si="10"/>
        <v>100</v>
      </c>
      <c r="V32" s="1386" t="s">
        <v>8</v>
      </c>
      <c r="W32" s="1387">
        <f t="shared" si="11"/>
        <v>100</v>
      </c>
      <c r="X32" s="1380"/>
      <c r="Y32" s="387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5"/>
      <c r="Q33" s="1414" t="str">
        <f t="shared" si="8"/>
        <v>项目建筑规模</v>
      </c>
      <c r="R33" s="1390" t="s">
        <v>8</v>
      </c>
      <c r="S33" s="1391" t="e">
        <f t="shared" si="9"/>
        <v>#N/A</v>
      </c>
      <c r="T33" s="1390" t="s">
        <v>8</v>
      </c>
      <c r="U33" s="1391" t="e">
        <f t="shared" si="10"/>
        <v>#N/A</v>
      </c>
      <c r="V33" s="1390" t="s">
        <v>8</v>
      </c>
      <c r="W33" s="1391" t="e">
        <f t="shared" si="11"/>
        <v>#N/A</v>
      </c>
      <c r="X33" s="1392"/>
      <c r="Y33" s="387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5"/>
      <c r="Q34" s="1385" t="str">
        <f t="shared" si="8"/>
        <v>建筑结构</v>
      </c>
      <c r="R34" s="1386" t="s">
        <v>8</v>
      </c>
      <c r="S34" s="1387">
        <f t="shared" si="9"/>
        <v>100</v>
      </c>
      <c r="T34" s="1386" t="s">
        <v>8</v>
      </c>
      <c r="U34" s="1387">
        <f t="shared" si="10"/>
        <v>100</v>
      </c>
      <c r="V34" s="1386" t="s">
        <v>8</v>
      </c>
      <c r="W34" s="1387">
        <f t="shared" si="11"/>
        <v>100</v>
      </c>
      <c r="X34" s="1380"/>
      <c r="Y34" s="387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5"/>
      <c r="Q35" s="1385" t="str">
        <f t="shared" si="8"/>
        <v>建筑品质</v>
      </c>
      <c r="R35" s="1386" t="s">
        <v>8</v>
      </c>
      <c r="S35" s="1387">
        <f t="shared" si="9"/>
        <v>100</v>
      </c>
      <c r="T35" s="1386" t="s">
        <v>8</v>
      </c>
      <c r="U35" s="1387">
        <f t="shared" si="10"/>
        <v>100</v>
      </c>
      <c r="V35" s="1386" t="s">
        <v>8</v>
      </c>
      <c r="W35" s="1387">
        <f t="shared" si="11"/>
        <v>100</v>
      </c>
      <c r="X35" s="1380"/>
      <c r="Y35" s="387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5"/>
      <c r="Q36" s="1385" t="str">
        <f t="shared" si="8"/>
        <v>公共部分装修</v>
      </c>
      <c r="R36" s="1386" t="s">
        <v>8</v>
      </c>
      <c r="S36" s="1387">
        <f t="shared" si="9"/>
        <v>100</v>
      </c>
      <c r="T36" s="1386" t="s">
        <v>8</v>
      </c>
      <c r="U36" s="1387">
        <f t="shared" si="10"/>
        <v>100</v>
      </c>
      <c r="V36" s="1386" t="s">
        <v>8</v>
      </c>
      <c r="W36" s="1387">
        <f t="shared" si="11"/>
        <v>100</v>
      </c>
      <c r="X36" s="1380"/>
      <c r="Y36" s="387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5"/>
      <c r="Q37" s="1050" t="str">
        <f t="shared" si="8"/>
        <v>成新度</v>
      </c>
      <c r="R37" s="1381" t="s">
        <v>8</v>
      </c>
      <c r="S37" s="1382" t="e">
        <f t="shared" si="9"/>
        <v>#N/A</v>
      </c>
      <c r="T37" s="1381" t="s">
        <v>8</v>
      </c>
      <c r="U37" s="1382" t="e">
        <f t="shared" si="10"/>
        <v>#N/A</v>
      </c>
      <c r="V37" s="1381" t="s">
        <v>8</v>
      </c>
      <c r="W37" s="1382" t="e">
        <f t="shared" si="11"/>
        <v>#N/A</v>
      </c>
      <c r="X37" s="1383"/>
      <c r="Y37" s="387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5" t="s">
        <v>499</v>
      </c>
      <c r="Q38" s="1385" t="str">
        <f t="shared" si="8"/>
        <v>物业管理</v>
      </c>
      <c r="R38" s="1386" t="s">
        <v>8</v>
      </c>
      <c r="S38" s="1387">
        <f t="shared" si="9"/>
        <v>100</v>
      </c>
      <c r="T38" s="1386" t="s">
        <v>8</v>
      </c>
      <c r="U38" s="1387">
        <f t="shared" si="10"/>
        <v>100</v>
      </c>
      <c r="V38" s="1386" t="s">
        <v>8</v>
      </c>
      <c r="W38" s="1387">
        <f t="shared" si="11"/>
        <v>100</v>
      </c>
      <c r="X38" s="1380"/>
      <c r="Y38" s="3875"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5"/>
      <c r="Q39" s="1385" t="str">
        <f t="shared" si="8"/>
        <v>市政基础设施</v>
      </c>
      <c r="R39" s="1386" t="s">
        <v>8</v>
      </c>
      <c r="S39" s="1387">
        <f t="shared" si="9"/>
        <v>100</v>
      </c>
      <c r="T39" s="1386" t="s">
        <v>8</v>
      </c>
      <c r="U39" s="1387">
        <f t="shared" si="10"/>
        <v>100</v>
      </c>
      <c r="V39" s="1386" t="s">
        <v>8</v>
      </c>
      <c r="W39" s="1387">
        <f t="shared" si="11"/>
        <v>100</v>
      </c>
      <c r="X39" s="1380"/>
      <c r="Y39" s="387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5"/>
      <c r="Q40" s="1385" t="str">
        <f t="shared" si="8"/>
        <v>房型</v>
      </c>
      <c r="R40" s="1386" t="s">
        <v>8</v>
      </c>
      <c r="S40" s="1387">
        <f t="shared" si="9"/>
        <v>100</v>
      </c>
      <c r="T40" s="1386" t="s">
        <v>8</v>
      </c>
      <c r="U40" s="1387">
        <f t="shared" si="10"/>
        <v>100</v>
      </c>
      <c r="V40" s="1386" t="s">
        <v>8</v>
      </c>
      <c r="W40" s="1387">
        <f t="shared" si="11"/>
        <v>100</v>
      </c>
      <c r="X40" s="1380"/>
      <c r="Y40" s="3875"/>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5"/>
      <c r="Q41" s="1414" t="str">
        <f t="shared" si="8"/>
        <v>单套/主力户型建筑面积</v>
      </c>
      <c r="R41" s="1390" t="s">
        <v>8</v>
      </c>
      <c r="S41" s="1391">
        <f t="shared" si="9"/>
        <v>100</v>
      </c>
      <c r="T41" s="1390" t="s">
        <v>8</v>
      </c>
      <c r="U41" s="1391">
        <f t="shared" si="10"/>
        <v>100</v>
      </c>
      <c r="V41" s="1390" t="s">
        <v>8</v>
      </c>
      <c r="W41" s="1391">
        <f t="shared" si="11"/>
        <v>100</v>
      </c>
      <c r="X41" s="1392"/>
      <c r="Y41" s="387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5"/>
      <c r="Q42" s="1385" t="str">
        <f t="shared" si="8"/>
        <v>内部装修</v>
      </c>
      <c r="R42" s="1386" t="s">
        <v>8</v>
      </c>
      <c r="S42" s="1387">
        <f t="shared" si="9"/>
        <v>100</v>
      </c>
      <c r="T42" s="1386" t="s">
        <v>8</v>
      </c>
      <c r="U42" s="1387">
        <f t="shared" si="10"/>
        <v>100</v>
      </c>
      <c r="V42" s="1386" t="s">
        <v>8</v>
      </c>
      <c r="W42" s="1387">
        <f t="shared" si="11"/>
        <v>100</v>
      </c>
      <c r="X42" s="1380"/>
      <c r="Y42" s="3875"/>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5"/>
      <c r="Q43" s="1385" t="str">
        <f t="shared" si="8"/>
        <v>内部装修维护情况</v>
      </c>
      <c r="R43" s="1386" t="s">
        <v>8</v>
      </c>
      <c r="S43" s="1387">
        <f t="shared" si="9"/>
        <v>100</v>
      </c>
      <c r="T43" s="1386" t="s">
        <v>8</v>
      </c>
      <c r="U43" s="1387">
        <f t="shared" si="10"/>
        <v>100</v>
      </c>
      <c r="V43" s="1386" t="s">
        <v>8</v>
      </c>
      <c r="W43" s="1387">
        <f t="shared" si="11"/>
        <v>100</v>
      </c>
      <c r="X43" s="1380"/>
      <c r="Y43" s="387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5"/>
      <c r="Q44" s="1050">
        <f t="shared" si="8"/>
        <v>111</v>
      </c>
      <c r="R44" s="1381" t="s">
        <v>8</v>
      </c>
      <c r="S44" s="1382">
        <f t="shared" si="9"/>
        <v>100</v>
      </c>
      <c r="T44" s="1381" t="s">
        <v>8</v>
      </c>
      <c r="U44" s="1382">
        <f t="shared" si="10"/>
        <v>100</v>
      </c>
      <c r="V44" s="1381" t="s">
        <v>8</v>
      </c>
      <c r="W44" s="1382">
        <f t="shared" si="11"/>
        <v>100</v>
      </c>
      <c r="X44" s="1383"/>
      <c r="Y44" s="387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5"/>
      <c r="Q45" s="1385">
        <f t="shared" si="8"/>
        <v>111</v>
      </c>
      <c r="R45" s="1386" t="s">
        <v>8</v>
      </c>
      <c r="S45" s="1387">
        <f t="shared" si="9"/>
        <v>100</v>
      </c>
      <c r="T45" s="1386" t="s">
        <v>8</v>
      </c>
      <c r="U45" s="1387">
        <f t="shared" si="10"/>
        <v>100</v>
      </c>
      <c r="V45" s="1386" t="s">
        <v>8</v>
      </c>
      <c r="W45" s="1387">
        <f t="shared" si="11"/>
        <v>100</v>
      </c>
      <c r="X45" s="1380"/>
      <c r="Y45" s="3875"/>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58"/>
      <c r="Q46" s="1385">
        <f t="shared" si="8"/>
        <v>111</v>
      </c>
      <c r="R46" s="1386" t="s">
        <v>7</v>
      </c>
      <c r="S46" s="1387">
        <f t="shared" si="9"/>
        <v>100</v>
      </c>
      <c r="T46" s="1386" t="s">
        <v>7</v>
      </c>
      <c r="U46" s="1387">
        <f t="shared" si="10"/>
        <v>100</v>
      </c>
      <c r="V46" s="1386" t="s">
        <v>7</v>
      </c>
      <c r="W46" s="1387">
        <f t="shared" si="11"/>
        <v>100</v>
      </c>
      <c r="X46" s="1380"/>
      <c r="Y46" s="3958"/>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76" t="str">
        <f>A47</f>
        <v>成交单价（元/平方米）</v>
      </c>
      <c r="Q47" s="3876"/>
      <c r="R47" s="3957">
        <f>E47</f>
        <v>0</v>
      </c>
      <c r="S47" s="3957"/>
      <c r="T47" s="3957">
        <f>G47</f>
        <v>0</v>
      </c>
      <c r="U47" s="3957"/>
      <c r="V47" s="3957">
        <f>I47</f>
        <v>0</v>
      </c>
      <c r="W47" s="3957"/>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76" t="str">
        <f>A48</f>
        <v>比较价格（元/平方米）</v>
      </c>
      <c r="Q48" s="3876"/>
      <c r="R48" s="3957" t="e">
        <f>IF(F1="售价",ROUND(PRODUCT(R47,AA7:AA46),0),ROUND(PRODUCT(R47,AA7:AA46),1))</f>
        <v>#DIV/0!</v>
      </c>
      <c r="S48" s="3957"/>
      <c r="T48" s="3957" t="e">
        <f>IF(F1="售价",ROUND(PRODUCT(T47,AB7:AB46),0),ROUND(PRODUCT(T47,AB7:AB46),1))</f>
        <v>#DIV/0!</v>
      </c>
      <c r="U48" s="3957"/>
      <c r="V48" s="3957" t="e">
        <f>IF(F1="售价",ROUND(PRODUCT(V47,AC7:AC46),0),ROUND(PRODUCT(V47,AC7:AC46),1))</f>
        <v>#DIV/0!</v>
      </c>
      <c r="W48" s="3957"/>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881" t="str">
        <f>A49</f>
        <v>估价对象XX用房的比较价格（楼面单价，元/平方米）</v>
      </c>
      <c r="Q49" s="3882"/>
      <c r="R49" s="3956" t="e">
        <f>IF(F1="售价",ROUND(IF(D48="简单平均",AVERAGE(R48:V48),R48*F48+T48*H48+V48*J48),0),ROUND(IF(D48="简单平均",AVERAGE(R48:V48),R48*F48+T48*H48+V48*J48),1))</f>
        <v>#DIV/0!</v>
      </c>
      <c r="S49" s="3956"/>
      <c r="T49" s="3956"/>
      <c r="U49" s="3956"/>
      <c r="V49" s="3956"/>
      <c r="W49" s="3956"/>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857" t="s">
        <v>471</v>
      </c>
      <c r="D4" s="3858"/>
      <c r="E4" s="3859" t="s">
        <v>472</v>
      </c>
      <c r="F4" s="3860"/>
      <c r="G4" s="3857" t="s">
        <v>473</v>
      </c>
      <c r="H4" s="3858"/>
      <c r="I4" s="3857" t="s">
        <v>474</v>
      </c>
      <c r="J4" s="3858"/>
      <c r="K4" s="484" t="s">
        <v>475</v>
      </c>
      <c r="L4" s="1856"/>
      <c r="M4" s="1857"/>
      <c r="N4" s="1857"/>
      <c r="O4" s="1857"/>
      <c r="P4" s="3861" t="s">
        <v>476</v>
      </c>
      <c r="Q4" s="3862"/>
      <c r="R4" s="3843" t="s">
        <v>472</v>
      </c>
      <c r="S4" s="3844"/>
      <c r="T4" s="3843" t="s">
        <v>473</v>
      </c>
      <c r="U4" s="3844"/>
      <c r="V4" s="3869" t="s">
        <v>474</v>
      </c>
      <c r="W4" s="3869"/>
      <c r="X4" s="1380"/>
      <c r="Y4" s="3843" t="s">
        <v>476</v>
      </c>
      <c r="Z4" s="3844"/>
      <c r="AA4" s="3854" t="s">
        <v>472</v>
      </c>
      <c r="AB4" s="3869" t="s">
        <v>473</v>
      </c>
      <c r="AC4" s="3854" t="s">
        <v>474</v>
      </c>
    </row>
    <row r="5" spans="1:29">
      <c r="A5" s="485"/>
      <c r="B5" s="486"/>
      <c r="C5" s="3847" t="s">
        <v>2192</v>
      </c>
      <c r="D5" s="3848"/>
      <c r="E5" s="3870" t="s">
        <v>2193</v>
      </c>
      <c r="F5" s="3871"/>
      <c r="G5" s="3847" t="s">
        <v>2194</v>
      </c>
      <c r="H5" s="3848"/>
      <c r="I5" s="3847" t="s">
        <v>2195</v>
      </c>
      <c r="J5" s="3848"/>
      <c r="K5" s="484"/>
      <c r="L5" s="1856"/>
      <c r="M5" s="1857"/>
      <c r="N5" s="1857"/>
      <c r="O5" s="1857"/>
      <c r="P5" s="3863"/>
      <c r="Q5" s="3864"/>
      <c r="R5" s="3845"/>
      <c r="S5" s="3846"/>
      <c r="T5" s="3845"/>
      <c r="U5" s="3846"/>
      <c r="V5" s="3869"/>
      <c r="W5" s="3869"/>
      <c r="X5" s="1380"/>
      <c r="Y5" s="3845"/>
      <c r="Z5" s="3846"/>
      <c r="AA5" s="3855"/>
      <c r="AB5" s="3869"/>
      <c r="AC5" s="3855"/>
    </row>
    <row r="6" spans="1:29" ht="15" thickBot="1">
      <c r="A6" s="487"/>
      <c r="B6" s="488"/>
      <c r="C6" s="3849" t="s">
        <v>2196</v>
      </c>
      <c r="D6" s="3850"/>
      <c r="E6" s="3852" t="s">
        <v>2196</v>
      </c>
      <c r="F6" s="3853"/>
      <c r="G6" s="3849" t="s">
        <v>2196</v>
      </c>
      <c r="H6" s="3850"/>
      <c r="I6" s="3849" t="s">
        <v>2196</v>
      </c>
      <c r="J6" s="3850"/>
      <c r="K6" s="484" t="s">
        <v>477</v>
      </c>
      <c r="L6" s="1856"/>
      <c r="M6" s="1857"/>
      <c r="N6" s="1857"/>
      <c r="O6" s="1857"/>
      <c r="P6" s="3865"/>
      <c r="Q6" s="3866"/>
      <c r="R6" s="3845"/>
      <c r="S6" s="3846"/>
      <c r="T6" s="3867"/>
      <c r="U6" s="3868"/>
      <c r="V6" s="3869"/>
      <c r="W6" s="3869"/>
      <c r="X6" s="1380"/>
      <c r="Y6" s="3867"/>
      <c r="Z6" s="3868"/>
      <c r="AA6" s="3856"/>
      <c r="AB6" s="3869"/>
      <c r="AC6" s="3856"/>
    </row>
    <row r="7" spans="1:29" s="1118" customFormat="1" ht="15" thickBot="1">
      <c r="A7" s="2392"/>
      <c r="B7" s="2399" t="s">
        <v>478</v>
      </c>
      <c r="C7" s="489">
        <f>'数据-取费表'!B2</f>
        <v>44986</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41" t="s">
        <v>479</v>
      </c>
      <c r="Q7" s="3851"/>
      <c r="R7" s="1381" t="s">
        <v>5</v>
      </c>
      <c r="S7" s="1382">
        <f t="shared" ref="S7:S15" si="0">F7</f>
        <v>0</v>
      </c>
      <c r="T7" s="1381" t="s">
        <v>5</v>
      </c>
      <c r="U7" s="1382">
        <f t="shared" ref="U7:U15" si="1">H7</f>
        <v>0</v>
      </c>
      <c r="V7" s="1381" t="s">
        <v>5</v>
      </c>
      <c r="W7" s="1382">
        <f t="shared" ref="W7:W15" si="2">J7</f>
        <v>0</v>
      </c>
      <c r="X7" s="1383"/>
      <c r="Y7" s="3841" t="s">
        <v>479</v>
      </c>
      <c r="Z7" s="3842"/>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41" t="s">
        <v>482</v>
      </c>
      <c r="Q8" s="3842"/>
      <c r="R8" s="1381" t="s">
        <v>5</v>
      </c>
      <c r="S8" s="1382">
        <f t="shared" si="0"/>
        <v>0</v>
      </c>
      <c r="T8" s="1381" t="s">
        <v>5</v>
      </c>
      <c r="U8" s="1382">
        <f t="shared" si="1"/>
        <v>0</v>
      </c>
      <c r="V8" s="1381" t="s">
        <v>5</v>
      </c>
      <c r="W8" s="1382">
        <f t="shared" si="2"/>
        <v>0</v>
      </c>
      <c r="X8" s="1383"/>
      <c r="Y8" s="3841" t="s">
        <v>482</v>
      </c>
      <c r="Z8" s="3842"/>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76" t="s">
        <v>484</v>
      </c>
      <c r="Q9" s="1050" t="str">
        <f t="shared" ref="Q9:Q15" si="6">B9</f>
        <v>用途</v>
      </c>
      <c r="R9" s="1381" t="s">
        <v>5</v>
      </c>
      <c r="S9" s="1382">
        <f t="shared" si="0"/>
        <v>100</v>
      </c>
      <c r="T9" s="1381" t="s">
        <v>5</v>
      </c>
      <c r="U9" s="1382">
        <f t="shared" si="1"/>
        <v>100</v>
      </c>
      <c r="V9" s="1381" t="s">
        <v>5</v>
      </c>
      <c r="W9" s="1382">
        <f t="shared" si="2"/>
        <v>100</v>
      </c>
      <c r="X9" s="1383"/>
      <c r="Y9" s="379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7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76"/>
      <c r="Q11" s="1050" t="str">
        <f t="shared" si="6"/>
        <v>容积率</v>
      </c>
      <c r="R11" s="1381" t="s">
        <v>5</v>
      </c>
      <c r="S11" s="1382" t="e">
        <f t="shared" si="0"/>
        <v>#N/A</v>
      </c>
      <c r="T11" s="1381" t="s">
        <v>5</v>
      </c>
      <c r="U11" s="1382" t="e">
        <f t="shared" si="1"/>
        <v>#N/A</v>
      </c>
      <c r="V11" s="1381" t="s">
        <v>5</v>
      </c>
      <c r="W11" s="1382" t="e">
        <f t="shared" si="2"/>
        <v>#N/A</v>
      </c>
      <c r="X11" s="1383"/>
      <c r="Y11" s="379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76"/>
      <c r="Q12" s="1050">
        <f t="shared" si="6"/>
        <v>111</v>
      </c>
      <c r="R12" s="1381" t="s">
        <v>5</v>
      </c>
      <c r="S12" s="1382">
        <f t="shared" si="0"/>
        <v>100</v>
      </c>
      <c r="T12" s="1381" t="s">
        <v>5</v>
      </c>
      <c r="U12" s="1382">
        <f t="shared" si="1"/>
        <v>100</v>
      </c>
      <c r="V12" s="1381" t="s">
        <v>5</v>
      </c>
      <c r="W12" s="1382">
        <f t="shared" si="2"/>
        <v>100</v>
      </c>
      <c r="X12" s="1383"/>
      <c r="Y12" s="379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76"/>
      <c r="Q13" s="1050">
        <f t="shared" si="6"/>
        <v>111</v>
      </c>
      <c r="R13" s="1381" t="s">
        <v>5</v>
      </c>
      <c r="S13" s="1382">
        <f t="shared" si="0"/>
        <v>100</v>
      </c>
      <c r="T13" s="1381" t="s">
        <v>5</v>
      </c>
      <c r="U13" s="1382">
        <f t="shared" si="1"/>
        <v>100</v>
      </c>
      <c r="V13" s="1381" t="s">
        <v>5</v>
      </c>
      <c r="W13" s="1382">
        <f t="shared" si="2"/>
        <v>100</v>
      </c>
      <c r="X13" s="1383"/>
      <c r="Y13" s="3790"/>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76"/>
      <c r="Q14" s="1050">
        <f t="shared" si="6"/>
        <v>111</v>
      </c>
      <c r="R14" s="1381" t="s">
        <v>5</v>
      </c>
      <c r="S14" s="1382">
        <f t="shared" si="0"/>
        <v>100</v>
      </c>
      <c r="T14" s="1381" t="s">
        <v>5</v>
      </c>
      <c r="U14" s="1382">
        <f t="shared" si="1"/>
        <v>100</v>
      </c>
      <c r="V14" s="1381" t="s">
        <v>5</v>
      </c>
      <c r="W14" s="1382">
        <f t="shared" si="2"/>
        <v>100</v>
      </c>
      <c r="X14" s="1383"/>
      <c r="Y14" s="3790"/>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2" t="s">
        <v>489</v>
      </c>
      <c r="Q15" s="1385" t="str">
        <f t="shared" si="6"/>
        <v>商业繁华度</v>
      </c>
      <c r="R15" s="1386" t="s">
        <v>5</v>
      </c>
      <c r="S15" s="1387">
        <f t="shared" si="0"/>
        <v>100</v>
      </c>
      <c r="T15" s="1386" t="s">
        <v>5</v>
      </c>
      <c r="U15" s="1387">
        <f t="shared" si="1"/>
        <v>100</v>
      </c>
      <c r="V15" s="1386" t="s">
        <v>5</v>
      </c>
      <c r="W15" s="1387">
        <f t="shared" si="2"/>
        <v>100</v>
      </c>
      <c r="X15" s="1380"/>
      <c r="Y15" s="387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3"/>
      <c r="Q16" s="1385"/>
      <c r="R16" s="1386"/>
      <c r="S16" s="1387"/>
      <c r="T16" s="1386"/>
      <c r="U16" s="1387"/>
      <c r="V16" s="1386"/>
      <c r="W16" s="1387"/>
      <c r="X16" s="1380"/>
      <c r="Y16" s="3873"/>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3"/>
      <c r="Q17" s="1385" t="str">
        <f>B17</f>
        <v>交通便捷度</v>
      </c>
      <c r="R17" s="1386" t="s">
        <v>5</v>
      </c>
      <c r="S17" s="1387">
        <f>F17</f>
        <v>100</v>
      </c>
      <c r="T17" s="1386" t="s">
        <v>5</v>
      </c>
      <c r="U17" s="1387">
        <f>H17</f>
        <v>100</v>
      </c>
      <c r="V17" s="1386" t="s">
        <v>5</v>
      </c>
      <c r="W17" s="1387">
        <f>J17</f>
        <v>100</v>
      </c>
      <c r="X17" s="1380"/>
      <c r="Y17" s="387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3"/>
      <c r="Q18" s="1385"/>
      <c r="R18" s="1386"/>
      <c r="S18" s="1387"/>
      <c r="T18" s="1386"/>
      <c r="U18" s="1387"/>
      <c r="V18" s="1386"/>
      <c r="W18" s="1387"/>
      <c r="X18" s="1380"/>
      <c r="Y18" s="3873"/>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3"/>
      <c r="Q19" s="1385" t="str">
        <f>B19</f>
        <v>公共配套设施</v>
      </c>
      <c r="R19" s="1386" t="s">
        <v>5</v>
      </c>
      <c r="S19" s="1387">
        <f>F19</f>
        <v>100</v>
      </c>
      <c r="T19" s="1386" t="s">
        <v>5</v>
      </c>
      <c r="U19" s="1387">
        <f>H19</f>
        <v>100</v>
      </c>
      <c r="V19" s="1386" t="s">
        <v>5</v>
      </c>
      <c r="W19" s="1387">
        <f>J19</f>
        <v>100</v>
      </c>
      <c r="X19" s="1380"/>
      <c r="Y19" s="387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3"/>
      <c r="Q20" s="1385"/>
      <c r="R20" s="1386"/>
      <c r="S20" s="1387"/>
      <c r="T20" s="1386"/>
      <c r="U20" s="1387"/>
      <c r="V20" s="1386"/>
      <c r="W20" s="1387"/>
      <c r="X20" s="1380"/>
      <c r="Y20" s="3873"/>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3"/>
      <c r="Q21" s="2193" t="str">
        <f>B21</f>
        <v>基础设施水平</v>
      </c>
      <c r="R21" s="1386" t="s">
        <v>5</v>
      </c>
      <c r="S21" s="1387">
        <f>F21</f>
        <v>100</v>
      </c>
      <c r="T21" s="1386" t="s">
        <v>5</v>
      </c>
      <c r="U21" s="1387">
        <f>H21</f>
        <v>100</v>
      </c>
      <c r="V21" s="1386" t="s">
        <v>5</v>
      </c>
      <c r="W21" s="1387">
        <f>J21</f>
        <v>100</v>
      </c>
      <c r="X21" s="2195"/>
      <c r="Y21" s="387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3"/>
      <c r="Q22" s="2193"/>
      <c r="R22" s="1386"/>
      <c r="S22" s="1387"/>
      <c r="T22" s="1386"/>
      <c r="U22" s="1387"/>
      <c r="V22" s="1386"/>
      <c r="W22" s="1387"/>
      <c r="X22" s="2195"/>
      <c r="Y22" s="3873"/>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3"/>
      <c r="Q23" s="1385" t="str">
        <f>B23</f>
        <v>自然及人文环境</v>
      </c>
      <c r="R23" s="1386" t="s">
        <v>5</v>
      </c>
      <c r="S23" s="1387">
        <f>F23</f>
        <v>100</v>
      </c>
      <c r="T23" s="1386" t="s">
        <v>5</v>
      </c>
      <c r="U23" s="1387">
        <f>H23</f>
        <v>100</v>
      </c>
      <c r="V23" s="1386" t="s">
        <v>5</v>
      </c>
      <c r="W23" s="1387">
        <f>J23</f>
        <v>100</v>
      </c>
      <c r="X23" s="1380"/>
      <c r="Y23" s="387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3"/>
      <c r="Q24" s="1385"/>
      <c r="R24" s="1386"/>
      <c r="S24" s="1387"/>
      <c r="T24" s="1386"/>
      <c r="U24" s="1387"/>
      <c r="V24" s="1386"/>
      <c r="W24" s="1387"/>
      <c r="X24" s="1380"/>
      <c r="Y24" s="387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3"/>
      <c r="Q25" s="1385" t="str">
        <f t="shared" ref="Q25:Q46" si="8">B25</f>
        <v>临街状况</v>
      </c>
      <c r="R25" s="1386" t="s">
        <v>5</v>
      </c>
      <c r="S25" s="1387">
        <f>F25</f>
        <v>100</v>
      </c>
      <c r="T25" s="1386" t="s">
        <v>5</v>
      </c>
      <c r="U25" s="1387">
        <f>H25</f>
        <v>100</v>
      </c>
      <c r="V25" s="1386" t="s">
        <v>5</v>
      </c>
      <c r="W25" s="1387">
        <f>J25</f>
        <v>100</v>
      </c>
      <c r="X25" s="1380"/>
      <c r="Y25" s="387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3"/>
      <c r="Q26" s="1385" t="str">
        <f t="shared" si="8"/>
        <v>平面位置/可视性</v>
      </c>
      <c r="R26" s="1386" t="s">
        <v>5</v>
      </c>
      <c r="S26" s="1387">
        <f>F26</f>
        <v>100</v>
      </c>
      <c r="T26" s="1386" t="s">
        <v>5</v>
      </c>
      <c r="U26" s="1387">
        <f>H26</f>
        <v>100</v>
      </c>
      <c r="V26" s="1386" t="s">
        <v>5</v>
      </c>
      <c r="W26" s="1387">
        <f>J26</f>
        <v>100</v>
      </c>
      <c r="X26" s="1380"/>
      <c r="Y26" s="387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3"/>
      <c r="Q27" s="1050" t="str">
        <f t="shared" si="8"/>
        <v>人流量</v>
      </c>
      <c r="R27" s="1381" t="s">
        <v>5</v>
      </c>
      <c r="S27" s="1382">
        <f>F27</f>
        <v>100</v>
      </c>
      <c r="T27" s="1381" t="s">
        <v>5</v>
      </c>
      <c r="U27" s="1382">
        <f>H27</f>
        <v>100</v>
      </c>
      <c r="V27" s="1381" t="s">
        <v>5</v>
      </c>
      <c r="W27" s="1382">
        <f>J27</f>
        <v>100</v>
      </c>
      <c r="X27" s="1383"/>
      <c r="Y27" s="387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3"/>
      <c r="Q29" s="1385">
        <f t="shared" si="8"/>
        <v>111</v>
      </c>
      <c r="R29" s="1386" t="s">
        <v>5</v>
      </c>
      <c r="S29" s="1387">
        <f t="shared" si="9"/>
        <v>100</v>
      </c>
      <c r="T29" s="1386" t="s">
        <v>5</v>
      </c>
      <c r="U29" s="1387">
        <f t="shared" si="10"/>
        <v>100</v>
      </c>
      <c r="V29" s="1386" t="s">
        <v>5</v>
      </c>
      <c r="W29" s="1387">
        <f t="shared" si="11"/>
        <v>100</v>
      </c>
      <c r="X29" s="1380"/>
      <c r="Y29" s="387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3"/>
      <c r="Q30" s="1385">
        <f t="shared" si="8"/>
        <v>111</v>
      </c>
      <c r="R30" s="1386" t="s">
        <v>5</v>
      </c>
      <c r="S30" s="1387">
        <f t="shared" si="9"/>
        <v>100</v>
      </c>
      <c r="T30" s="1386" t="s">
        <v>5</v>
      </c>
      <c r="U30" s="1387">
        <f t="shared" si="10"/>
        <v>100</v>
      </c>
      <c r="V30" s="1386" t="s">
        <v>5</v>
      </c>
      <c r="W30" s="1387">
        <f t="shared" si="11"/>
        <v>100</v>
      </c>
      <c r="X30" s="1380"/>
      <c r="Y30" s="3873"/>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3"/>
      <c r="Q31" s="1385">
        <f t="shared" si="8"/>
        <v>111</v>
      </c>
      <c r="R31" s="1386" t="s">
        <v>5</v>
      </c>
      <c r="S31" s="1387">
        <f t="shared" si="9"/>
        <v>100</v>
      </c>
      <c r="T31" s="1386" t="s">
        <v>5</v>
      </c>
      <c r="U31" s="1387">
        <f t="shared" si="10"/>
        <v>100</v>
      </c>
      <c r="V31" s="1386" t="s">
        <v>5</v>
      </c>
      <c r="W31" s="1387">
        <f t="shared" si="11"/>
        <v>100</v>
      </c>
      <c r="X31" s="1380"/>
      <c r="Y31" s="3873"/>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4" t="s">
        <v>499</v>
      </c>
      <c r="Q32" s="1385" t="str">
        <f t="shared" si="8"/>
        <v>商业类型</v>
      </c>
      <c r="R32" s="1386" t="s">
        <v>5</v>
      </c>
      <c r="S32" s="1387">
        <f t="shared" si="9"/>
        <v>100</v>
      </c>
      <c r="T32" s="1386" t="s">
        <v>5</v>
      </c>
      <c r="U32" s="1387">
        <f t="shared" si="10"/>
        <v>100</v>
      </c>
      <c r="V32" s="1386" t="s">
        <v>5</v>
      </c>
      <c r="W32" s="1387">
        <f t="shared" si="11"/>
        <v>100</v>
      </c>
      <c r="X32" s="1380"/>
      <c r="Y32" s="387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5"/>
      <c r="Q33" s="1414" t="str">
        <f t="shared" si="8"/>
        <v>项目建筑规模</v>
      </c>
      <c r="R33" s="1390" t="s">
        <v>5</v>
      </c>
      <c r="S33" s="1391" t="e">
        <f t="shared" si="9"/>
        <v>#N/A</v>
      </c>
      <c r="T33" s="1390" t="s">
        <v>5</v>
      </c>
      <c r="U33" s="1391" t="e">
        <f t="shared" si="10"/>
        <v>#N/A</v>
      </c>
      <c r="V33" s="1390" t="s">
        <v>5</v>
      </c>
      <c r="W33" s="1391" t="e">
        <f t="shared" si="11"/>
        <v>#N/A</v>
      </c>
      <c r="X33" s="1392"/>
      <c r="Y33" s="387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5"/>
      <c r="Q34" s="1385" t="str">
        <f t="shared" si="8"/>
        <v>建筑结构</v>
      </c>
      <c r="R34" s="1386" t="s">
        <v>5</v>
      </c>
      <c r="S34" s="1387">
        <f t="shared" si="9"/>
        <v>100</v>
      </c>
      <c r="T34" s="1386" t="s">
        <v>5</v>
      </c>
      <c r="U34" s="1387">
        <f t="shared" si="10"/>
        <v>100</v>
      </c>
      <c r="V34" s="1386" t="s">
        <v>5</v>
      </c>
      <c r="W34" s="1387">
        <f t="shared" si="11"/>
        <v>100</v>
      </c>
      <c r="X34" s="1380"/>
      <c r="Y34" s="387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5"/>
      <c r="Q35" s="1385" t="str">
        <f t="shared" si="8"/>
        <v>公共部分装修</v>
      </c>
      <c r="R35" s="1386" t="s">
        <v>5</v>
      </c>
      <c r="S35" s="1387">
        <f t="shared" si="9"/>
        <v>100</v>
      </c>
      <c r="T35" s="1386" t="s">
        <v>5</v>
      </c>
      <c r="U35" s="1387">
        <f t="shared" si="10"/>
        <v>100</v>
      </c>
      <c r="V35" s="1386" t="s">
        <v>5</v>
      </c>
      <c r="W35" s="1387">
        <f t="shared" si="11"/>
        <v>100</v>
      </c>
      <c r="X35" s="1380"/>
      <c r="Y35" s="387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5"/>
      <c r="Q36" s="1385" t="str">
        <f t="shared" si="8"/>
        <v>成新度</v>
      </c>
      <c r="R36" s="1386" t="s">
        <v>5</v>
      </c>
      <c r="S36" s="1387" t="e">
        <f t="shared" si="9"/>
        <v>#N/A</v>
      </c>
      <c r="T36" s="1386" t="s">
        <v>5</v>
      </c>
      <c r="U36" s="1387" t="e">
        <f t="shared" si="10"/>
        <v>#N/A</v>
      </c>
      <c r="V36" s="1386" t="s">
        <v>5</v>
      </c>
      <c r="W36" s="1387" t="e">
        <f t="shared" si="11"/>
        <v>#N/A</v>
      </c>
      <c r="X36" s="1380"/>
      <c r="Y36" s="3875"/>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5"/>
      <c r="Q37" s="1050" t="str">
        <f t="shared" si="8"/>
        <v>市政基础设施</v>
      </c>
      <c r="R37" s="1381" t="s">
        <v>5</v>
      </c>
      <c r="S37" s="1382">
        <f t="shared" si="9"/>
        <v>100</v>
      </c>
      <c r="T37" s="1381" t="s">
        <v>5</v>
      </c>
      <c r="U37" s="1382">
        <f t="shared" si="10"/>
        <v>100</v>
      </c>
      <c r="V37" s="1381" t="s">
        <v>5</v>
      </c>
      <c r="W37" s="1382">
        <f t="shared" si="11"/>
        <v>100</v>
      </c>
      <c r="X37" s="1383"/>
      <c r="Y37" s="387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5" t="s">
        <v>706</v>
      </c>
      <c r="Q38" s="1385" t="str">
        <f t="shared" si="8"/>
        <v>业态</v>
      </c>
      <c r="R38" s="1386" t="s">
        <v>5</v>
      </c>
      <c r="S38" s="1387">
        <f t="shared" si="9"/>
        <v>100</v>
      </c>
      <c r="T38" s="1386" t="s">
        <v>5</v>
      </c>
      <c r="U38" s="1387">
        <f t="shared" si="10"/>
        <v>100</v>
      </c>
      <c r="V38" s="1386" t="s">
        <v>5</v>
      </c>
      <c r="W38" s="1387">
        <f t="shared" si="11"/>
        <v>100</v>
      </c>
      <c r="X38" s="1380"/>
      <c r="Y38" s="387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5"/>
      <c r="Q39" s="1385" t="str">
        <f t="shared" si="8"/>
        <v>层高</v>
      </c>
      <c r="R39" s="1386" t="s">
        <v>5</v>
      </c>
      <c r="S39" s="1387">
        <f t="shared" si="9"/>
        <v>100</v>
      </c>
      <c r="T39" s="1386" t="s">
        <v>5</v>
      </c>
      <c r="U39" s="1387">
        <f t="shared" si="10"/>
        <v>100</v>
      </c>
      <c r="V39" s="1386" t="s">
        <v>5</v>
      </c>
      <c r="W39" s="1387">
        <f t="shared" si="11"/>
        <v>100</v>
      </c>
      <c r="X39" s="1380"/>
      <c r="Y39" s="387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5"/>
      <c r="Q40" s="1385" t="str">
        <f t="shared" si="8"/>
        <v>单套建筑面积</v>
      </c>
      <c r="R40" s="1386" t="s">
        <v>5</v>
      </c>
      <c r="S40" s="1387">
        <f t="shared" si="9"/>
        <v>100</v>
      </c>
      <c r="T40" s="1386" t="s">
        <v>5</v>
      </c>
      <c r="U40" s="1387">
        <f t="shared" si="10"/>
        <v>100</v>
      </c>
      <c r="V40" s="1386" t="s">
        <v>5</v>
      </c>
      <c r="W40" s="1387">
        <f t="shared" si="11"/>
        <v>100</v>
      </c>
      <c r="X40" s="1380"/>
      <c r="Y40" s="387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5"/>
      <c r="Q41" s="1414" t="str">
        <f t="shared" si="8"/>
        <v>进深比</v>
      </c>
      <c r="R41" s="1390" t="s">
        <v>5</v>
      </c>
      <c r="S41" s="1391">
        <f t="shared" si="9"/>
        <v>100</v>
      </c>
      <c r="T41" s="1390" t="s">
        <v>5</v>
      </c>
      <c r="U41" s="1391">
        <f t="shared" si="10"/>
        <v>100</v>
      </c>
      <c r="V41" s="1390" t="s">
        <v>5</v>
      </c>
      <c r="W41" s="1391">
        <f t="shared" si="11"/>
        <v>100</v>
      </c>
      <c r="X41" s="1392"/>
      <c r="Y41" s="387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5"/>
      <c r="Q42" s="1385" t="str">
        <f t="shared" si="8"/>
        <v>内部装修</v>
      </c>
      <c r="R42" s="1386" t="s">
        <v>5</v>
      </c>
      <c r="S42" s="1387">
        <f t="shared" si="9"/>
        <v>100</v>
      </c>
      <c r="T42" s="1386" t="s">
        <v>5</v>
      </c>
      <c r="U42" s="1387">
        <f t="shared" si="10"/>
        <v>100</v>
      </c>
      <c r="V42" s="1386" t="s">
        <v>5</v>
      </c>
      <c r="W42" s="1387">
        <f t="shared" si="11"/>
        <v>100</v>
      </c>
      <c r="X42" s="1380"/>
      <c r="Y42" s="3875"/>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5"/>
      <c r="Q43" s="1385" t="str">
        <f t="shared" si="8"/>
        <v>内部装修维护情况</v>
      </c>
      <c r="R43" s="1386" t="s">
        <v>5</v>
      </c>
      <c r="S43" s="1387">
        <f t="shared" si="9"/>
        <v>100</v>
      </c>
      <c r="T43" s="1386" t="s">
        <v>5</v>
      </c>
      <c r="U43" s="1387">
        <f t="shared" si="10"/>
        <v>100</v>
      </c>
      <c r="V43" s="1386" t="s">
        <v>5</v>
      </c>
      <c r="W43" s="1387">
        <f t="shared" si="11"/>
        <v>100</v>
      </c>
      <c r="X43" s="1380"/>
      <c r="Y43" s="387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5"/>
      <c r="Q44" s="1050">
        <f t="shared" si="8"/>
        <v>111</v>
      </c>
      <c r="R44" s="1381" t="s">
        <v>5</v>
      </c>
      <c r="S44" s="1382">
        <f t="shared" si="9"/>
        <v>100</v>
      </c>
      <c r="T44" s="1381" t="s">
        <v>5</v>
      </c>
      <c r="U44" s="1382">
        <f t="shared" si="10"/>
        <v>100</v>
      </c>
      <c r="V44" s="1381" t="s">
        <v>5</v>
      </c>
      <c r="W44" s="1382">
        <f t="shared" si="11"/>
        <v>100</v>
      </c>
      <c r="X44" s="1383"/>
      <c r="Y44" s="387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5"/>
      <c r="Q45" s="1385">
        <f t="shared" si="8"/>
        <v>111</v>
      </c>
      <c r="R45" s="1386" t="s">
        <v>5</v>
      </c>
      <c r="S45" s="1387">
        <f t="shared" si="9"/>
        <v>100</v>
      </c>
      <c r="T45" s="1386" t="s">
        <v>5</v>
      </c>
      <c r="U45" s="1387">
        <f t="shared" si="10"/>
        <v>100</v>
      </c>
      <c r="V45" s="1386" t="s">
        <v>5</v>
      </c>
      <c r="W45" s="1387">
        <f t="shared" si="11"/>
        <v>100</v>
      </c>
      <c r="X45" s="1380"/>
      <c r="Y45" s="3875"/>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58"/>
      <c r="Q46" s="1385">
        <f t="shared" si="8"/>
        <v>111</v>
      </c>
      <c r="R46" s="1386" t="s">
        <v>5</v>
      </c>
      <c r="S46" s="1387">
        <f t="shared" si="9"/>
        <v>100</v>
      </c>
      <c r="T46" s="1386" t="s">
        <v>5</v>
      </c>
      <c r="U46" s="1387">
        <f t="shared" si="10"/>
        <v>100</v>
      </c>
      <c r="V46" s="1386" t="s">
        <v>5</v>
      </c>
      <c r="W46" s="1387">
        <f t="shared" si="11"/>
        <v>100</v>
      </c>
      <c r="X46" s="1380"/>
      <c r="Y46" s="3958"/>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76" t="str">
        <f>A47</f>
        <v>成交单价（元/平方米）</v>
      </c>
      <c r="Q47" s="3876"/>
      <c r="R47" s="3957">
        <f>E47</f>
        <v>0</v>
      </c>
      <c r="S47" s="3957"/>
      <c r="T47" s="3957">
        <f>G47</f>
        <v>0</v>
      </c>
      <c r="U47" s="3957"/>
      <c r="V47" s="3957">
        <f>I47</f>
        <v>0</v>
      </c>
      <c r="W47" s="3957"/>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76" t="str">
        <f>A48</f>
        <v>比较价格（元/平方米）</v>
      </c>
      <c r="Q48" s="3876"/>
      <c r="R48" s="3957" t="e">
        <f>IF(F1="售价",ROUND(PRODUCT(R47,AA7:AA46),0),ROUND(PRODUCT(R47,AA7:AA46),1))</f>
        <v>#DIV/0!</v>
      </c>
      <c r="S48" s="3957"/>
      <c r="T48" s="3957" t="e">
        <f>IF(F1="售价",ROUND(PRODUCT(T47,AB7:AB46),0),ROUND(PRODUCT(T47,AB7:AB46),1))</f>
        <v>#DIV/0!</v>
      </c>
      <c r="U48" s="3957"/>
      <c r="V48" s="3957" t="e">
        <f>IF(F1="售价",ROUND(PRODUCT(V47,AC7:AC46),0),ROUND(PRODUCT(V47,AC7:AC46),1))</f>
        <v>#DIV/0!</v>
      </c>
      <c r="W48" s="3957"/>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881" t="str">
        <f>A49</f>
        <v>估价对象XX用房的比较价格（楼面单价，元/平方米）</v>
      </c>
      <c r="Q49" s="3882"/>
      <c r="R49" s="3956" t="e">
        <f>IF(F1="售价",ROUND(IF(D48="简单平均",AVERAGE(R48:V48),R48*F48+T48*H48+V48*J48),0),ROUND(IF(D48="简单平均",AVERAGE(R48:V48),R48*F48+T48*H48+V48*J48),1))</f>
        <v>#DIV/0!</v>
      </c>
      <c r="S49" s="3956"/>
      <c r="T49" s="3956"/>
      <c r="U49" s="3956"/>
      <c r="V49" s="3956"/>
      <c r="W49" s="3956"/>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4.4">
      <c r="A4" s="482" t="s">
        <v>470</v>
      </c>
      <c r="B4" s="483"/>
      <c r="C4" s="3857" t="s">
        <v>471</v>
      </c>
      <c r="D4" s="3858"/>
      <c r="E4" s="3859" t="s">
        <v>472</v>
      </c>
      <c r="F4" s="3860"/>
      <c r="G4" s="3857" t="s">
        <v>473</v>
      </c>
      <c r="H4" s="3858"/>
      <c r="I4" s="3857" t="s">
        <v>474</v>
      </c>
      <c r="J4" s="3858"/>
      <c r="K4" s="484" t="s">
        <v>475</v>
      </c>
      <c r="L4" s="1856"/>
      <c r="M4" s="1857"/>
      <c r="N4" s="1857"/>
      <c r="O4" s="1857"/>
      <c r="P4" s="3960" t="s">
        <v>476</v>
      </c>
      <c r="Q4" s="3862"/>
      <c r="R4" s="3843" t="s">
        <v>472</v>
      </c>
      <c r="S4" s="3844"/>
      <c r="T4" s="3843" t="s">
        <v>473</v>
      </c>
      <c r="U4" s="3844"/>
      <c r="V4" s="3869" t="s">
        <v>474</v>
      </c>
      <c r="W4" s="3869"/>
      <c r="X4" s="1380"/>
      <c r="Y4" s="3843" t="s">
        <v>476</v>
      </c>
      <c r="Z4" s="3844"/>
      <c r="AA4" s="3854" t="s">
        <v>472</v>
      </c>
      <c r="AB4" s="3854" t="s">
        <v>473</v>
      </c>
      <c r="AC4" s="3854" t="s">
        <v>474</v>
      </c>
    </row>
    <row r="5" spans="1:29">
      <c r="A5" s="485"/>
      <c r="B5" s="486"/>
      <c r="C5" s="3847" t="s">
        <v>2192</v>
      </c>
      <c r="D5" s="3848"/>
      <c r="E5" s="3870" t="s">
        <v>2193</v>
      </c>
      <c r="F5" s="3871"/>
      <c r="G5" s="3847" t="s">
        <v>2194</v>
      </c>
      <c r="H5" s="3848"/>
      <c r="I5" s="3847" t="s">
        <v>2195</v>
      </c>
      <c r="J5" s="3848"/>
      <c r="K5" s="484"/>
      <c r="L5" s="1856"/>
      <c r="M5" s="1857"/>
      <c r="N5" s="1857"/>
      <c r="O5" s="1857"/>
      <c r="P5" s="3961"/>
      <c r="Q5" s="3864"/>
      <c r="R5" s="3845"/>
      <c r="S5" s="3846"/>
      <c r="T5" s="3845"/>
      <c r="U5" s="3846"/>
      <c r="V5" s="3869"/>
      <c r="W5" s="3869"/>
      <c r="X5" s="1380"/>
      <c r="Y5" s="3845"/>
      <c r="Z5" s="3846"/>
      <c r="AA5" s="3855"/>
      <c r="AB5" s="3855"/>
      <c r="AC5" s="3855"/>
    </row>
    <row r="6" spans="1:29" ht="15" thickBot="1">
      <c r="A6" s="487"/>
      <c r="B6" s="488"/>
      <c r="C6" s="3849" t="s">
        <v>2196</v>
      </c>
      <c r="D6" s="3850"/>
      <c r="E6" s="3852" t="s">
        <v>2196</v>
      </c>
      <c r="F6" s="3853"/>
      <c r="G6" s="3849" t="s">
        <v>2196</v>
      </c>
      <c r="H6" s="3850"/>
      <c r="I6" s="3849" t="s">
        <v>2196</v>
      </c>
      <c r="J6" s="3850"/>
      <c r="K6" s="484" t="s">
        <v>477</v>
      </c>
      <c r="L6" s="1856"/>
      <c r="M6" s="1857"/>
      <c r="N6" s="1857"/>
      <c r="O6" s="1857"/>
      <c r="P6" s="3962"/>
      <c r="Q6" s="3866"/>
      <c r="R6" s="3845"/>
      <c r="S6" s="3846"/>
      <c r="T6" s="3867"/>
      <c r="U6" s="3868"/>
      <c r="V6" s="3869"/>
      <c r="W6" s="3869"/>
      <c r="X6" s="1380"/>
      <c r="Y6" s="3867"/>
      <c r="Z6" s="3868"/>
      <c r="AA6" s="3856"/>
      <c r="AB6" s="3856"/>
      <c r="AC6" s="3856"/>
    </row>
    <row r="7" spans="1:29" s="1118" customFormat="1" ht="15" thickBot="1">
      <c r="A7" s="2392"/>
      <c r="B7" s="2399" t="s">
        <v>478</v>
      </c>
      <c r="C7" s="489">
        <f>'数据-取费表'!B2</f>
        <v>44986</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51" t="s">
        <v>479</v>
      </c>
      <c r="Q7" s="3851"/>
      <c r="R7" s="1381" t="s">
        <v>5</v>
      </c>
      <c r="S7" s="1382">
        <f t="shared" ref="S7:S15" si="0">F7</f>
        <v>0</v>
      </c>
      <c r="T7" s="1381" t="s">
        <v>5</v>
      </c>
      <c r="U7" s="1382">
        <f t="shared" ref="U7:U15" si="1">H7</f>
        <v>0</v>
      </c>
      <c r="V7" s="1381" t="s">
        <v>5</v>
      </c>
      <c r="W7" s="1382">
        <f t="shared" ref="W7:W15" si="2">J7</f>
        <v>0</v>
      </c>
      <c r="X7" s="1383"/>
      <c r="Y7" s="3841" t="s">
        <v>479</v>
      </c>
      <c r="Z7" s="3842"/>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51" t="s">
        <v>482</v>
      </c>
      <c r="Q8" s="3842"/>
      <c r="R8" s="1381" t="s">
        <v>5</v>
      </c>
      <c r="S8" s="1382">
        <f t="shared" si="0"/>
        <v>0</v>
      </c>
      <c r="T8" s="1381" t="s">
        <v>5</v>
      </c>
      <c r="U8" s="1382">
        <f t="shared" si="1"/>
        <v>0</v>
      </c>
      <c r="V8" s="1381" t="s">
        <v>5</v>
      </c>
      <c r="W8" s="1382">
        <f t="shared" si="2"/>
        <v>0</v>
      </c>
      <c r="X8" s="1383"/>
      <c r="Y8" s="3841" t="s">
        <v>482</v>
      </c>
      <c r="Z8" s="3842"/>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76" t="s">
        <v>484</v>
      </c>
      <c r="Q9" s="1050" t="str">
        <f t="shared" ref="Q9:Q15" si="6">B9</f>
        <v>用途</v>
      </c>
      <c r="R9" s="1381" t="s">
        <v>5</v>
      </c>
      <c r="S9" s="1382">
        <f t="shared" si="0"/>
        <v>100</v>
      </c>
      <c r="T9" s="1381" t="s">
        <v>5</v>
      </c>
      <c r="U9" s="1382">
        <f t="shared" si="1"/>
        <v>100</v>
      </c>
      <c r="V9" s="1381" t="s">
        <v>5</v>
      </c>
      <c r="W9" s="1382">
        <f t="shared" si="2"/>
        <v>100</v>
      </c>
      <c r="X9" s="1383"/>
      <c r="Y9" s="379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7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76"/>
      <c r="Q11" s="1050" t="str">
        <f t="shared" si="6"/>
        <v>容积率</v>
      </c>
      <c r="R11" s="1381" t="s">
        <v>5</v>
      </c>
      <c r="S11" s="1382" t="e">
        <f t="shared" si="0"/>
        <v>#N/A</v>
      </c>
      <c r="T11" s="1381" t="s">
        <v>5</v>
      </c>
      <c r="U11" s="1382" t="e">
        <f t="shared" si="1"/>
        <v>#N/A</v>
      </c>
      <c r="V11" s="1381" t="s">
        <v>5</v>
      </c>
      <c r="W11" s="1382" t="e">
        <f t="shared" si="2"/>
        <v>#N/A</v>
      </c>
      <c r="X11" s="1383"/>
      <c r="Y11" s="379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76"/>
      <c r="Q12" s="1050">
        <f t="shared" si="6"/>
        <v>111</v>
      </c>
      <c r="R12" s="1381" t="s">
        <v>5</v>
      </c>
      <c r="S12" s="1382">
        <f t="shared" si="0"/>
        <v>100</v>
      </c>
      <c r="T12" s="1381" t="s">
        <v>5</v>
      </c>
      <c r="U12" s="1382">
        <f t="shared" si="1"/>
        <v>100</v>
      </c>
      <c r="V12" s="1381" t="s">
        <v>5</v>
      </c>
      <c r="W12" s="1382">
        <f t="shared" si="2"/>
        <v>100</v>
      </c>
      <c r="X12" s="1383"/>
      <c r="Y12" s="379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76"/>
      <c r="Q13" s="1050">
        <f t="shared" si="6"/>
        <v>111</v>
      </c>
      <c r="R13" s="1381" t="s">
        <v>5</v>
      </c>
      <c r="S13" s="1382">
        <f t="shared" si="0"/>
        <v>100</v>
      </c>
      <c r="T13" s="1381" t="s">
        <v>5</v>
      </c>
      <c r="U13" s="1382">
        <f t="shared" si="1"/>
        <v>100</v>
      </c>
      <c r="V13" s="1381" t="s">
        <v>5</v>
      </c>
      <c r="W13" s="1382">
        <f t="shared" si="2"/>
        <v>100</v>
      </c>
      <c r="X13" s="1383"/>
      <c r="Y13" s="3790"/>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76"/>
      <c r="Q14" s="1050">
        <f t="shared" si="6"/>
        <v>111</v>
      </c>
      <c r="R14" s="1381" t="s">
        <v>5</v>
      </c>
      <c r="S14" s="1382">
        <f t="shared" si="0"/>
        <v>100</v>
      </c>
      <c r="T14" s="1381" t="s">
        <v>5</v>
      </c>
      <c r="U14" s="1382">
        <f t="shared" si="1"/>
        <v>100</v>
      </c>
      <c r="V14" s="1381" t="s">
        <v>5</v>
      </c>
      <c r="W14" s="1382">
        <f t="shared" si="2"/>
        <v>100</v>
      </c>
      <c r="X14" s="1383"/>
      <c r="Y14" s="3790"/>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2" t="s">
        <v>489</v>
      </c>
      <c r="Q15" s="1385" t="str">
        <f t="shared" si="6"/>
        <v>办公集聚程度</v>
      </c>
      <c r="R15" s="1386" t="s">
        <v>5</v>
      </c>
      <c r="S15" s="1387">
        <f t="shared" si="0"/>
        <v>100</v>
      </c>
      <c r="T15" s="1386" t="s">
        <v>5</v>
      </c>
      <c r="U15" s="1387">
        <f t="shared" si="1"/>
        <v>100</v>
      </c>
      <c r="V15" s="1386" t="s">
        <v>5</v>
      </c>
      <c r="W15" s="1387">
        <f t="shared" si="2"/>
        <v>100</v>
      </c>
      <c r="X15" s="1380"/>
      <c r="Y15" s="387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3"/>
      <c r="Q16" s="1385"/>
      <c r="R16" s="1386"/>
      <c r="S16" s="1387"/>
      <c r="T16" s="1386"/>
      <c r="U16" s="1387"/>
      <c r="V16" s="1386"/>
      <c r="W16" s="1387"/>
      <c r="X16" s="1380"/>
      <c r="Y16" s="3873"/>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3"/>
      <c r="Q17" s="1385" t="str">
        <f>B17</f>
        <v>交通便捷度</v>
      </c>
      <c r="R17" s="1386" t="s">
        <v>5</v>
      </c>
      <c r="S17" s="1387">
        <f>F17</f>
        <v>100</v>
      </c>
      <c r="T17" s="1386" t="s">
        <v>5</v>
      </c>
      <c r="U17" s="1387">
        <f>H17</f>
        <v>100</v>
      </c>
      <c r="V17" s="1386" t="s">
        <v>5</v>
      </c>
      <c r="W17" s="1387">
        <f>J17</f>
        <v>100</v>
      </c>
      <c r="X17" s="1380"/>
      <c r="Y17" s="387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3"/>
      <c r="Q18" s="1385"/>
      <c r="R18" s="1386"/>
      <c r="S18" s="1387"/>
      <c r="T18" s="1386"/>
      <c r="U18" s="1387"/>
      <c r="V18" s="1386"/>
      <c r="W18" s="1387"/>
      <c r="X18" s="1380"/>
      <c r="Y18" s="3873"/>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3"/>
      <c r="Q19" s="1385" t="str">
        <f>B19</f>
        <v>公共配套设施</v>
      </c>
      <c r="R19" s="1386" t="s">
        <v>5</v>
      </c>
      <c r="S19" s="1387">
        <f>F19</f>
        <v>100</v>
      </c>
      <c r="T19" s="1386" t="s">
        <v>5</v>
      </c>
      <c r="U19" s="1387">
        <f>H19</f>
        <v>100</v>
      </c>
      <c r="V19" s="1386" t="s">
        <v>5</v>
      </c>
      <c r="W19" s="1387">
        <f>J19</f>
        <v>100</v>
      </c>
      <c r="X19" s="1380"/>
      <c r="Y19" s="387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3"/>
      <c r="Q20" s="1385"/>
      <c r="R20" s="1386"/>
      <c r="S20" s="1387"/>
      <c r="T20" s="1386"/>
      <c r="U20" s="1387"/>
      <c r="V20" s="1386"/>
      <c r="W20" s="1387"/>
      <c r="X20" s="1380"/>
      <c r="Y20" s="3873"/>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3"/>
      <c r="Q21" s="2193" t="str">
        <f>B21</f>
        <v>基础设施水平</v>
      </c>
      <c r="R21" s="1386" t="s">
        <v>5</v>
      </c>
      <c r="S21" s="1387">
        <f>F21</f>
        <v>100</v>
      </c>
      <c r="T21" s="1386" t="s">
        <v>5</v>
      </c>
      <c r="U21" s="1387">
        <f>H21</f>
        <v>100</v>
      </c>
      <c r="V21" s="1386" t="s">
        <v>5</v>
      </c>
      <c r="W21" s="1387">
        <f>J21</f>
        <v>100</v>
      </c>
      <c r="X21" s="2195"/>
      <c r="Y21" s="387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3"/>
      <c r="Q22" s="2193"/>
      <c r="R22" s="1386"/>
      <c r="S22" s="1387"/>
      <c r="T22" s="1386"/>
      <c r="U22" s="1387"/>
      <c r="V22" s="1386"/>
      <c r="W22" s="1387"/>
      <c r="X22" s="2195"/>
      <c r="Y22" s="3873"/>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3"/>
      <c r="Q23" s="1385" t="str">
        <f>B23</f>
        <v>环境质量</v>
      </c>
      <c r="R23" s="1386" t="s">
        <v>5</v>
      </c>
      <c r="S23" s="1387">
        <f>F23</f>
        <v>100</v>
      </c>
      <c r="T23" s="1386" t="s">
        <v>5</v>
      </c>
      <c r="U23" s="1387">
        <f>H23</f>
        <v>100</v>
      </c>
      <c r="V23" s="1386" t="s">
        <v>5</v>
      </c>
      <c r="W23" s="1387">
        <f>J23</f>
        <v>100</v>
      </c>
      <c r="X23" s="1380"/>
      <c r="Y23" s="387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3"/>
      <c r="Q24" s="1385"/>
      <c r="R24" s="1386"/>
      <c r="S24" s="1387"/>
      <c r="T24" s="1386"/>
      <c r="U24" s="1387"/>
      <c r="V24" s="1386"/>
      <c r="W24" s="1387"/>
      <c r="X24" s="1380"/>
      <c r="Y24" s="3873"/>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3"/>
      <c r="Q25" s="1385" t="str">
        <f>B25</f>
        <v>毗邻道路的类型与等级</v>
      </c>
      <c r="R25" s="1386" t="s">
        <v>5</v>
      </c>
      <c r="S25" s="1387">
        <f>F25</f>
        <v>100</v>
      </c>
      <c r="T25" s="1386" t="s">
        <v>5</v>
      </c>
      <c r="U25" s="1387">
        <f>H25</f>
        <v>100</v>
      </c>
      <c r="V25" s="1386" t="s">
        <v>5</v>
      </c>
      <c r="W25" s="1387">
        <f>J25</f>
        <v>100</v>
      </c>
      <c r="X25" s="1380"/>
      <c r="Y25" s="387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3"/>
      <c r="Q26" s="1385"/>
      <c r="R26" s="1386"/>
      <c r="S26" s="1387"/>
      <c r="T26" s="1386"/>
      <c r="U26" s="1387"/>
      <c r="V26" s="1386"/>
      <c r="W26" s="1387"/>
      <c r="X26" s="1380"/>
      <c r="Y26" s="387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3"/>
      <c r="Q27" s="1385" t="str">
        <f t="shared" ref="Q27:Q47" si="8">B27</f>
        <v>楼层</v>
      </c>
      <c r="R27" s="1386" t="s">
        <v>5</v>
      </c>
      <c r="S27" s="1387">
        <f>F27</f>
        <v>100</v>
      </c>
      <c r="T27" s="1386" t="s">
        <v>5</v>
      </c>
      <c r="U27" s="1387">
        <f>H27</f>
        <v>100</v>
      </c>
      <c r="V27" s="1386" t="s">
        <v>5</v>
      </c>
      <c r="W27" s="1387">
        <f>J27</f>
        <v>100</v>
      </c>
      <c r="X27" s="1380"/>
      <c r="Y27" s="387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3"/>
      <c r="Q28" s="1050" t="str">
        <f t="shared" si="8"/>
        <v>朝向</v>
      </c>
      <c r="R28" s="1381" t="s">
        <v>5</v>
      </c>
      <c r="S28" s="1382">
        <f>F28</f>
        <v>100</v>
      </c>
      <c r="T28" s="1381" t="s">
        <v>5</v>
      </c>
      <c r="U28" s="1382">
        <f>H28</f>
        <v>100</v>
      </c>
      <c r="V28" s="1381" t="s">
        <v>5</v>
      </c>
      <c r="W28" s="1382">
        <f>J28</f>
        <v>100</v>
      </c>
      <c r="X28" s="1383"/>
      <c r="Y28" s="387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3"/>
      <c r="Q29" s="1385">
        <f t="shared" si="8"/>
        <v>111</v>
      </c>
      <c r="R29" s="1386" t="s">
        <v>5</v>
      </c>
      <c r="S29" s="1387">
        <f t="shared" ref="S29:S47" si="9">F29</f>
        <v>100</v>
      </c>
      <c r="T29" s="1386" t="s">
        <v>5</v>
      </c>
      <c r="U29" s="1387">
        <f t="shared" ref="U29:U47" si="10">H29</f>
        <v>100</v>
      </c>
      <c r="V29" s="1386" t="s">
        <v>5</v>
      </c>
      <c r="W29" s="1387">
        <f t="shared" ref="W29:W47" si="11">J29</f>
        <v>100</v>
      </c>
      <c r="X29" s="1380"/>
      <c r="Y29" s="387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3"/>
      <c r="Q30" s="1385">
        <f t="shared" si="8"/>
        <v>111</v>
      </c>
      <c r="R30" s="1386" t="s">
        <v>5</v>
      </c>
      <c r="S30" s="1387">
        <f t="shared" si="9"/>
        <v>100</v>
      </c>
      <c r="T30" s="1386" t="s">
        <v>5</v>
      </c>
      <c r="U30" s="1387">
        <f t="shared" si="10"/>
        <v>100</v>
      </c>
      <c r="V30" s="1386" t="s">
        <v>5</v>
      </c>
      <c r="W30" s="1387">
        <f t="shared" si="11"/>
        <v>100</v>
      </c>
      <c r="X30" s="1380"/>
      <c r="Y30" s="387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3"/>
      <c r="Q31" s="1385">
        <f t="shared" si="8"/>
        <v>111</v>
      </c>
      <c r="R31" s="1386" t="s">
        <v>5</v>
      </c>
      <c r="S31" s="1387">
        <f t="shared" si="9"/>
        <v>100</v>
      </c>
      <c r="T31" s="1386" t="s">
        <v>5</v>
      </c>
      <c r="U31" s="1387">
        <f t="shared" si="10"/>
        <v>100</v>
      </c>
      <c r="V31" s="1386" t="s">
        <v>5</v>
      </c>
      <c r="W31" s="1387">
        <f t="shared" si="11"/>
        <v>100</v>
      </c>
      <c r="X31" s="1380"/>
      <c r="Y31" s="3873"/>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3"/>
      <c r="Q32" s="1385">
        <f t="shared" si="8"/>
        <v>111</v>
      </c>
      <c r="R32" s="1386" t="s">
        <v>5</v>
      </c>
      <c r="S32" s="1387">
        <f t="shared" si="9"/>
        <v>100</v>
      </c>
      <c r="T32" s="1386" t="s">
        <v>5</v>
      </c>
      <c r="U32" s="1387">
        <f t="shared" si="10"/>
        <v>100</v>
      </c>
      <c r="V32" s="1386" t="s">
        <v>5</v>
      </c>
      <c r="W32" s="1387">
        <f t="shared" si="11"/>
        <v>100</v>
      </c>
      <c r="X32" s="1380"/>
      <c r="Y32" s="3873"/>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4" t="s">
        <v>499</v>
      </c>
      <c r="Q33" s="1385" t="str">
        <f t="shared" si="8"/>
        <v>建筑类型</v>
      </c>
      <c r="R33" s="1386" t="s">
        <v>5</v>
      </c>
      <c r="S33" s="1387">
        <f t="shared" si="9"/>
        <v>100</v>
      </c>
      <c r="T33" s="1386" t="s">
        <v>5</v>
      </c>
      <c r="U33" s="1387">
        <f t="shared" si="10"/>
        <v>100</v>
      </c>
      <c r="V33" s="1386" t="s">
        <v>5</v>
      </c>
      <c r="W33" s="1387">
        <f t="shared" si="11"/>
        <v>100</v>
      </c>
      <c r="X33" s="1380"/>
      <c r="Y33" s="387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5"/>
      <c r="Q34" s="1414" t="str">
        <f t="shared" si="8"/>
        <v>项目建筑规模</v>
      </c>
      <c r="R34" s="1390" t="s">
        <v>5</v>
      </c>
      <c r="S34" s="1391" t="e">
        <f t="shared" si="9"/>
        <v>#N/A</v>
      </c>
      <c r="T34" s="1390" t="s">
        <v>5</v>
      </c>
      <c r="U34" s="1391" t="e">
        <f t="shared" si="10"/>
        <v>#N/A</v>
      </c>
      <c r="V34" s="1390" t="s">
        <v>5</v>
      </c>
      <c r="W34" s="1391" t="e">
        <f t="shared" si="11"/>
        <v>#N/A</v>
      </c>
      <c r="X34" s="1392"/>
      <c r="Y34" s="387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5"/>
      <c r="Q35" s="1385" t="str">
        <f t="shared" si="8"/>
        <v>建筑结构</v>
      </c>
      <c r="R35" s="1386" t="s">
        <v>5</v>
      </c>
      <c r="S35" s="1387">
        <f t="shared" si="9"/>
        <v>100</v>
      </c>
      <c r="T35" s="1386" t="s">
        <v>5</v>
      </c>
      <c r="U35" s="1387">
        <f t="shared" si="10"/>
        <v>100</v>
      </c>
      <c r="V35" s="1386" t="s">
        <v>5</v>
      </c>
      <c r="W35" s="1387">
        <f t="shared" si="11"/>
        <v>100</v>
      </c>
      <c r="X35" s="1380"/>
      <c r="Y35" s="387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5"/>
      <c r="Q36" s="1385" t="str">
        <f t="shared" si="8"/>
        <v>公共部分装修</v>
      </c>
      <c r="R36" s="1386" t="s">
        <v>5</v>
      </c>
      <c r="S36" s="1387">
        <f t="shared" si="9"/>
        <v>100</v>
      </c>
      <c r="T36" s="1386" t="s">
        <v>5</v>
      </c>
      <c r="U36" s="1387">
        <f t="shared" si="10"/>
        <v>100</v>
      </c>
      <c r="V36" s="1386" t="s">
        <v>5</v>
      </c>
      <c r="W36" s="1387">
        <f t="shared" si="11"/>
        <v>100</v>
      </c>
      <c r="X36" s="1380"/>
      <c r="Y36" s="387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5"/>
      <c r="Q37" s="1385" t="str">
        <f t="shared" si="8"/>
        <v>成新度</v>
      </c>
      <c r="R37" s="1386" t="s">
        <v>5</v>
      </c>
      <c r="S37" s="1387" t="e">
        <f t="shared" si="9"/>
        <v>#N/A</v>
      </c>
      <c r="T37" s="1386" t="s">
        <v>5</v>
      </c>
      <c r="U37" s="1387" t="e">
        <f t="shared" si="10"/>
        <v>#N/A</v>
      </c>
      <c r="V37" s="1386" t="s">
        <v>5</v>
      </c>
      <c r="W37" s="1387" t="e">
        <f t="shared" si="11"/>
        <v>#N/A</v>
      </c>
      <c r="X37" s="1380"/>
      <c r="Y37" s="387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5"/>
      <c r="Q38" s="1050" t="str">
        <f t="shared" si="8"/>
        <v>写字楼等级</v>
      </c>
      <c r="R38" s="1381" t="s">
        <v>5</v>
      </c>
      <c r="S38" s="1382">
        <f t="shared" si="9"/>
        <v>100</v>
      </c>
      <c r="T38" s="1381" t="s">
        <v>5</v>
      </c>
      <c r="U38" s="1382">
        <f t="shared" si="10"/>
        <v>100</v>
      </c>
      <c r="V38" s="1381" t="s">
        <v>5</v>
      </c>
      <c r="W38" s="1382">
        <f t="shared" si="11"/>
        <v>100</v>
      </c>
      <c r="X38" s="1383"/>
      <c r="Y38" s="387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5" t="s">
        <v>499</v>
      </c>
      <c r="Q39" s="1385" t="str">
        <f t="shared" si="8"/>
        <v>物业管理</v>
      </c>
      <c r="R39" s="1386" t="s">
        <v>5</v>
      </c>
      <c r="S39" s="1387">
        <f t="shared" si="9"/>
        <v>100</v>
      </c>
      <c r="T39" s="1386" t="s">
        <v>5</v>
      </c>
      <c r="U39" s="1387">
        <f t="shared" si="10"/>
        <v>100</v>
      </c>
      <c r="V39" s="1386" t="s">
        <v>5</v>
      </c>
      <c r="W39" s="1387">
        <f t="shared" si="11"/>
        <v>100</v>
      </c>
      <c r="X39" s="1380"/>
      <c r="Y39" s="3875"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5"/>
      <c r="Q40" s="1385" t="str">
        <f t="shared" si="8"/>
        <v>市政基础设施</v>
      </c>
      <c r="R40" s="1386" t="s">
        <v>5</v>
      </c>
      <c r="S40" s="1387">
        <f t="shared" si="9"/>
        <v>100</v>
      </c>
      <c r="T40" s="1386" t="s">
        <v>5</v>
      </c>
      <c r="U40" s="1387">
        <f t="shared" si="10"/>
        <v>100</v>
      </c>
      <c r="V40" s="1386" t="s">
        <v>5</v>
      </c>
      <c r="W40" s="1387">
        <f t="shared" si="11"/>
        <v>100</v>
      </c>
      <c r="X40" s="1380"/>
      <c r="Y40" s="387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5"/>
      <c r="Q41" s="1385" t="str">
        <f t="shared" si="8"/>
        <v>层高</v>
      </c>
      <c r="R41" s="1386" t="s">
        <v>5</v>
      </c>
      <c r="S41" s="1387">
        <f t="shared" si="9"/>
        <v>100</v>
      </c>
      <c r="T41" s="1386" t="s">
        <v>5</v>
      </c>
      <c r="U41" s="1387">
        <f t="shared" si="10"/>
        <v>100</v>
      </c>
      <c r="V41" s="1386" t="s">
        <v>5</v>
      </c>
      <c r="W41" s="1387">
        <f t="shared" si="11"/>
        <v>100</v>
      </c>
      <c r="X41" s="1380"/>
      <c r="Y41" s="387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5"/>
      <c r="Q42" s="1414" t="str">
        <f t="shared" si="8"/>
        <v>单套建筑面积</v>
      </c>
      <c r="R42" s="1390" t="s">
        <v>5</v>
      </c>
      <c r="S42" s="1391">
        <f t="shared" si="9"/>
        <v>100</v>
      </c>
      <c r="T42" s="1390" t="s">
        <v>5</v>
      </c>
      <c r="U42" s="1391">
        <f t="shared" si="10"/>
        <v>100</v>
      </c>
      <c r="V42" s="1390" t="s">
        <v>5</v>
      </c>
      <c r="W42" s="1391">
        <f t="shared" si="11"/>
        <v>100</v>
      </c>
      <c r="X42" s="1392"/>
      <c r="Y42" s="387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5"/>
      <c r="Q43" s="1385" t="str">
        <f t="shared" si="8"/>
        <v>内部装修</v>
      </c>
      <c r="R43" s="1386" t="s">
        <v>5</v>
      </c>
      <c r="S43" s="1387">
        <f t="shared" si="9"/>
        <v>100</v>
      </c>
      <c r="T43" s="1386" t="s">
        <v>5</v>
      </c>
      <c r="U43" s="1387">
        <f t="shared" si="10"/>
        <v>100</v>
      </c>
      <c r="V43" s="1386" t="s">
        <v>5</v>
      </c>
      <c r="W43" s="1387">
        <f t="shared" si="11"/>
        <v>100</v>
      </c>
      <c r="X43" s="1380"/>
      <c r="Y43" s="3875"/>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5"/>
      <c r="Q44" s="1385" t="str">
        <f t="shared" si="8"/>
        <v>内部装修维护情况</v>
      </c>
      <c r="R44" s="1386" t="s">
        <v>5</v>
      </c>
      <c r="S44" s="1387">
        <f t="shared" si="9"/>
        <v>100</v>
      </c>
      <c r="T44" s="1386" t="s">
        <v>5</v>
      </c>
      <c r="U44" s="1387">
        <f t="shared" si="10"/>
        <v>100</v>
      </c>
      <c r="V44" s="1386" t="s">
        <v>5</v>
      </c>
      <c r="W44" s="1387">
        <f t="shared" si="11"/>
        <v>100</v>
      </c>
      <c r="X44" s="1380"/>
      <c r="Y44" s="387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5"/>
      <c r="Q45" s="1050">
        <f t="shared" si="8"/>
        <v>111</v>
      </c>
      <c r="R45" s="1381" t="s">
        <v>5</v>
      </c>
      <c r="S45" s="1382">
        <f t="shared" si="9"/>
        <v>100</v>
      </c>
      <c r="T45" s="1381" t="s">
        <v>5</v>
      </c>
      <c r="U45" s="1382">
        <f t="shared" si="10"/>
        <v>100</v>
      </c>
      <c r="V45" s="1381" t="s">
        <v>5</v>
      </c>
      <c r="W45" s="1382">
        <f t="shared" si="11"/>
        <v>100</v>
      </c>
      <c r="X45" s="1383"/>
      <c r="Y45" s="387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5"/>
      <c r="Q46" s="1385">
        <f t="shared" si="8"/>
        <v>111</v>
      </c>
      <c r="R46" s="1386" t="s">
        <v>5</v>
      </c>
      <c r="S46" s="1387">
        <f t="shared" si="9"/>
        <v>100</v>
      </c>
      <c r="T46" s="1386" t="s">
        <v>5</v>
      </c>
      <c r="U46" s="1387">
        <f t="shared" si="10"/>
        <v>100</v>
      </c>
      <c r="V46" s="1386" t="s">
        <v>5</v>
      </c>
      <c r="W46" s="1387">
        <f t="shared" si="11"/>
        <v>100</v>
      </c>
      <c r="X46" s="1380"/>
      <c r="Y46" s="3875"/>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58"/>
      <c r="Q47" s="1385">
        <f t="shared" si="8"/>
        <v>111</v>
      </c>
      <c r="R47" s="1386" t="s">
        <v>5</v>
      </c>
      <c r="S47" s="1387">
        <f t="shared" si="9"/>
        <v>100</v>
      </c>
      <c r="T47" s="1386" t="s">
        <v>5</v>
      </c>
      <c r="U47" s="1387">
        <f t="shared" si="10"/>
        <v>100</v>
      </c>
      <c r="V47" s="1386" t="s">
        <v>5</v>
      </c>
      <c r="W47" s="1387">
        <f t="shared" si="11"/>
        <v>100</v>
      </c>
      <c r="X47" s="1380"/>
      <c r="Y47" s="3958"/>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882" t="str">
        <f>A48</f>
        <v>成交单价（元/平方米）</v>
      </c>
      <c r="Q48" s="3876"/>
      <c r="R48" s="3957">
        <f>E48</f>
        <v>0</v>
      </c>
      <c r="S48" s="3957"/>
      <c r="T48" s="3957">
        <f>G48</f>
        <v>0</v>
      </c>
      <c r="U48" s="3957"/>
      <c r="V48" s="3957">
        <f>I48</f>
        <v>0</v>
      </c>
      <c r="W48" s="3957"/>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82" t="str">
        <f>A49</f>
        <v>比较价格（元/平方米）</v>
      </c>
      <c r="Q49" s="3876"/>
      <c r="R49" s="3957" t="e">
        <f>IF(F1="售价",ROUND(PRODUCT(R48,AA7:AA47),0),ROUND(PRODUCT(R48,AA7:AA47),1))</f>
        <v>#DIV/0!</v>
      </c>
      <c r="S49" s="3957"/>
      <c r="T49" s="3957" t="e">
        <f>IF(F1="售价",ROUND(PRODUCT(T48,AB7:AB47),0),ROUND(PRODUCT(T48,AB7:AB47),1))</f>
        <v>#DIV/0!</v>
      </c>
      <c r="U49" s="3957"/>
      <c r="V49" s="3957" t="e">
        <f>IF(F1="售价",ROUND(PRODUCT(V48,AC7:AC47),0),ROUND(PRODUCT(V48,AC7:AC47),1))</f>
        <v>#DIV/0!</v>
      </c>
      <c r="W49" s="3957"/>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3959" t="str">
        <f>A50</f>
        <v>估价对象XX用房的比较价格（楼面单价，元/平方米）</v>
      </c>
      <c r="Q50" s="3882"/>
      <c r="R50" s="3956" t="e">
        <f>IF(F1="售价",ROUND(IF(D49="简单平均",AVERAGE(R49:V49),R49*F49+T49*H49+V49*J49),0),ROUND(IF(D49="简单平均",AVERAGE(R49:V49),R49*F49+T49*H49+V49*J49),1))</f>
        <v>#DIV/0!</v>
      </c>
      <c r="S50" s="3956"/>
      <c r="T50" s="3956"/>
      <c r="U50" s="3956"/>
      <c r="V50" s="3956"/>
      <c r="W50" s="3956"/>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470</v>
      </c>
      <c r="B4" s="483"/>
      <c r="C4" s="3857" t="s">
        <v>471</v>
      </c>
      <c r="D4" s="3858"/>
      <c r="E4" s="3859" t="s">
        <v>472</v>
      </c>
      <c r="F4" s="3860"/>
      <c r="G4" s="3857" t="s">
        <v>473</v>
      </c>
      <c r="H4" s="3858"/>
      <c r="I4" s="3857" t="s">
        <v>474</v>
      </c>
      <c r="J4" s="3858"/>
      <c r="K4" s="484" t="s">
        <v>475</v>
      </c>
      <c r="L4" s="1856"/>
      <c r="M4" s="1857"/>
      <c r="N4" s="1857"/>
      <c r="O4" s="1857"/>
      <c r="P4" s="3861" t="s">
        <v>476</v>
      </c>
      <c r="Q4" s="3862"/>
      <c r="R4" s="3843" t="s">
        <v>472</v>
      </c>
      <c r="S4" s="3844"/>
      <c r="T4" s="3843" t="s">
        <v>473</v>
      </c>
      <c r="U4" s="3844"/>
      <c r="V4" s="3869" t="s">
        <v>474</v>
      </c>
      <c r="W4" s="3869"/>
      <c r="X4" s="1380"/>
      <c r="Y4" s="3843" t="s">
        <v>476</v>
      </c>
      <c r="Z4" s="3844"/>
      <c r="AA4" s="3854" t="s">
        <v>472</v>
      </c>
      <c r="AB4" s="3855" t="s">
        <v>473</v>
      </c>
      <c r="AC4" s="3854" t="s">
        <v>474</v>
      </c>
    </row>
    <row r="5" spans="1:29">
      <c r="A5" s="485"/>
      <c r="B5" s="486"/>
      <c r="C5" s="3847" t="s">
        <v>2192</v>
      </c>
      <c r="D5" s="3848"/>
      <c r="E5" s="3870" t="s">
        <v>2193</v>
      </c>
      <c r="F5" s="3871"/>
      <c r="G5" s="3847" t="s">
        <v>2194</v>
      </c>
      <c r="H5" s="3848"/>
      <c r="I5" s="3847" t="s">
        <v>2195</v>
      </c>
      <c r="J5" s="3848"/>
      <c r="K5" s="484"/>
      <c r="L5" s="1856"/>
      <c r="M5" s="1857"/>
      <c r="N5" s="1857"/>
      <c r="O5" s="1857"/>
      <c r="P5" s="3863"/>
      <c r="Q5" s="3864"/>
      <c r="R5" s="3845"/>
      <c r="S5" s="3846"/>
      <c r="T5" s="3845"/>
      <c r="U5" s="3846"/>
      <c r="V5" s="3869"/>
      <c r="W5" s="3869"/>
      <c r="X5" s="1380"/>
      <c r="Y5" s="3845"/>
      <c r="Z5" s="3846"/>
      <c r="AA5" s="3855"/>
      <c r="AB5" s="3855"/>
      <c r="AC5" s="3855"/>
    </row>
    <row r="6" spans="1:29" ht="15" thickBot="1">
      <c r="A6" s="487"/>
      <c r="B6" s="488"/>
      <c r="C6" s="3849" t="s">
        <v>2196</v>
      </c>
      <c r="D6" s="3850"/>
      <c r="E6" s="3852" t="s">
        <v>2196</v>
      </c>
      <c r="F6" s="3853"/>
      <c r="G6" s="3849" t="s">
        <v>2196</v>
      </c>
      <c r="H6" s="3850"/>
      <c r="I6" s="3849" t="s">
        <v>2196</v>
      </c>
      <c r="J6" s="3850"/>
      <c r="K6" s="484" t="s">
        <v>477</v>
      </c>
      <c r="L6" s="1856"/>
      <c r="M6" s="1857"/>
      <c r="N6" s="1857"/>
      <c r="O6" s="1857"/>
      <c r="P6" s="3865"/>
      <c r="Q6" s="3866"/>
      <c r="R6" s="3845"/>
      <c r="S6" s="3846"/>
      <c r="T6" s="3867"/>
      <c r="U6" s="3868"/>
      <c r="V6" s="3869"/>
      <c r="W6" s="3869"/>
      <c r="X6" s="1380"/>
      <c r="Y6" s="3867"/>
      <c r="Z6" s="3868"/>
      <c r="AA6" s="3856"/>
      <c r="AB6" s="3856"/>
      <c r="AC6" s="3856"/>
    </row>
    <row r="7" spans="1:29" s="1118" customFormat="1" ht="15" thickBot="1">
      <c r="A7" s="2392"/>
      <c r="B7" s="2399" t="s">
        <v>478</v>
      </c>
      <c r="C7" s="489">
        <f>'数据-取费表'!B2</f>
        <v>44986</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41" t="s">
        <v>479</v>
      </c>
      <c r="Q7" s="3851"/>
      <c r="R7" s="1381" t="s">
        <v>5</v>
      </c>
      <c r="S7" s="1382">
        <f t="shared" ref="S7:S15" si="0">F7</f>
        <v>0</v>
      </c>
      <c r="T7" s="1381" t="s">
        <v>5</v>
      </c>
      <c r="U7" s="1382">
        <f t="shared" ref="U7:U15" si="1">H7</f>
        <v>0</v>
      </c>
      <c r="V7" s="1381" t="s">
        <v>5</v>
      </c>
      <c r="W7" s="1382">
        <f t="shared" ref="W7:W15" si="2">J7</f>
        <v>0</v>
      </c>
      <c r="X7" s="1383"/>
      <c r="Y7" s="3841" t="s">
        <v>479</v>
      </c>
      <c r="Z7" s="3842"/>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41" t="s">
        <v>482</v>
      </c>
      <c r="Q8" s="3842"/>
      <c r="R8" s="1381" t="s">
        <v>5</v>
      </c>
      <c r="S8" s="1382">
        <f t="shared" si="0"/>
        <v>0</v>
      </c>
      <c r="T8" s="1381" t="s">
        <v>5</v>
      </c>
      <c r="U8" s="1382">
        <f t="shared" si="1"/>
        <v>0</v>
      </c>
      <c r="V8" s="1381" t="s">
        <v>5</v>
      </c>
      <c r="W8" s="1382">
        <f t="shared" si="2"/>
        <v>0</v>
      </c>
      <c r="X8" s="1383"/>
      <c r="Y8" s="3841" t="s">
        <v>482</v>
      </c>
      <c r="Z8" s="3842"/>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76" t="s">
        <v>484</v>
      </c>
      <c r="Q9" s="1050" t="str">
        <f t="shared" ref="Q9:Q15" si="6">B9</f>
        <v>用途</v>
      </c>
      <c r="R9" s="1381" t="s">
        <v>5</v>
      </c>
      <c r="S9" s="1382">
        <f t="shared" si="0"/>
        <v>100</v>
      </c>
      <c r="T9" s="1381" t="s">
        <v>5</v>
      </c>
      <c r="U9" s="1382">
        <f t="shared" si="1"/>
        <v>100</v>
      </c>
      <c r="V9" s="1381" t="s">
        <v>5</v>
      </c>
      <c r="W9" s="1382">
        <f t="shared" si="2"/>
        <v>100</v>
      </c>
      <c r="X9" s="1383"/>
      <c r="Y9" s="3790"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7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76"/>
      <c r="Q11" s="1050" t="str">
        <f t="shared" si="6"/>
        <v>容积率</v>
      </c>
      <c r="R11" s="1381" t="s">
        <v>5</v>
      </c>
      <c r="S11" s="1382" t="e">
        <f t="shared" si="0"/>
        <v>#N/A</v>
      </c>
      <c r="T11" s="1381" t="s">
        <v>5</v>
      </c>
      <c r="U11" s="1382" t="e">
        <f t="shared" si="1"/>
        <v>#N/A</v>
      </c>
      <c r="V11" s="1381" t="s">
        <v>5</v>
      </c>
      <c r="W11" s="1382" t="e">
        <f t="shared" si="2"/>
        <v>#N/A</v>
      </c>
      <c r="X11" s="1383"/>
      <c r="Y11" s="379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76"/>
      <c r="Q12" s="1050">
        <f t="shared" si="6"/>
        <v>111</v>
      </c>
      <c r="R12" s="1381" t="s">
        <v>5</v>
      </c>
      <c r="S12" s="1382">
        <f t="shared" si="0"/>
        <v>100</v>
      </c>
      <c r="T12" s="1381" t="s">
        <v>5</v>
      </c>
      <c r="U12" s="1382">
        <f t="shared" si="1"/>
        <v>100</v>
      </c>
      <c r="V12" s="1381" t="s">
        <v>5</v>
      </c>
      <c r="W12" s="1382">
        <f t="shared" si="2"/>
        <v>100</v>
      </c>
      <c r="X12" s="1383"/>
      <c r="Y12" s="379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76"/>
      <c r="Q13" s="1050">
        <f t="shared" si="6"/>
        <v>111</v>
      </c>
      <c r="R13" s="1381" t="s">
        <v>5</v>
      </c>
      <c r="S13" s="1382">
        <f t="shared" si="0"/>
        <v>100</v>
      </c>
      <c r="T13" s="1381" t="s">
        <v>5</v>
      </c>
      <c r="U13" s="1382">
        <f t="shared" si="1"/>
        <v>100</v>
      </c>
      <c r="V13" s="1381" t="s">
        <v>5</v>
      </c>
      <c r="W13" s="1382">
        <f t="shared" si="2"/>
        <v>100</v>
      </c>
      <c r="X13" s="1383"/>
      <c r="Y13" s="3790"/>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76"/>
      <c r="Q14" s="1050">
        <f t="shared" si="6"/>
        <v>111</v>
      </c>
      <c r="R14" s="1381" t="s">
        <v>5</v>
      </c>
      <c r="S14" s="1382">
        <f t="shared" si="0"/>
        <v>100</v>
      </c>
      <c r="T14" s="1381" t="s">
        <v>5</v>
      </c>
      <c r="U14" s="1382">
        <f t="shared" si="1"/>
        <v>100</v>
      </c>
      <c r="V14" s="1381" t="s">
        <v>5</v>
      </c>
      <c r="W14" s="1382">
        <f t="shared" si="2"/>
        <v>100</v>
      </c>
      <c r="X14" s="1383"/>
      <c r="Y14" s="3790"/>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2" t="s">
        <v>489</v>
      </c>
      <c r="Q15" s="1385" t="str">
        <f t="shared" si="6"/>
        <v>产业集聚程度</v>
      </c>
      <c r="R15" s="1386" t="s">
        <v>5</v>
      </c>
      <c r="S15" s="1387">
        <f t="shared" si="0"/>
        <v>100</v>
      </c>
      <c r="T15" s="1386" t="s">
        <v>5</v>
      </c>
      <c r="U15" s="1387">
        <f t="shared" si="1"/>
        <v>100</v>
      </c>
      <c r="V15" s="1386" t="s">
        <v>5</v>
      </c>
      <c r="W15" s="1387">
        <f t="shared" si="2"/>
        <v>100</v>
      </c>
      <c r="X15" s="1380"/>
      <c r="Y15" s="387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3"/>
      <c r="Q16" s="1385"/>
      <c r="R16" s="1386"/>
      <c r="S16" s="1387"/>
      <c r="T16" s="1386"/>
      <c r="U16" s="1387"/>
      <c r="V16" s="1386"/>
      <c r="W16" s="1387"/>
      <c r="X16" s="1380"/>
      <c r="Y16" s="3873"/>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3"/>
      <c r="Q17" s="1385" t="str">
        <f>B17</f>
        <v>交通便捷度</v>
      </c>
      <c r="R17" s="1386" t="s">
        <v>5</v>
      </c>
      <c r="S17" s="1387">
        <f>F17</f>
        <v>100</v>
      </c>
      <c r="T17" s="1386" t="s">
        <v>5</v>
      </c>
      <c r="U17" s="1387">
        <f>H17</f>
        <v>100</v>
      </c>
      <c r="V17" s="1386" t="s">
        <v>5</v>
      </c>
      <c r="W17" s="1387">
        <f>J17</f>
        <v>100</v>
      </c>
      <c r="X17" s="1380"/>
      <c r="Y17" s="387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3"/>
      <c r="Q18" s="1385"/>
      <c r="R18" s="1386"/>
      <c r="S18" s="1387"/>
      <c r="T18" s="1386"/>
      <c r="U18" s="1387"/>
      <c r="V18" s="1386"/>
      <c r="W18" s="1387"/>
      <c r="X18" s="1380"/>
      <c r="Y18" s="3873"/>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3"/>
      <c r="Q19" s="1385" t="str">
        <f>B19</f>
        <v>公共配套设施</v>
      </c>
      <c r="R19" s="1386" t="s">
        <v>5</v>
      </c>
      <c r="S19" s="1387">
        <f>F19</f>
        <v>100</v>
      </c>
      <c r="T19" s="1386" t="s">
        <v>5</v>
      </c>
      <c r="U19" s="1387">
        <f>H19</f>
        <v>100</v>
      </c>
      <c r="V19" s="1386" t="s">
        <v>5</v>
      </c>
      <c r="W19" s="1387">
        <f>J19</f>
        <v>100</v>
      </c>
      <c r="X19" s="1380"/>
      <c r="Y19" s="387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3"/>
      <c r="Q20" s="1385"/>
      <c r="R20" s="1386"/>
      <c r="S20" s="1387"/>
      <c r="T20" s="1386"/>
      <c r="U20" s="1387"/>
      <c r="V20" s="1386"/>
      <c r="W20" s="1387"/>
      <c r="X20" s="1380"/>
      <c r="Y20" s="3873"/>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3"/>
      <c r="Q21" s="2193" t="str">
        <f>B21</f>
        <v>基础设施水平</v>
      </c>
      <c r="R21" s="1386" t="s">
        <v>5</v>
      </c>
      <c r="S21" s="1387">
        <f>F21</f>
        <v>100</v>
      </c>
      <c r="T21" s="1386" t="s">
        <v>5</v>
      </c>
      <c r="U21" s="1387">
        <f>H21</f>
        <v>100</v>
      </c>
      <c r="V21" s="1386" t="s">
        <v>5</v>
      </c>
      <c r="W21" s="1387">
        <f>J21</f>
        <v>100</v>
      </c>
      <c r="X21" s="2195"/>
      <c r="Y21" s="387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3"/>
      <c r="Q22" s="2193"/>
      <c r="R22" s="1386"/>
      <c r="S22" s="1387"/>
      <c r="T22" s="1386"/>
      <c r="U22" s="1387"/>
      <c r="V22" s="1386"/>
      <c r="W22" s="1387"/>
      <c r="X22" s="2195"/>
      <c r="Y22" s="3873"/>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3"/>
      <c r="Q23" s="1385" t="str">
        <f>B23</f>
        <v>环境质量</v>
      </c>
      <c r="R23" s="1386" t="s">
        <v>5</v>
      </c>
      <c r="S23" s="1387">
        <f>F23</f>
        <v>100</v>
      </c>
      <c r="T23" s="1386" t="s">
        <v>5</v>
      </c>
      <c r="U23" s="1387">
        <f>H23</f>
        <v>100</v>
      </c>
      <c r="V23" s="1386" t="s">
        <v>5</v>
      </c>
      <c r="W23" s="1387">
        <f>J23</f>
        <v>100</v>
      </c>
      <c r="X23" s="1380"/>
      <c r="Y23" s="387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3"/>
      <c r="Q24" s="1385"/>
      <c r="R24" s="1386"/>
      <c r="S24" s="1387"/>
      <c r="T24" s="1386"/>
      <c r="U24" s="1387"/>
      <c r="V24" s="1386"/>
      <c r="W24" s="1387"/>
      <c r="X24" s="1380"/>
      <c r="Y24" s="387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3"/>
      <c r="Q25" s="1385">
        <f>B25</f>
        <v>111</v>
      </c>
      <c r="R25" s="1386" t="s">
        <v>5</v>
      </c>
      <c r="S25" s="1387">
        <f>F25</f>
        <v>100</v>
      </c>
      <c r="T25" s="1386" t="s">
        <v>5</v>
      </c>
      <c r="U25" s="1387">
        <f>H25</f>
        <v>100</v>
      </c>
      <c r="V25" s="1386" t="s">
        <v>5</v>
      </c>
      <c r="W25" s="1387">
        <f>J25</f>
        <v>100</v>
      </c>
      <c r="X25" s="1380"/>
      <c r="Y25" s="387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3"/>
      <c r="Q26" s="1385">
        <f t="shared" ref="Q26:Q40" si="8">B26</f>
        <v>111</v>
      </c>
      <c r="R26" s="1386" t="s">
        <v>5</v>
      </c>
      <c r="S26" s="1387">
        <f>F26</f>
        <v>100</v>
      </c>
      <c r="T26" s="1386" t="s">
        <v>5</v>
      </c>
      <c r="U26" s="1387">
        <f>H26</f>
        <v>100</v>
      </c>
      <c r="V26" s="1386" t="s">
        <v>5</v>
      </c>
      <c r="W26" s="1387">
        <f>J26</f>
        <v>100</v>
      </c>
      <c r="X26" s="1380"/>
      <c r="Y26" s="387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3"/>
      <c r="Q27" s="1050">
        <f t="shared" si="8"/>
        <v>111</v>
      </c>
      <c r="R27" s="1381" t="s">
        <v>5</v>
      </c>
      <c r="S27" s="1382">
        <f>F27</f>
        <v>100</v>
      </c>
      <c r="T27" s="1381" t="s">
        <v>5</v>
      </c>
      <c r="U27" s="1382">
        <f>H27</f>
        <v>100</v>
      </c>
      <c r="V27" s="1381" t="s">
        <v>5</v>
      </c>
      <c r="W27" s="1382">
        <f>J27</f>
        <v>100</v>
      </c>
      <c r="X27" s="1383"/>
      <c r="Y27" s="3873"/>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3"/>
      <c r="Q28" s="1385">
        <f t="shared" si="8"/>
        <v>111</v>
      </c>
      <c r="R28" s="1386" t="s">
        <v>5</v>
      </c>
      <c r="S28" s="1387">
        <f t="shared" ref="S28:S40" si="9">F28</f>
        <v>100</v>
      </c>
      <c r="T28" s="1386" t="s">
        <v>5</v>
      </c>
      <c r="U28" s="1387">
        <f t="shared" ref="U28:U40" si="10">H28</f>
        <v>100</v>
      </c>
      <c r="V28" s="1386" t="s">
        <v>5</v>
      </c>
      <c r="W28" s="1387">
        <f t="shared" ref="W28:W40" si="11">J28</f>
        <v>100</v>
      </c>
      <c r="X28" s="1380"/>
      <c r="Y28" s="3873"/>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4" t="s">
        <v>499</v>
      </c>
      <c r="Q29" s="1385" t="str">
        <f t="shared" si="8"/>
        <v>建筑类型</v>
      </c>
      <c r="R29" s="1386" t="s">
        <v>5</v>
      </c>
      <c r="S29" s="1387">
        <f t="shared" si="9"/>
        <v>100</v>
      </c>
      <c r="T29" s="1386" t="s">
        <v>5</v>
      </c>
      <c r="U29" s="1387">
        <f t="shared" si="10"/>
        <v>100</v>
      </c>
      <c r="V29" s="1386" t="s">
        <v>5</v>
      </c>
      <c r="W29" s="1387">
        <f t="shared" si="11"/>
        <v>100</v>
      </c>
      <c r="X29" s="1380"/>
      <c r="Y29" s="387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5"/>
      <c r="Q30" s="1414" t="str">
        <f t="shared" si="8"/>
        <v>项目建筑规模</v>
      </c>
      <c r="R30" s="1390" t="s">
        <v>5</v>
      </c>
      <c r="S30" s="1391" t="e">
        <f t="shared" si="9"/>
        <v>#N/A</v>
      </c>
      <c r="T30" s="1390" t="s">
        <v>5</v>
      </c>
      <c r="U30" s="1391" t="e">
        <f t="shared" si="10"/>
        <v>#N/A</v>
      </c>
      <c r="V30" s="1390" t="s">
        <v>5</v>
      </c>
      <c r="W30" s="1391" t="e">
        <f t="shared" si="11"/>
        <v>#N/A</v>
      </c>
      <c r="X30" s="1392"/>
      <c r="Y30" s="387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5"/>
      <c r="Q31" s="1385" t="str">
        <f t="shared" si="8"/>
        <v>建筑结构</v>
      </c>
      <c r="R31" s="1386" t="s">
        <v>5</v>
      </c>
      <c r="S31" s="1387">
        <f t="shared" si="9"/>
        <v>100</v>
      </c>
      <c r="T31" s="1386" t="s">
        <v>5</v>
      </c>
      <c r="U31" s="1387">
        <f t="shared" si="10"/>
        <v>100</v>
      </c>
      <c r="V31" s="1386" t="s">
        <v>5</v>
      </c>
      <c r="W31" s="1387">
        <f t="shared" si="11"/>
        <v>100</v>
      </c>
      <c r="X31" s="1380"/>
      <c r="Y31" s="387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5"/>
      <c r="Q32" s="1385" t="str">
        <f t="shared" si="8"/>
        <v>公共部分装修</v>
      </c>
      <c r="R32" s="1386" t="s">
        <v>5</v>
      </c>
      <c r="S32" s="1387">
        <f t="shared" si="9"/>
        <v>100</v>
      </c>
      <c r="T32" s="1386" t="s">
        <v>5</v>
      </c>
      <c r="U32" s="1387">
        <f t="shared" si="10"/>
        <v>100</v>
      </c>
      <c r="V32" s="1386" t="s">
        <v>5</v>
      </c>
      <c r="W32" s="1387">
        <f t="shared" si="11"/>
        <v>100</v>
      </c>
      <c r="X32" s="1380"/>
      <c r="Y32" s="387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5"/>
      <c r="Q33" s="1385" t="str">
        <f t="shared" si="8"/>
        <v>成新度</v>
      </c>
      <c r="R33" s="1386" t="s">
        <v>5</v>
      </c>
      <c r="S33" s="1387" t="e">
        <f t="shared" si="9"/>
        <v>#N/A</v>
      </c>
      <c r="T33" s="1386" t="s">
        <v>5</v>
      </c>
      <c r="U33" s="1387" t="e">
        <f t="shared" si="10"/>
        <v>#N/A</v>
      </c>
      <c r="V33" s="1386" t="s">
        <v>5</v>
      </c>
      <c r="W33" s="1387" t="e">
        <f t="shared" si="11"/>
        <v>#N/A</v>
      </c>
      <c r="X33" s="1380"/>
      <c r="Y33" s="387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5"/>
      <c r="Q34" s="1050" t="str">
        <f t="shared" si="8"/>
        <v>物业管理</v>
      </c>
      <c r="R34" s="1381" t="s">
        <v>5</v>
      </c>
      <c r="S34" s="1382">
        <f t="shared" si="9"/>
        <v>100</v>
      </c>
      <c r="T34" s="1381" t="s">
        <v>5</v>
      </c>
      <c r="U34" s="1382">
        <f t="shared" si="10"/>
        <v>100</v>
      </c>
      <c r="V34" s="1381" t="s">
        <v>5</v>
      </c>
      <c r="W34" s="1382">
        <f t="shared" si="11"/>
        <v>100</v>
      </c>
      <c r="X34" s="1383"/>
      <c r="Y34" s="3875"/>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5" t="s">
        <v>499</v>
      </c>
      <c r="Q35" s="1385" t="str">
        <f t="shared" si="8"/>
        <v>市政基础设施</v>
      </c>
      <c r="R35" s="1386" t="s">
        <v>5</v>
      </c>
      <c r="S35" s="1387">
        <f t="shared" si="9"/>
        <v>100</v>
      </c>
      <c r="T35" s="1386" t="s">
        <v>5</v>
      </c>
      <c r="U35" s="1387">
        <f t="shared" si="10"/>
        <v>100</v>
      </c>
      <c r="V35" s="1386" t="s">
        <v>5</v>
      </c>
      <c r="W35" s="1387">
        <f t="shared" si="11"/>
        <v>100</v>
      </c>
      <c r="X35" s="1380"/>
      <c r="Y35" s="387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5"/>
      <c r="Q36" s="1385" t="str">
        <f t="shared" si="8"/>
        <v>内部装修</v>
      </c>
      <c r="R36" s="1386" t="s">
        <v>5</v>
      </c>
      <c r="S36" s="1387">
        <f t="shared" si="9"/>
        <v>100</v>
      </c>
      <c r="T36" s="1386" t="s">
        <v>5</v>
      </c>
      <c r="U36" s="1387">
        <f t="shared" si="10"/>
        <v>100</v>
      </c>
      <c r="V36" s="1386" t="s">
        <v>5</v>
      </c>
      <c r="W36" s="1387">
        <f t="shared" si="11"/>
        <v>100</v>
      </c>
      <c r="X36" s="1380"/>
      <c r="Y36" s="387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5"/>
      <c r="Q37" s="1385" t="str">
        <f t="shared" si="8"/>
        <v>内部装修状况</v>
      </c>
      <c r="R37" s="1386" t="s">
        <v>5</v>
      </c>
      <c r="S37" s="1387">
        <f t="shared" si="9"/>
        <v>100</v>
      </c>
      <c r="T37" s="1386" t="s">
        <v>5</v>
      </c>
      <c r="U37" s="1387">
        <f t="shared" si="10"/>
        <v>100</v>
      </c>
      <c r="V37" s="1386" t="s">
        <v>5</v>
      </c>
      <c r="W37" s="1387">
        <f t="shared" si="11"/>
        <v>100</v>
      </c>
      <c r="X37" s="1380"/>
      <c r="Y37" s="387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5"/>
      <c r="Q38" s="1414">
        <f t="shared" si="8"/>
        <v>111</v>
      </c>
      <c r="R38" s="1390" t="s">
        <v>5</v>
      </c>
      <c r="S38" s="1391">
        <f t="shared" si="9"/>
        <v>100</v>
      </c>
      <c r="T38" s="1390" t="s">
        <v>5</v>
      </c>
      <c r="U38" s="1391">
        <f t="shared" si="10"/>
        <v>100</v>
      </c>
      <c r="V38" s="1390" t="s">
        <v>5</v>
      </c>
      <c r="W38" s="1391">
        <f t="shared" si="11"/>
        <v>100</v>
      </c>
      <c r="X38" s="1392"/>
      <c r="Y38" s="387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5"/>
      <c r="Q39" s="1385">
        <f t="shared" si="8"/>
        <v>111</v>
      </c>
      <c r="R39" s="1386" t="s">
        <v>5</v>
      </c>
      <c r="S39" s="1387">
        <f t="shared" si="9"/>
        <v>100</v>
      </c>
      <c r="T39" s="1386" t="s">
        <v>5</v>
      </c>
      <c r="U39" s="1387">
        <f t="shared" si="10"/>
        <v>100</v>
      </c>
      <c r="V39" s="1386" t="s">
        <v>5</v>
      </c>
      <c r="W39" s="1387">
        <f t="shared" si="11"/>
        <v>100</v>
      </c>
      <c r="X39" s="1380"/>
      <c r="Y39" s="3875"/>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58"/>
      <c r="Q40" s="1385">
        <f t="shared" si="8"/>
        <v>111</v>
      </c>
      <c r="R40" s="1386" t="s">
        <v>5</v>
      </c>
      <c r="S40" s="1387">
        <f t="shared" si="9"/>
        <v>100</v>
      </c>
      <c r="T40" s="1386" t="s">
        <v>5</v>
      </c>
      <c r="U40" s="1387">
        <f t="shared" si="10"/>
        <v>100</v>
      </c>
      <c r="V40" s="1386" t="s">
        <v>5</v>
      </c>
      <c r="W40" s="1387">
        <f t="shared" si="11"/>
        <v>100</v>
      </c>
      <c r="X40" s="1380"/>
      <c r="Y40" s="3958"/>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76" t="str">
        <f>A41</f>
        <v>成交单价（元/平方米）</v>
      </c>
      <c r="Q41" s="3876"/>
      <c r="R41" s="3957">
        <f>E41</f>
        <v>0</v>
      </c>
      <c r="S41" s="3957"/>
      <c r="T41" s="3957">
        <f>G41</f>
        <v>0</v>
      </c>
      <c r="U41" s="3957"/>
      <c r="V41" s="3957">
        <f>I41</f>
        <v>0</v>
      </c>
      <c r="W41" s="3957"/>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76" t="str">
        <f>A42</f>
        <v>比较价格（元/平方米）</v>
      </c>
      <c r="Q42" s="3876"/>
      <c r="R42" s="3957" t="e">
        <f>IF(F1="售价",ROUND(PRODUCT(R41,AA7:AA40),0),ROUND(PRODUCT(R41,AA7:AA40),1))</f>
        <v>#DIV/0!</v>
      </c>
      <c r="S42" s="3957"/>
      <c r="T42" s="3957" t="e">
        <f>IF(F1="售价",ROUND(PRODUCT(T41,AB7:AB40),0),ROUND(PRODUCT(T41,AB7:AB40),1))</f>
        <v>#DIV/0!</v>
      </c>
      <c r="U42" s="3957"/>
      <c r="V42" s="3957" t="e">
        <f>IF(F1="售价",ROUND(PRODUCT(V41,AC7:AC40),0),ROUND(PRODUCT(V41,AC7:AC40),1))</f>
        <v>#DIV/0!</v>
      </c>
      <c r="W42" s="3957"/>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881" t="str">
        <f>A43</f>
        <v>估价对象XX用房的比较价格（楼面单价，元/平方米）</v>
      </c>
      <c r="Q43" s="3882"/>
      <c r="R43" s="3956" t="e">
        <f>IF(F1="售价",ROUND(IF(D42="简单平均",AVERAGE(R42:V42),R42*F42+T42*H42+V42*J42),0),ROUND(IF(D42="简单平均",AVERAGE(R42:V42),R42*F42+T42*H42+V42*J42),1))</f>
        <v>#DIV/0!</v>
      </c>
      <c r="S43" s="3956"/>
      <c r="T43" s="3956"/>
      <c r="U43" s="3956"/>
      <c r="V43" s="3956"/>
      <c r="W43" s="3956"/>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857" t="s">
        <v>738</v>
      </c>
      <c r="D4" s="3858"/>
      <c r="E4" s="3857" t="s">
        <v>739</v>
      </c>
      <c r="F4" s="3858"/>
      <c r="G4" s="3857" t="s">
        <v>740</v>
      </c>
      <c r="H4" s="3858"/>
      <c r="I4" s="3857" t="s">
        <v>741</v>
      </c>
      <c r="J4" s="3858"/>
      <c r="K4" s="484" t="s">
        <v>742</v>
      </c>
      <c r="L4" s="1856"/>
      <c r="M4" s="1857"/>
      <c r="N4" s="1857"/>
      <c r="O4" s="1857"/>
      <c r="P4" s="3861" t="s">
        <v>743</v>
      </c>
      <c r="Q4" s="3862"/>
      <c r="R4" s="3843" t="s">
        <v>739</v>
      </c>
      <c r="S4" s="3844"/>
      <c r="T4" s="3843" t="s">
        <v>740</v>
      </c>
      <c r="U4" s="3844"/>
      <c r="V4" s="3869" t="s">
        <v>741</v>
      </c>
      <c r="W4" s="3869"/>
      <c r="X4" s="1380"/>
      <c r="Y4" s="3843" t="s">
        <v>743</v>
      </c>
      <c r="Z4" s="3844"/>
      <c r="AA4" s="3854" t="s">
        <v>739</v>
      </c>
      <c r="AB4" s="3855" t="s">
        <v>740</v>
      </c>
      <c r="AC4" s="3854" t="s">
        <v>741</v>
      </c>
    </row>
    <row r="5" spans="1:29">
      <c r="A5" s="485"/>
      <c r="B5" s="486"/>
      <c r="C5" s="3847" t="s">
        <v>2192</v>
      </c>
      <c r="D5" s="3848"/>
      <c r="E5" s="3847" t="s">
        <v>2193</v>
      </c>
      <c r="F5" s="3848"/>
      <c r="G5" s="3847" t="s">
        <v>2194</v>
      </c>
      <c r="H5" s="3848"/>
      <c r="I5" s="3847" t="s">
        <v>2195</v>
      </c>
      <c r="J5" s="3848"/>
      <c r="K5" s="484"/>
      <c r="L5" s="1856"/>
      <c r="M5" s="1857"/>
      <c r="N5" s="1857"/>
      <c r="O5" s="1857"/>
      <c r="P5" s="3863"/>
      <c r="Q5" s="3864"/>
      <c r="R5" s="3845"/>
      <c r="S5" s="3846"/>
      <c r="T5" s="3845"/>
      <c r="U5" s="3846"/>
      <c r="V5" s="3869"/>
      <c r="W5" s="3869"/>
      <c r="X5" s="1380"/>
      <c r="Y5" s="3845"/>
      <c r="Z5" s="3846"/>
      <c r="AA5" s="3855"/>
      <c r="AB5" s="3855"/>
      <c r="AC5" s="3855"/>
    </row>
    <row r="6" spans="1:29" ht="15" thickBot="1">
      <c r="A6" s="487"/>
      <c r="B6" s="488"/>
      <c r="C6" s="3849" t="s">
        <v>2196</v>
      </c>
      <c r="D6" s="3850"/>
      <c r="E6" s="3890" t="s">
        <v>2196</v>
      </c>
      <c r="F6" s="3891"/>
      <c r="G6" s="3849" t="s">
        <v>2196</v>
      </c>
      <c r="H6" s="3850"/>
      <c r="I6" s="3849" t="s">
        <v>2196</v>
      </c>
      <c r="J6" s="3850"/>
      <c r="K6" s="484" t="s">
        <v>477</v>
      </c>
      <c r="L6" s="1856"/>
      <c r="M6" s="1857"/>
      <c r="N6" s="1857"/>
      <c r="O6" s="1857"/>
      <c r="P6" s="3865"/>
      <c r="Q6" s="3866"/>
      <c r="R6" s="3845"/>
      <c r="S6" s="3846"/>
      <c r="T6" s="3867"/>
      <c r="U6" s="3868"/>
      <c r="V6" s="3869"/>
      <c r="W6" s="3869"/>
      <c r="X6" s="1380"/>
      <c r="Y6" s="3867"/>
      <c r="Z6" s="3868"/>
      <c r="AA6" s="3856"/>
      <c r="AB6" s="3856"/>
      <c r="AC6" s="3856"/>
    </row>
    <row r="7" spans="1:29" s="1118" customFormat="1" ht="15" thickBot="1">
      <c r="A7" s="2392"/>
      <c r="B7" s="2399" t="s">
        <v>478</v>
      </c>
      <c r="C7" s="489">
        <f>'数据-取费表'!B2</f>
        <v>44986</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41" t="s">
        <v>479</v>
      </c>
      <c r="Q7" s="3851"/>
      <c r="R7" s="1381" t="s">
        <v>5</v>
      </c>
      <c r="S7" s="1382">
        <f t="shared" ref="S7:S14" si="0">F7</f>
        <v>0</v>
      </c>
      <c r="T7" s="1381" t="s">
        <v>5</v>
      </c>
      <c r="U7" s="1382">
        <f t="shared" ref="U7:U14" si="1">H7</f>
        <v>0</v>
      </c>
      <c r="V7" s="1381" t="s">
        <v>5</v>
      </c>
      <c r="W7" s="1382">
        <f t="shared" ref="W7:W14" si="2">J7</f>
        <v>0</v>
      </c>
      <c r="X7" s="1383"/>
      <c r="Y7" s="3841" t="s">
        <v>479</v>
      </c>
      <c r="Z7" s="3842"/>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41" t="s">
        <v>482</v>
      </c>
      <c r="Q8" s="3842"/>
      <c r="R8" s="1381" t="s">
        <v>5</v>
      </c>
      <c r="S8" s="1382">
        <f t="shared" si="0"/>
        <v>0</v>
      </c>
      <c r="T8" s="1381" t="s">
        <v>5</v>
      </c>
      <c r="U8" s="1382">
        <f t="shared" si="1"/>
        <v>0</v>
      </c>
      <c r="V8" s="1381" t="s">
        <v>5</v>
      </c>
      <c r="W8" s="1382">
        <f t="shared" si="2"/>
        <v>0</v>
      </c>
      <c r="X8" s="1383"/>
      <c r="Y8" s="3841" t="s">
        <v>482</v>
      </c>
      <c r="Z8" s="3842"/>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76" t="s">
        <v>484</v>
      </c>
      <c r="Q9" s="1050" t="str">
        <f t="shared" ref="Q9:Q14" si="6">B9</f>
        <v>用途</v>
      </c>
      <c r="R9" s="1381" t="s">
        <v>5</v>
      </c>
      <c r="S9" s="1382">
        <f t="shared" si="0"/>
        <v>100</v>
      </c>
      <c r="T9" s="1381" t="s">
        <v>5</v>
      </c>
      <c r="U9" s="1382">
        <f t="shared" si="1"/>
        <v>100</v>
      </c>
      <c r="V9" s="1381" t="s">
        <v>5</v>
      </c>
      <c r="W9" s="1382">
        <f t="shared" si="2"/>
        <v>100</v>
      </c>
      <c r="X9" s="1383"/>
      <c r="Y9" s="3790"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7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76"/>
      <c r="Q11" s="1050">
        <f t="shared" si="6"/>
        <v>111</v>
      </c>
      <c r="R11" s="1381" t="s">
        <v>5</v>
      </c>
      <c r="S11" s="1382">
        <f t="shared" si="0"/>
        <v>100</v>
      </c>
      <c r="T11" s="1381" t="s">
        <v>5</v>
      </c>
      <c r="U11" s="1382">
        <f t="shared" si="1"/>
        <v>100</v>
      </c>
      <c r="V11" s="1381" t="s">
        <v>5</v>
      </c>
      <c r="W11" s="1382">
        <f t="shared" si="2"/>
        <v>100</v>
      </c>
      <c r="X11" s="1383"/>
      <c r="Y11" s="379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76"/>
      <c r="Q12" s="1050">
        <f t="shared" si="6"/>
        <v>111</v>
      </c>
      <c r="R12" s="1381" t="s">
        <v>5</v>
      </c>
      <c r="S12" s="1382">
        <f t="shared" si="0"/>
        <v>100</v>
      </c>
      <c r="T12" s="1381" t="s">
        <v>5</v>
      </c>
      <c r="U12" s="1382">
        <f t="shared" si="1"/>
        <v>100</v>
      </c>
      <c r="V12" s="1381" t="s">
        <v>5</v>
      </c>
      <c r="W12" s="1382">
        <f t="shared" si="2"/>
        <v>100</v>
      </c>
      <c r="X12" s="1383"/>
      <c r="Y12" s="3790"/>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76"/>
      <c r="Q13" s="1050">
        <f t="shared" si="6"/>
        <v>111</v>
      </c>
      <c r="R13" s="1381" t="s">
        <v>5</v>
      </c>
      <c r="S13" s="1382">
        <f t="shared" si="0"/>
        <v>100</v>
      </c>
      <c r="T13" s="1381" t="s">
        <v>5</v>
      </c>
      <c r="U13" s="1382">
        <f t="shared" si="1"/>
        <v>100</v>
      </c>
      <c r="V13" s="1381" t="s">
        <v>5</v>
      </c>
      <c r="W13" s="1382">
        <f t="shared" si="2"/>
        <v>100</v>
      </c>
      <c r="X13" s="1383"/>
      <c r="Y13" s="3790"/>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2" t="s">
        <v>489</v>
      </c>
      <c r="Q14" s="1385" t="str">
        <f t="shared" si="6"/>
        <v>交通便捷度</v>
      </c>
      <c r="R14" s="1386" t="s">
        <v>5</v>
      </c>
      <c r="S14" s="1387">
        <f t="shared" si="0"/>
        <v>100</v>
      </c>
      <c r="T14" s="1386" t="s">
        <v>5</v>
      </c>
      <c r="U14" s="1387">
        <f t="shared" si="1"/>
        <v>100</v>
      </c>
      <c r="V14" s="1386" t="s">
        <v>5</v>
      </c>
      <c r="W14" s="1387">
        <f t="shared" si="2"/>
        <v>100</v>
      </c>
      <c r="X14" s="1380"/>
      <c r="Y14" s="387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3"/>
      <c r="Q15" s="1385"/>
      <c r="R15" s="1386"/>
      <c r="S15" s="1387"/>
      <c r="T15" s="1386"/>
      <c r="U15" s="1387"/>
      <c r="V15" s="1386"/>
      <c r="W15" s="1387"/>
      <c r="X15" s="1380"/>
      <c r="Y15" s="3873"/>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3"/>
      <c r="Q16" s="1385" t="str">
        <f>B16</f>
        <v>公共配套设施</v>
      </c>
      <c r="R16" s="1386" t="s">
        <v>5</v>
      </c>
      <c r="S16" s="1387">
        <f>F16</f>
        <v>100</v>
      </c>
      <c r="T16" s="1386" t="s">
        <v>5</v>
      </c>
      <c r="U16" s="1387">
        <f>H16</f>
        <v>100</v>
      </c>
      <c r="V16" s="1386" t="s">
        <v>5</v>
      </c>
      <c r="W16" s="1387">
        <f>J16</f>
        <v>100</v>
      </c>
      <c r="X16" s="1380"/>
      <c r="Y16" s="387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3"/>
      <c r="Q17" s="1385"/>
      <c r="R17" s="1386"/>
      <c r="S17" s="1387"/>
      <c r="T17" s="1386"/>
      <c r="U17" s="1387"/>
      <c r="V17" s="1386"/>
      <c r="W17" s="1387"/>
      <c r="X17" s="1380"/>
      <c r="Y17" s="3873"/>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3"/>
      <c r="Q18" s="2193" t="str">
        <f>B18</f>
        <v>基础设施水平</v>
      </c>
      <c r="R18" s="1386" t="s">
        <v>5</v>
      </c>
      <c r="S18" s="1387">
        <f>F18</f>
        <v>100</v>
      </c>
      <c r="T18" s="1386" t="s">
        <v>5</v>
      </c>
      <c r="U18" s="1387">
        <f>H18</f>
        <v>100</v>
      </c>
      <c r="V18" s="1386" t="s">
        <v>5</v>
      </c>
      <c r="W18" s="1387">
        <f>J18</f>
        <v>100</v>
      </c>
      <c r="X18" s="2195"/>
      <c r="Y18" s="387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3"/>
      <c r="Q19" s="2193"/>
      <c r="R19" s="1386"/>
      <c r="S19" s="1387"/>
      <c r="T19" s="1386"/>
      <c r="U19" s="1387"/>
      <c r="V19" s="1386"/>
      <c r="W19" s="1387"/>
      <c r="X19" s="2195"/>
      <c r="Y19" s="3873"/>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3"/>
      <c r="Q20" s="1385" t="str">
        <f>B20</f>
        <v>自然及人文环境</v>
      </c>
      <c r="R20" s="1386" t="s">
        <v>5</v>
      </c>
      <c r="S20" s="1387">
        <f>F20</f>
        <v>100</v>
      </c>
      <c r="T20" s="1386" t="s">
        <v>5</v>
      </c>
      <c r="U20" s="1387">
        <f>H20</f>
        <v>100</v>
      </c>
      <c r="V20" s="1386" t="s">
        <v>5</v>
      </c>
      <c r="W20" s="1387">
        <f>J20</f>
        <v>100</v>
      </c>
      <c r="X20" s="1380"/>
      <c r="Y20" s="387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3"/>
      <c r="Q21" s="1385"/>
      <c r="R21" s="1386"/>
      <c r="S21" s="1387"/>
      <c r="T21" s="1386"/>
      <c r="U21" s="1387"/>
      <c r="V21" s="1386"/>
      <c r="W21" s="1387"/>
      <c r="X21" s="1380"/>
      <c r="Y21" s="387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3"/>
      <c r="Q22" s="1385" t="str">
        <f>B22</f>
        <v>楼层</v>
      </c>
      <c r="R22" s="1386" t="s">
        <v>5</v>
      </c>
      <c r="S22" s="1387">
        <f>F22</f>
        <v>100</v>
      </c>
      <c r="T22" s="1386" t="s">
        <v>5</v>
      </c>
      <c r="U22" s="1387">
        <f>H22</f>
        <v>100</v>
      </c>
      <c r="V22" s="1386" t="s">
        <v>5</v>
      </c>
      <c r="W22" s="1387">
        <f>J22</f>
        <v>100</v>
      </c>
      <c r="X22" s="1380"/>
      <c r="Y22" s="387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3"/>
      <c r="Q23" s="1385">
        <f>B23</f>
        <v>111</v>
      </c>
      <c r="R23" s="1386" t="s">
        <v>5</v>
      </c>
      <c r="S23" s="1387">
        <f>F23</f>
        <v>100</v>
      </c>
      <c r="T23" s="1386" t="s">
        <v>5</v>
      </c>
      <c r="U23" s="1387">
        <f>H23</f>
        <v>100</v>
      </c>
      <c r="V23" s="1386" t="s">
        <v>5</v>
      </c>
      <c r="W23" s="1387">
        <f>J23</f>
        <v>100</v>
      </c>
      <c r="X23" s="1380"/>
      <c r="Y23" s="387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3"/>
      <c r="Q24" s="1385">
        <f t="shared" ref="Q24:Q36" si="8">B24</f>
        <v>111</v>
      </c>
      <c r="R24" s="1386" t="s">
        <v>5</v>
      </c>
      <c r="S24" s="1387">
        <f>F24</f>
        <v>100</v>
      </c>
      <c r="T24" s="1386" t="s">
        <v>5</v>
      </c>
      <c r="U24" s="1387">
        <f>H24</f>
        <v>100</v>
      </c>
      <c r="V24" s="1386" t="s">
        <v>5</v>
      </c>
      <c r="W24" s="1387">
        <f>J24</f>
        <v>100</v>
      </c>
      <c r="X24" s="1380"/>
      <c r="Y24" s="3873"/>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3"/>
      <c r="Q25" s="1050">
        <f t="shared" si="8"/>
        <v>111</v>
      </c>
      <c r="R25" s="1381" t="s">
        <v>5</v>
      </c>
      <c r="S25" s="1382">
        <f>F25</f>
        <v>100</v>
      </c>
      <c r="T25" s="1381" t="s">
        <v>5</v>
      </c>
      <c r="U25" s="1382">
        <f>H25</f>
        <v>100</v>
      </c>
      <c r="V25" s="1381" t="s">
        <v>5</v>
      </c>
      <c r="W25" s="1382">
        <f>J25</f>
        <v>100</v>
      </c>
      <c r="X25" s="1383"/>
      <c r="Y25" s="3873"/>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5"/>
      <c r="Q27" s="1414" t="str">
        <f t="shared" si="8"/>
        <v>项目停车位配比</v>
      </c>
      <c r="R27" s="1390" t="s">
        <v>5</v>
      </c>
      <c r="S27" s="1391">
        <f t="shared" si="9"/>
        <v>100</v>
      </c>
      <c r="T27" s="1390" t="s">
        <v>5</v>
      </c>
      <c r="U27" s="1391">
        <f t="shared" si="10"/>
        <v>100</v>
      </c>
      <c r="V27" s="1390" t="s">
        <v>5</v>
      </c>
      <c r="W27" s="1391">
        <f t="shared" si="11"/>
        <v>100</v>
      </c>
      <c r="X27" s="1392"/>
      <c r="Y27" s="387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5"/>
      <c r="Q28" s="1385" t="str">
        <f t="shared" si="8"/>
        <v>公共部分装修</v>
      </c>
      <c r="R28" s="1386" t="s">
        <v>5</v>
      </c>
      <c r="S28" s="1387">
        <f t="shared" si="9"/>
        <v>100</v>
      </c>
      <c r="T28" s="1386" t="s">
        <v>5</v>
      </c>
      <c r="U28" s="1387">
        <f t="shared" si="10"/>
        <v>100</v>
      </c>
      <c r="V28" s="1386" t="s">
        <v>5</v>
      </c>
      <c r="W28" s="1387">
        <f t="shared" si="11"/>
        <v>100</v>
      </c>
      <c r="X28" s="1380"/>
      <c r="Y28" s="387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5"/>
      <c r="Q29" s="1385" t="str">
        <f t="shared" si="8"/>
        <v>成新率</v>
      </c>
      <c r="R29" s="1386" t="s">
        <v>5</v>
      </c>
      <c r="S29" s="1387" t="e">
        <f t="shared" si="9"/>
        <v>#N/A</v>
      </c>
      <c r="T29" s="1386" t="s">
        <v>5</v>
      </c>
      <c r="U29" s="1387" t="e">
        <f t="shared" si="10"/>
        <v>#N/A</v>
      </c>
      <c r="V29" s="1386" t="s">
        <v>5</v>
      </c>
      <c r="W29" s="1387" t="e">
        <f t="shared" si="11"/>
        <v>#N/A</v>
      </c>
      <c r="X29" s="1380"/>
      <c r="Y29" s="387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5"/>
      <c r="Q30" s="1385" t="str">
        <f t="shared" si="8"/>
        <v>物业等级</v>
      </c>
      <c r="R30" s="1386" t="s">
        <v>5</v>
      </c>
      <c r="S30" s="1387">
        <f t="shared" si="9"/>
        <v>100</v>
      </c>
      <c r="T30" s="1386" t="s">
        <v>5</v>
      </c>
      <c r="U30" s="1387">
        <f t="shared" si="10"/>
        <v>100</v>
      </c>
      <c r="V30" s="1386" t="s">
        <v>5</v>
      </c>
      <c r="W30" s="1387">
        <f t="shared" si="11"/>
        <v>100</v>
      </c>
      <c r="X30" s="1380"/>
      <c r="Y30" s="387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5"/>
      <c r="Q31" s="1050" t="str">
        <f t="shared" si="8"/>
        <v>停车位面积</v>
      </c>
      <c r="R31" s="1381" t="s">
        <v>5</v>
      </c>
      <c r="S31" s="1382" t="e">
        <f t="shared" si="9"/>
        <v>#N/A</v>
      </c>
      <c r="T31" s="1381" t="s">
        <v>5</v>
      </c>
      <c r="U31" s="1382" t="e">
        <f t="shared" si="10"/>
        <v>#N/A</v>
      </c>
      <c r="V31" s="1381" t="s">
        <v>5</v>
      </c>
      <c r="W31" s="1382" t="e">
        <f t="shared" si="11"/>
        <v>#N/A</v>
      </c>
      <c r="X31" s="1383"/>
      <c r="Y31" s="387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5" t="s">
        <v>499</v>
      </c>
      <c r="Q32" s="1385" t="str">
        <f t="shared" si="8"/>
        <v>车位类型</v>
      </c>
      <c r="R32" s="1386" t="s">
        <v>5</v>
      </c>
      <c r="S32" s="1387">
        <f t="shared" si="9"/>
        <v>100</v>
      </c>
      <c r="T32" s="1386" t="s">
        <v>5</v>
      </c>
      <c r="U32" s="1387">
        <f t="shared" si="10"/>
        <v>100</v>
      </c>
      <c r="V32" s="1386" t="s">
        <v>5</v>
      </c>
      <c r="W32" s="1387">
        <f t="shared" si="11"/>
        <v>100</v>
      </c>
      <c r="X32" s="1380"/>
      <c r="Y32" s="387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5"/>
      <c r="Q33" s="1385" t="str">
        <f t="shared" si="8"/>
        <v>是否直接入户</v>
      </c>
      <c r="R33" s="1386" t="s">
        <v>5</v>
      </c>
      <c r="S33" s="1387">
        <f t="shared" si="9"/>
        <v>100</v>
      </c>
      <c r="T33" s="1386" t="s">
        <v>5</v>
      </c>
      <c r="U33" s="1387">
        <f t="shared" si="10"/>
        <v>100</v>
      </c>
      <c r="V33" s="1386" t="s">
        <v>5</v>
      </c>
      <c r="W33" s="1387">
        <f t="shared" si="11"/>
        <v>100</v>
      </c>
      <c r="X33" s="1380"/>
      <c r="Y33" s="387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5"/>
      <c r="Q34" s="1385">
        <f t="shared" si="8"/>
        <v>111</v>
      </c>
      <c r="R34" s="1386" t="s">
        <v>5</v>
      </c>
      <c r="S34" s="1387">
        <f t="shared" si="9"/>
        <v>100</v>
      </c>
      <c r="T34" s="1386" t="s">
        <v>5</v>
      </c>
      <c r="U34" s="1387">
        <f t="shared" si="10"/>
        <v>100</v>
      </c>
      <c r="V34" s="1386" t="s">
        <v>5</v>
      </c>
      <c r="W34" s="1387">
        <f t="shared" si="11"/>
        <v>100</v>
      </c>
      <c r="X34" s="1380"/>
      <c r="Y34" s="387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5"/>
      <c r="Q35" s="1414">
        <f t="shared" si="8"/>
        <v>111</v>
      </c>
      <c r="R35" s="1390" t="s">
        <v>5</v>
      </c>
      <c r="S35" s="1391">
        <f t="shared" si="9"/>
        <v>100</v>
      </c>
      <c r="T35" s="1390" t="s">
        <v>5</v>
      </c>
      <c r="U35" s="1391">
        <f t="shared" si="10"/>
        <v>100</v>
      </c>
      <c r="V35" s="1390" t="s">
        <v>5</v>
      </c>
      <c r="W35" s="1391">
        <f t="shared" si="11"/>
        <v>100</v>
      </c>
      <c r="X35" s="1392"/>
      <c r="Y35" s="3875"/>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5"/>
      <c r="Q36" s="1385">
        <f t="shared" si="8"/>
        <v>111</v>
      </c>
      <c r="R36" s="1386" t="s">
        <v>5</v>
      </c>
      <c r="S36" s="1387">
        <f t="shared" si="9"/>
        <v>100</v>
      </c>
      <c r="T36" s="1386" t="s">
        <v>5</v>
      </c>
      <c r="U36" s="1387">
        <f t="shared" si="10"/>
        <v>100</v>
      </c>
      <c r="V36" s="1386" t="s">
        <v>5</v>
      </c>
      <c r="W36" s="1387">
        <f t="shared" si="11"/>
        <v>100</v>
      </c>
      <c r="X36" s="1380"/>
      <c r="Y36" s="3875"/>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76" t="str">
        <f>A37</f>
        <v>成交单价</v>
      </c>
      <c r="Q37" s="3876"/>
      <c r="R37" s="3957">
        <f>E37</f>
        <v>0</v>
      </c>
      <c r="S37" s="3957"/>
      <c r="T37" s="3957">
        <f>G37</f>
        <v>0</v>
      </c>
      <c r="U37" s="3957"/>
      <c r="V37" s="3957">
        <f>I37</f>
        <v>0</v>
      </c>
      <c r="W37" s="3957"/>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76" t="str">
        <f>A38</f>
        <v>比较价格（元/平方米）</v>
      </c>
      <c r="Q38" s="3876"/>
      <c r="R38" s="3957" t="e">
        <f>IF(F1="售价",ROUND(PRODUCT(R37,AA7:AA36),0),ROUND(PRODUCT(R37,AA7:AA36),1))</f>
        <v>#DIV/0!</v>
      </c>
      <c r="S38" s="3957"/>
      <c r="T38" s="3957" t="e">
        <f>IF(F1="售价",ROUND(PRODUCT(T37,AB7:AB36),0),ROUND(PRODUCT(T37,AB7:AB36),1))</f>
        <v>#DIV/0!</v>
      </c>
      <c r="U38" s="3957"/>
      <c r="V38" s="3957" t="e">
        <f>IF(F1="售价",ROUND(PRODUCT(V37,AC7:AC36),0),ROUND(PRODUCT(V37,AC7:AC36),1))</f>
        <v>#DIV/0!</v>
      </c>
      <c r="W38" s="3957"/>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881" t="str">
        <f>A39</f>
        <v>估价对象XX用房的比较价格（楼面单价，元/平方米）</v>
      </c>
      <c r="Q39" s="3882"/>
      <c r="R39" s="3956" t="e">
        <f>IF(F1="售价",ROUND(IF(D38="简单平均",AVERAGE(R38:W38),R38*F38+T38*H38+V38*J38),0),ROUND(IF(D38="简单平均",AVERAGE(R38:V38),R38*F38+T38*H38+V38*J38),1))</f>
        <v>#DIV/0!</v>
      </c>
      <c r="S39" s="3956"/>
      <c r="T39" s="3956"/>
      <c r="U39" s="3956"/>
      <c r="V39" s="3956"/>
      <c r="W39" s="3956"/>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857" t="s">
        <v>738</v>
      </c>
      <c r="D4" s="3858"/>
      <c r="E4" s="3859" t="s">
        <v>739</v>
      </c>
      <c r="F4" s="3860"/>
      <c r="G4" s="3857" t="s">
        <v>740</v>
      </c>
      <c r="H4" s="3858"/>
      <c r="I4" s="3857" t="s">
        <v>741</v>
      </c>
      <c r="J4" s="3858"/>
      <c r="K4" s="484" t="s">
        <v>742</v>
      </c>
      <c r="L4" s="1856"/>
      <c r="M4" s="1857"/>
      <c r="N4" s="1857"/>
      <c r="O4" s="1857"/>
      <c r="P4" s="3861" t="s">
        <v>743</v>
      </c>
      <c r="Q4" s="3862"/>
      <c r="R4" s="3843" t="s">
        <v>739</v>
      </c>
      <c r="S4" s="3844"/>
      <c r="T4" s="3843" t="s">
        <v>740</v>
      </c>
      <c r="U4" s="3844"/>
      <c r="V4" s="3869" t="s">
        <v>741</v>
      </c>
      <c r="W4" s="3869"/>
      <c r="X4" s="1380"/>
      <c r="Y4" s="3843" t="s">
        <v>743</v>
      </c>
      <c r="Z4" s="3844"/>
      <c r="AA4" s="3854" t="s">
        <v>739</v>
      </c>
      <c r="AB4" s="3855" t="s">
        <v>740</v>
      </c>
      <c r="AC4" s="3854" t="s">
        <v>741</v>
      </c>
    </row>
    <row r="5" spans="1:29">
      <c r="A5" s="485"/>
      <c r="B5" s="486"/>
      <c r="C5" s="3847" t="s">
        <v>2192</v>
      </c>
      <c r="D5" s="3848"/>
      <c r="E5" s="3870" t="s">
        <v>2193</v>
      </c>
      <c r="F5" s="3871"/>
      <c r="G5" s="3847" t="s">
        <v>2194</v>
      </c>
      <c r="H5" s="3848"/>
      <c r="I5" s="3847" t="s">
        <v>2195</v>
      </c>
      <c r="J5" s="3848"/>
      <c r="K5" s="484"/>
      <c r="L5" s="1856"/>
      <c r="M5" s="1857"/>
      <c r="N5" s="1857"/>
      <c r="O5" s="1857"/>
      <c r="P5" s="3863"/>
      <c r="Q5" s="3864"/>
      <c r="R5" s="3845"/>
      <c r="S5" s="3846"/>
      <c r="T5" s="3845"/>
      <c r="U5" s="3846"/>
      <c r="V5" s="3869"/>
      <c r="W5" s="3869"/>
      <c r="X5" s="1380"/>
      <c r="Y5" s="3845"/>
      <c r="Z5" s="3846"/>
      <c r="AA5" s="3855"/>
      <c r="AB5" s="3855"/>
      <c r="AC5" s="3855"/>
    </row>
    <row r="6" spans="1:29" ht="15" thickBot="1">
      <c r="A6" s="487"/>
      <c r="B6" s="488"/>
      <c r="C6" s="3849" t="s">
        <v>2196</v>
      </c>
      <c r="D6" s="3850"/>
      <c r="E6" s="3852" t="s">
        <v>2196</v>
      </c>
      <c r="F6" s="3853"/>
      <c r="G6" s="3849" t="s">
        <v>2196</v>
      </c>
      <c r="H6" s="3850"/>
      <c r="I6" s="3849" t="s">
        <v>2196</v>
      </c>
      <c r="J6" s="3850"/>
      <c r="K6" s="484" t="s">
        <v>477</v>
      </c>
      <c r="L6" s="1856"/>
      <c r="M6" s="1857"/>
      <c r="N6" s="1857"/>
      <c r="O6" s="1857"/>
      <c r="P6" s="3865"/>
      <c r="Q6" s="3866"/>
      <c r="R6" s="3845"/>
      <c r="S6" s="3846"/>
      <c r="T6" s="3867"/>
      <c r="U6" s="3868"/>
      <c r="V6" s="3869"/>
      <c r="W6" s="3869"/>
      <c r="X6" s="1380"/>
      <c r="Y6" s="3867"/>
      <c r="Z6" s="3868"/>
      <c r="AA6" s="3856"/>
      <c r="AB6" s="3856"/>
      <c r="AC6" s="3856"/>
    </row>
    <row r="7" spans="1:29" s="1118" customFormat="1" ht="15" thickBot="1">
      <c r="A7" s="2392"/>
      <c r="B7" s="2399" t="s">
        <v>478</v>
      </c>
      <c r="C7" s="489">
        <f>'数据-取费表'!B2</f>
        <v>44986</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41" t="s">
        <v>479</v>
      </c>
      <c r="Q7" s="3851"/>
      <c r="R7" s="1381" t="s">
        <v>5</v>
      </c>
      <c r="S7" s="1382">
        <f t="shared" ref="S7:S14" si="0">F7</f>
        <v>0</v>
      </c>
      <c r="T7" s="1381" t="s">
        <v>5</v>
      </c>
      <c r="U7" s="1382">
        <f t="shared" ref="U7:U14" si="1">H7</f>
        <v>0</v>
      </c>
      <c r="V7" s="1381" t="s">
        <v>5</v>
      </c>
      <c r="W7" s="1382">
        <f t="shared" ref="W7:W14" si="2">J7</f>
        <v>0</v>
      </c>
      <c r="X7" s="1383"/>
      <c r="Y7" s="3841" t="s">
        <v>479</v>
      </c>
      <c r="Z7" s="3842"/>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41" t="s">
        <v>482</v>
      </c>
      <c r="Q8" s="3842"/>
      <c r="R8" s="1381" t="s">
        <v>5</v>
      </c>
      <c r="S8" s="1382">
        <f t="shared" si="0"/>
        <v>0</v>
      </c>
      <c r="T8" s="1381" t="s">
        <v>5</v>
      </c>
      <c r="U8" s="1382">
        <f t="shared" si="1"/>
        <v>0</v>
      </c>
      <c r="V8" s="1381" t="s">
        <v>5</v>
      </c>
      <c r="W8" s="1382">
        <f t="shared" si="2"/>
        <v>0</v>
      </c>
      <c r="X8" s="1383"/>
      <c r="Y8" s="3841" t="s">
        <v>482</v>
      </c>
      <c r="Z8" s="3842"/>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76" t="s">
        <v>484</v>
      </c>
      <c r="Q9" s="1050" t="str">
        <f t="shared" ref="Q9:Q14" si="6">B9</f>
        <v>用途</v>
      </c>
      <c r="R9" s="1381" t="s">
        <v>5</v>
      </c>
      <c r="S9" s="1382">
        <f t="shared" si="0"/>
        <v>100</v>
      </c>
      <c r="T9" s="1381" t="s">
        <v>5</v>
      </c>
      <c r="U9" s="1382">
        <f t="shared" si="1"/>
        <v>100</v>
      </c>
      <c r="V9" s="1381" t="s">
        <v>5</v>
      </c>
      <c r="W9" s="1382">
        <f t="shared" si="2"/>
        <v>100</v>
      </c>
      <c r="X9" s="1383"/>
      <c r="Y9" s="3790"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7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76"/>
      <c r="Q11" s="1050">
        <f t="shared" si="6"/>
        <v>111</v>
      </c>
      <c r="R11" s="1381" t="s">
        <v>5</v>
      </c>
      <c r="S11" s="1382">
        <f t="shared" si="0"/>
        <v>100</v>
      </c>
      <c r="T11" s="1381" t="s">
        <v>5</v>
      </c>
      <c r="U11" s="1382">
        <f t="shared" si="1"/>
        <v>100</v>
      </c>
      <c r="V11" s="1381" t="s">
        <v>5</v>
      </c>
      <c r="W11" s="1382">
        <f t="shared" si="2"/>
        <v>100</v>
      </c>
      <c r="X11" s="1383"/>
      <c r="Y11" s="379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76"/>
      <c r="Q12" s="1050">
        <f t="shared" si="6"/>
        <v>111</v>
      </c>
      <c r="R12" s="1381" t="s">
        <v>5</v>
      </c>
      <c r="S12" s="1382">
        <f t="shared" si="0"/>
        <v>100</v>
      </c>
      <c r="T12" s="1381" t="s">
        <v>5</v>
      </c>
      <c r="U12" s="1382">
        <f t="shared" si="1"/>
        <v>100</v>
      </c>
      <c r="V12" s="1381" t="s">
        <v>5</v>
      </c>
      <c r="W12" s="1382">
        <f t="shared" si="2"/>
        <v>100</v>
      </c>
      <c r="X12" s="1383"/>
      <c r="Y12" s="3790"/>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76"/>
      <c r="Q13" s="1050">
        <f t="shared" si="6"/>
        <v>111</v>
      </c>
      <c r="R13" s="1381" t="s">
        <v>5</v>
      </c>
      <c r="S13" s="1382">
        <f t="shared" si="0"/>
        <v>100</v>
      </c>
      <c r="T13" s="1381" t="s">
        <v>5</v>
      </c>
      <c r="U13" s="1382">
        <f t="shared" si="1"/>
        <v>100</v>
      </c>
      <c r="V13" s="1381" t="s">
        <v>5</v>
      </c>
      <c r="W13" s="1382">
        <f t="shared" si="2"/>
        <v>100</v>
      </c>
      <c r="X13" s="1383"/>
      <c r="Y13" s="3790"/>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2" t="s">
        <v>489</v>
      </c>
      <c r="Q14" s="1385" t="str">
        <f t="shared" si="6"/>
        <v>交通便捷度</v>
      </c>
      <c r="R14" s="1386" t="s">
        <v>5</v>
      </c>
      <c r="S14" s="1387">
        <f t="shared" si="0"/>
        <v>100</v>
      </c>
      <c r="T14" s="1386" t="s">
        <v>5</v>
      </c>
      <c r="U14" s="1387">
        <f t="shared" si="1"/>
        <v>100</v>
      </c>
      <c r="V14" s="1386" t="s">
        <v>5</v>
      </c>
      <c r="W14" s="1387">
        <f t="shared" si="2"/>
        <v>100</v>
      </c>
      <c r="X14" s="1380"/>
      <c r="Y14" s="387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3"/>
      <c r="Q15" s="1385"/>
      <c r="R15" s="1386"/>
      <c r="S15" s="1387"/>
      <c r="T15" s="1386"/>
      <c r="U15" s="1387"/>
      <c r="V15" s="1386"/>
      <c r="W15" s="1387"/>
      <c r="X15" s="1380"/>
      <c r="Y15" s="3873"/>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3"/>
      <c r="Q16" s="1385" t="str">
        <f>B16</f>
        <v>公共配套设施</v>
      </c>
      <c r="R16" s="1386" t="s">
        <v>5</v>
      </c>
      <c r="S16" s="1387">
        <f>F16</f>
        <v>100</v>
      </c>
      <c r="T16" s="1386" t="s">
        <v>5</v>
      </c>
      <c r="U16" s="1387">
        <f>H16</f>
        <v>100</v>
      </c>
      <c r="V16" s="1386" t="s">
        <v>5</v>
      </c>
      <c r="W16" s="1387">
        <f>J16</f>
        <v>100</v>
      </c>
      <c r="X16" s="1380"/>
      <c r="Y16" s="387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3"/>
      <c r="Q17" s="1385"/>
      <c r="R17" s="1386"/>
      <c r="S17" s="1387"/>
      <c r="T17" s="1386"/>
      <c r="U17" s="1387"/>
      <c r="V17" s="1386"/>
      <c r="W17" s="1387"/>
      <c r="X17" s="1380"/>
      <c r="Y17" s="3873"/>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3"/>
      <c r="Q18" s="2193" t="str">
        <f>B18</f>
        <v>基础设施水平</v>
      </c>
      <c r="R18" s="1386" t="s">
        <v>5</v>
      </c>
      <c r="S18" s="1387">
        <f>F18</f>
        <v>100</v>
      </c>
      <c r="T18" s="1386" t="s">
        <v>5</v>
      </c>
      <c r="U18" s="1387">
        <f>H18</f>
        <v>100</v>
      </c>
      <c r="V18" s="1386" t="s">
        <v>5</v>
      </c>
      <c r="W18" s="1387">
        <f>J18</f>
        <v>100</v>
      </c>
      <c r="X18" s="2195"/>
      <c r="Y18" s="387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3"/>
      <c r="Q19" s="2193"/>
      <c r="R19" s="1386"/>
      <c r="S19" s="1387"/>
      <c r="T19" s="1386"/>
      <c r="U19" s="1387"/>
      <c r="V19" s="1386"/>
      <c r="W19" s="1387"/>
      <c r="X19" s="2195"/>
      <c r="Y19" s="3873"/>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3"/>
      <c r="Q20" s="1385" t="str">
        <f>B20</f>
        <v>自然及人文环境</v>
      </c>
      <c r="R20" s="1386" t="s">
        <v>5</v>
      </c>
      <c r="S20" s="1387">
        <f>F20</f>
        <v>100</v>
      </c>
      <c r="T20" s="1386" t="s">
        <v>5</v>
      </c>
      <c r="U20" s="1387">
        <f>H20</f>
        <v>100</v>
      </c>
      <c r="V20" s="1386" t="s">
        <v>5</v>
      </c>
      <c r="W20" s="1387">
        <f>J20</f>
        <v>100</v>
      </c>
      <c r="X20" s="1380"/>
      <c r="Y20" s="387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3"/>
      <c r="Q21" s="1385"/>
      <c r="R21" s="1386"/>
      <c r="S21" s="1387"/>
      <c r="T21" s="1386"/>
      <c r="U21" s="1387"/>
      <c r="V21" s="1386"/>
      <c r="W21" s="1387"/>
      <c r="X21" s="1380"/>
      <c r="Y21" s="387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3"/>
      <c r="Q22" s="1385" t="str">
        <f>B22</f>
        <v>楼层</v>
      </c>
      <c r="R22" s="1386" t="s">
        <v>5</v>
      </c>
      <c r="S22" s="1387">
        <f>F22</f>
        <v>100</v>
      </c>
      <c r="T22" s="1386" t="s">
        <v>5</v>
      </c>
      <c r="U22" s="1387">
        <f>H22</f>
        <v>100</v>
      </c>
      <c r="V22" s="1386" t="s">
        <v>5</v>
      </c>
      <c r="W22" s="1387">
        <f>J22</f>
        <v>100</v>
      </c>
      <c r="X22" s="1380"/>
      <c r="Y22" s="387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3"/>
      <c r="Q23" s="1385">
        <f>B23</f>
        <v>111</v>
      </c>
      <c r="R23" s="1386" t="s">
        <v>5</v>
      </c>
      <c r="S23" s="1387">
        <f>F23</f>
        <v>100</v>
      </c>
      <c r="T23" s="1386" t="s">
        <v>5</v>
      </c>
      <c r="U23" s="1387">
        <f>H23</f>
        <v>100</v>
      </c>
      <c r="V23" s="1386" t="s">
        <v>5</v>
      </c>
      <c r="W23" s="1387">
        <f>J23</f>
        <v>100</v>
      </c>
      <c r="X23" s="1380"/>
      <c r="Y23" s="387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3"/>
      <c r="Q24" s="1385">
        <f t="shared" ref="Q24:Q34" si="8">B24</f>
        <v>111</v>
      </c>
      <c r="R24" s="1386" t="s">
        <v>5</v>
      </c>
      <c r="S24" s="1387">
        <f>F24</f>
        <v>100</v>
      </c>
      <c r="T24" s="1386" t="s">
        <v>5</v>
      </c>
      <c r="U24" s="1387">
        <f>H24</f>
        <v>100</v>
      </c>
      <c r="V24" s="1386" t="s">
        <v>5</v>
      </c>
      <c r="W24" s="1387">
        <f>J24</f>
        <v>100</v>
      </c>
      <c r="X24" s="1380"/>
      <c r="Y24" s="3873"/>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3"/>
      <c r="Q25" s="1050">
        <f t="shared" si="8"/>
        <v>111</v>
      </c>
      <c r="R25" s="1381" t="s">
        <v>5</v>
      </c>
      <c r="S25" s="1382">
        <f>F25</f>
        <v>100</v>
      </c>
      <c r="T25" s="1381" t="s">
        <v>5</v>
      </c>
      <c r="U25" s="1382">
        <f>H25</f>
        <v>100</v>
      </c>
      <c r="V25" s="1381" t="s">
        <v>5</v>
      </c>
      <c r="W25" s="1382">
        <f>J25</f>
        <v>100</v>
      </c>
      <c r="X25" s="1383"/>
      <c r="Y25" s="3873"/>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5"/>
      <c r="Q27" s="1414" t="str">
        <f t="shared" si="8"/>
        <v>成新率</v>
      </c>
      <c r="R27" s="1390" t="s">
        <v>5</v>
      </c>
      <c r="S27" s="1391" t="e">
        <f t="shared" si="9"/>
        <v>#N/A</v>
      </c>
      <c r="T27" s="1390" t="s">
        <v>5</v>
      </c>
      <c r="U27" s="1391" t="e">
        <f t="shared" si="10"/>
        <v>#N/A</v>
      </c>
      <c r="V27" s="1390" t="s">
        <v>5</v>
      </c>
      <c r="W27" s="1391" t="e">
        <f t="shared" si="11"/>
        <v>#N/A</v>
      </c>
      <c r="X27" s="1392"/>
      <c r="Y27" s="387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5"/>
      <c r="Q28" s="1385" t="str">
        <f t="shared" si="8"/>
        <v>物业等级</v>
      </c>
      <c r="R28" s="1386" t="s">
        <v>5</v>
      </c>
      <c r="S28" s="1387">
        <f t="shared" si="9"/>
        <v>100</v>
      </c>
      <c r="T28" s="1386" t="s">
        <v>5</v>
      </c>
      <c r="U28" s="1387">
        <f t="shared" si="10"/>
        <v>100</v>
      </c>
      <c r="V28" s="1386" t="s">
        <v>5</v>
      </c>
      <c r="W28" s="1387">
        <f t="shared" si="11"/>
        <v>100</v>
      </c>
      <c r="X28" s="1380"/>
      <c r="Y28" s="387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5"/>
      <c r="Q29" s="1385" t="str">
        <f t="shared" si="8"/>
        <v>有无电梯</v>
      </c>
      <c r="R29" s="1386" t="s">
        <v>5</v>
      </c>
      <c r="S29" s="1387">
        <f t="shared" si="9"/>
        <v>100</v>
      </c>
      <c r="T29" s="1386" t="s">
        <v>5</v>
      </c>
      <c r="U29" s="1387">
        <f t="shared" si="10"/>
        <v>100</v>
      </c>
      <c r="V29" s="1386" t="s">
        <v>5</v>
      </c>
      <c r="W29" s="1387">
        <f t="shared" si="11"/>
        <v>100</v>
      </c>
      <c r="X29" s="1380"/>
      <c r="Y29" s="387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5"/>
      <c r="Q30" s="1385" t="str">
        <f t="shared" si="8"/>
        <v>建筑面积</v>
      </c>
      <c r="R30" s="1386" t="s">
        <v>5</v>
      </c>
      <c r="S30" s="1387" t="e">
        <f t="shared" si="9"/>
        <v>#N/A</v>
      </c>
      <c r="T30" s="1386" t="s">
        <v>5</v>
      </c>
      <c r="U30" s="1387" t="e">
        <f t="shared" si="10"/>
        <v>#N/A</v>
      </c>
      <c r="V30" s="1386" t="s">
        <v>5</v>
      </c>
      <c r="W30" s="1387" t="e">
        <f t="shared" si="11"/>
        <v>#N/A</v>
      </c>
      <c r="X30" s="1380"/>
      <c r="Y30" s="387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5"/>
      <c r="Q31" s="1050" t="str">
        <f t="shared" si="8"/>
        <v>是否封闭</v>
      </c>
      <c r="R31" s="1381" t="s">
        <v>5</v>
      </c>
      <c r="S31" s="1382">
        <f t="shared" si="9"/>
        <v>100</v>
      </c>
      <c r="T31" s="1381" t="s">
        <v>5</v>
      </c>
      <c r="U31" s="1382">
        <f t="shared" si="10"/>
        <v>100</v>
      </c>
      <c r="V31" s="1381" t="s">
        <v>5</v>
      </c>
      <c r="W31" s="1382">
        <f t="shared" si="11"/>
        <v>100</v>
      </c>
      <c r="X31" s="1383"/>
      <c r="Y31" s="387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5" t="s">
        <v>499</v>
      </c>
      <c r="Q32" s="1385">
        <f t="shared" si="8"/>
        <v>111</v>
      </c>
      <c r="R32" s="1386" t="s">
        <v>5</v>
      </c>
      <c r="S32" s="1387">
        <f t="shared" si="9"/>
        <v>100</v>
      </c>
      <c r="T32" s="1386" t="s">
        <v>5</v>
      </c>
      <c r="U32" s="1387">
        <f t="shared" si="10"/>
        <v>100</v>
      </c>
      <c r="V32" s="1386" t="s">
        <v>5</v>
      </c>
      <c r="W32" s="1387">
        <f t="shared" si="11"/>
        <v>100</v>
      </c>
      <c r="X32" s="1380"/>
      <c r="Y32" s="387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5"/>
      <c r="Q33" s="1385">
        <f t="shared" si="8"/>
        <v>111</v>
      </c>
      <c r="R33" s="1386" t="s">
        <v>5</v>
      </c>
      <c r="S33" s="1387">
        <f t="shared" si="9"/>
        <v>100</v>
      </c>
      <c r="T33" s="1386" t="s">
        <v>5</v>
      </c>
      <c r="U33" s="1387">
        <f t="shared" si="10"/>
        <v>100</v>
      </c>
      <c r="V33" s="1386" t="s">
        <v>5</v>
      </c>
      <c r="W33" s="1387">
        <f t="shared" si="11"/>
        <v>100</v>
      </c>
      <c r="X33" s="1380"/>
      <c r="Y33" s="3875"/>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5"/>
      <c r="Q34" s="1385">
        <f t="shared" si="8"/>
        <v>111</v>
      </c>
      <c r="R34" s="1386" t="s">
        <v>5</v>
      </c>
      <c r="S34" s="1387">
        <f t="shared" si="9"/>
        <v>100</v>
      </c>
      <c r="T34" s="1386" t="s">
        <v>5</v>
      </c>
      <c r="U34" s="1387">
        <f t="shared" si="10"/>
        <v>100</v>
      </c>
      <c r="V34" s="1386" t="s">
        <v>5</v>
      </c>
      <c r="W34" s="1387">
        <f t="shared" si="11"/>
        <v>100</v>
      </c>
      <c r="X34" s="1380"/>
      <c r="Y34" s="3875"/>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76" t="str">
        <f>A35</f>
        <v>成交单价（元/平方米）</v>
      </c>
      <c r="Q35" s="3876"/>
      <c r="R35" s="3957">
        <f>E35</f>
        <v>0</v>
      </c>
      <c r="S35" s="3957"/>
      <c r="T35" s="3957">
        <f>G35</f>
        <v>0</v>
      </c>
      <c r="U35" s="3957"/>
      <c r="V35" s="3957">
        <f>I35</f>
        <v>0</v>
      </c>
      <c r="W35" s="3957"/>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76" t="str">
        <f>A36</f>
        <v>比较价格（元/平方米）</v>
      </c>
      <c r="Q36" s="3876"/>
      <c r="R36" s="3957" t="e">
        <f>IF(F1="售价",ROUND(PRODUCT(R35,AA7:AA34),0),ROUND(PRODUCT(R35,AA7:AA34),1))</f>
        <v>#DIV/0!</v>
      </c>
      <c r="S36" s="3957"/>
      <c r="T36" s="3957" t="e">
        <f>IF(F1="售价",ROUND(PRODUCT(T35,AB7:AB34),0),ROUND(PRODUCT(T35,AB7:AB34),1))</f>
        <v>#DIV/0!</v>
      </c>
      <c r="U36" s="3957"/>
      <c r="V36" s="3957" t="e">
        <f>IF(F1="售价",ROUND(PRODUCT(V35,AC7:AC34),0),ROUND(PRODUCT(V35,AC7:AC34),1))</f>
        <v>#DIV/0!</v>
      </c>
      <c r="W36" s="3957"/>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881" t="str">
        <f>A37</f>
        <v>估价对象XX用房的比较价格（楼面单价，元/平方米）</v>
      </c>
      <c r="Q37" s="3882"/>
      <c r="R37" s="3956" t="e">
        <f>IF(F1="售价",ROUND(IF(D36="简单平均",AVERAGE(R36:W36),R36*F36+T36*H36+V36*J36),0),ROUND(IF(D36="简单平均",AVERAGE(R36:V36),R36*F36+T36*H36+V36*J36),1))</f>
        <v>#DIV/0!</v>
      </c>
      <c r="S37" s="3956"/>
      <c r="T37" s="3956"/>
      <c r="U37" s="3956"/>
      <c r="V37" s="3956"/>
      <c r="W37" s="3956"/>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受贵公司委托，我公司对北京市出让国有建设用地使用权抵押价格进行了预评估。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1667.9平方米。根据《建设工程规划许可证》[]、《出让合同》[]，估价对象规划建筑面积为3611.7平方米。</v>
      </c>
    </row>
    <row r="7" spans="1:4" ht="87">
      <c r="A7" s="2353" t="s">
        <v>2030</v>
      </c>
    </row>
    <row r="8" spans="1:4" ht="17.399999999999999">
      <c r="A8" s="1582" t="s">
        <v>1430</v>
      </c>
    </row>
    <row r="9" spans="1:4" ht="69.599999999999994">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5" t="s">
        <v>1544</v>
      </c>
    </row>
    <row r="11" spans="1:4" ht="17.399999999999999">
      <c r="A11" s="1568" t="str">
        <f>TEXT(项目基本情况!D3,"yyyy年m月d日;;")&amp;IF(项目基本情况!B3=项目基本情况!D3,"（评估专业人员勘察现场之日）","")</f>
        <v>2023年3月1日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根据《国有土地使用证》[]，估价对象（分摊）出让国有建设用地使用权面积为1667.9平方米。根据《建设工程规划许可证》[]、《出让合同》[]，估价对象规划建筑面积为3611.7平方米。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2023年3月1日，在规划利用条件下、设定土地开发程度为红线外“七通”、宗地内场地，设定用途为，剩余土地使用年限为的出让国有建设用地使用权价格。</v>
      </c>
    </row>
    <row r="26" spans="1:1" ht="52.2">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66" t="s">
        <v>1661</v>
      </c>
      <c r="D1" s="3967"/>
      <c r="E1" s="3967"/>
      <c r="F1" s="3967"/>
      <c r="G1" s="3967"/>
      <c r="H1" s="3967"/>
      <c r="I1" s="3967"/>
      <c r="J1" s="3967"/>
      <c r="K1" s="3967"/>
      <c r="L1" s="3967"/>
      <c r="M1" s="3967"/>
      <c r="N1" s="3967"/>
      <c r="O1" s="3967"/>
      <c r="P1" s="3967"/>
      <c r="Q1" s="3967"/>
      <c r="R1" s="3967"/>
      <c r="S1" s="396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63" t="s">
        <v>14</v>
      </c>
      <c r="D22" s="3964"/>
      <c r="E22" s="3964"/>
      <c r="F22" s="3964"/>
      <c r="G22" s="3964"/>
      <c r="H22" s="3964"/>
      <c r="I22" s="3964"/>
      <c r="J22" s="3964"/>
      <c r="K22" s="3964"/>
      <c r="L22" s="3964"/>
      <c r="M22" s="3964"/>
      <c r="N22" s="3964"/>
      <c r="O22" s="3964"/>
      <c r="P22" s="3964"/>
      <c r="Q22" s="3965"/>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5"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44986</v>
      </c>
      <c r="H1" s="2417">
        <f>IF(C1&gt;C13,0,MATCH(C1,C$13:C$109,-1))+IF(SUMIF(C13:C109,C1,D13:D109)=0,13,12)</f>
        <v>13</v>
      </c>
      <c r="I1" s="2417">
        <f ca="1">MATCH(C2,H3:H7,1)+IF(SUMIF(H3:H7,C2,I3:I7)=0,2,1)</f>
        <v>4</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1</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9"/>
      <c r="C18" s="2470">
        <v>43881</v>
      </c>
      <c r="D18" s="2469">
        <v>4.05</v>
      </c>
      <c r="E18" s="2469">
        <v>4.05</v>
      </c>
      <c r="F18" s="2469">
        <v>4.05</v>
      </c>
      <c r="G18" s="2469">
        <v>4.05</v>
      </c>
      <c r="H18" s="2469">
        <v>4.75</v>
      </c>
      <c r="I18" s="2469"/>
      <c r="J18" s="2469"/>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t="s">
        <v>2290</v>
      </c>
      <c r="C21" s="2471">
        <v>43697</v>
      </c>
      <c r="D21" s="3019">
        <v>4.25</v>
      </c>
      <c r="E21" s="3019">
        <v>4.25</v>
      </c>
      <c r="F21" s="3019">
        <v>4.25</v>
      </c>
      <c r="G21" s="3019">
        <v>4.25</v>
      </c>
      <c r="H21" s="3019">
        <v>4.8499999999999996</v>
      </c>
      <c r="I21" s="3019"/>
      <c r="J21" s="3019"/>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3022"/>
      <c r="B22" s="3023"/>
      <c r="C22" s="3024">
        <v>42301</v>
      </c>
      <c r="D22" s="3025">
        <v>4.3499999999999996</v>
      </c>
      <c r="E22" s="3025">
        <v>4.3499999999999996</v>
      </c>
      <c r="F22" s="3025">
        <v>4.75</v>
      </c>
      <c r="G22" s="3025">
        <v>4.75</v>
      </c>
      <c r="H22" s="3025">
        <v>4.9000000000000004</v>
      </c>
      <c r="I22" s="3025"/>
      <c r="J22" s="302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E3" sqref="E3"/>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3611.7</v>
      </c>
      <c r="E1" s="1261" t="s">
        <v>1779</v>
      </c>
      <c r="F1" s="2105">
        <f>'数据-基础表'!A3</f>
        <v>1667.9</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26.4">
      <c r="A2" s="1261" t="s">
        <v>848</v>
      </c>
      <c r="B2" s="991">
        <f>C30</f>
        <v>397</v>
      </c>
      <c r="C2" s="1262" t="s">
        <v>849</v>
      </c>
      <c r="D2" s="1263" t="s">
        <v>850</v>
      </c>
      <c r="E2" s="1264" t="s">
        <v>905</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Ⅶ-石龙开发区</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1.5019</v>
      </c>
      <c r="T2" s="2416">
        <f>ROUND($C$5*$C$22*$C$23*$C$24*S2*$C$28,0)</f>
        <v>2079</v>
      </c>
      <c r="U2" s="2406"/>
      <c r="V2" s="2416">
        <f>ROUND(T2*U2/10000,0)</f>
        <v>0</v>
      </c>
      <c r="W2" s="1911"/>
      <c r="X2" s="1911"/>
      <c r="Y2" s="1911"/>
      <c r="Z2" s="1911"/>
      <c r="AA2" s="1911"/>
      <c r="AB2" s="1911"/>
      <c r="AC2" s="1912"/>
    </row>
    <row r="3" spans="1:39" ht="15.6">
      <c r="A3" s="1266" t="s">
        <v>1220</v>
      </c>
      <c r="B3" s="991">
        <f>ROUND(B2*10000/D1,0)</f>
        <v>1099</v>
      </c>
      <c r="C3" s="1262" t="s">
        <v>855</v>
      </c>
      <c r="D3" s="1263" t="s">
        <v>856</v>
      </c>
      <c r="E3" s="1267" t="s">
        <v>2507</v>
      </c>
      <c r="F3" s="1268" t="s">
        <v>3270</v>
      </c>
      <c r="G3" s="992">
        <f>IF(F3="宗地容积率",'数据-汇总表'!I4,IF(F3="估价对象容积率",'数据-汇总表'!I6,'数据-汇总表'!I7))</f>
        <v>2.17</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1.1838</v>
      </c>
      <c r="T3" s="2416">
        <f t="shared" ref="T3:T16" si="0">ROUND($C$5*$C$22*$C$23*$C$24*S3*$C$28,0)</f>
        <v>1639</v>
      </c>
      <c r="U3" s="2406"/>
      <c r="V3" s="2416">
        <f t="shared" ref="V3:V16" si="1">ROUND(T3*U3/10000,0)</f>
        <v>0</v>
      </c>
      <c r="W3" s="1911"/>
      <c r="X3" s="1911"/>
      <c r="Y3" s="1911"/>
      <c r="Z3" s="1911"/>
      <c r="AA3" s="1911"/>
      <c r="AB3" s="1911"/>
      <c r="AC3" s="1912"/>
    </row>
    <row r="4" spans="1:39" ht="31.2">
      <c r="A4" s="1647" t="s">
        <v>1638</v>
      </c>
      <c r="B4" s="2106">
        <f>ROUND(B2*10000/F1,0)</f>
        <v>2380</v>
      </c>
      <c r="C4" s="1650" t="s">
        <v>1613</v>
      </c>
      <c r="D4" s="1650">
        <f>ROUND(B2/(F1/666.67),0)</f>
        <v>159</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1.0004999999999999</v>
      </c>
      <c r="T4" s="2416">
        <f t="shared" si="0"/>
        <v>1385</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1625</v>
      </c>
      <c r="D5" s="2548">
        <f>ROUND(C6*C17+C20,0)</f>
        <v>1625</v>
      </c>
      <c r="E5" s="2548"/>
      <c r="F5" s="1271"/>
      <c r="G5" s="1272"/>
      <c r="H5" s="1272"/>
      <c r="I5" s="1272"/>
      <c r="J5" s="1273"/>
      <c r="K5" s="2976"/>
      <c r="L5" s="1641" t="s">
        <v>1601</v>
      </c>
      <c r="M5" s="1642">
        <f>SUMPRODUCT((区片价!B87:B126=I2)*(区片价!C3:G3=E2)*(区片价!C87:G126))</f>
        <v>0</v>
      </c>
      <c r="N5" s="1643">
        <f>SUMPRODUCT((因素修正幅度!B87:B126=I2)*(因素修正幅度!C3:G3=E2)*(因素修正幅度!C87:G126))</f>
        <v>0</v>
      </c>
      <c r="O5" s="2976"/>
      <c r="P5" s="2979"/>
      <c r="Q5" s="1911"/>
      <c r="R5" s="2416">
        <v>4</v>
      </c>
      <c r="S5" s="2416">
        <f>ROUND(SUMPRODUCT((B107:B111=R5)*(C106:N106=G2)*(C107:N111)),4)</f>
        <v>0.88239999999999996</v>
      </c>
      <c r="T5" s="2416">
        <f t="shared" si="0"/>
        <v>1222</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1700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0.84799999999999998</v>
      </c>
      <c r="T6" s="2416">
        <f t="shared" si="0"/>
        <v>1174</v>
      </c>
      <c r="U6" s="2406"/>
      <c r="V6" s="2416">
        <f t="shared" si="1"/>
        <v>0</v>
      </c>
      <c r="W6" s="1911"/>
      <c r="X6" s="1911"/>
      <c r="Y6" s="1911"/>
      <c r="Z6" s="1911"/>
      <c r="AA6" s="1911"/>
      <c r="AB6" s="1911"/>
      <c r="AC6" s="1913"/>
      <c r="AD6" s="1274"/>
      <c r="AE6" s="1274"/>
      <c r="AF6" s="1274"/>
      <c r="AG6" s="1274"/>
      <c r="AH6" s="1274"/>
      <c r="AI6" s="1274"/>
      <c r="AJ6" s="1275"/>
    </row>
    <row r="7" spans="1:39" ht="24.6" thickBot="1">
      <c r="A7" s="3525" t="s">
        <v>3197</v>
      </c>
      <c r="B7" s="1278" t="s">
        <v>860</v>
      </c>
      <c r="C7" s="3526" t="e">
        <f>IF(C8="不临65条商业街",1,ROUND(1+(1.6*E8+1.2*E9+0.8*E10+0.4*E11)*C9,4))</f>
        <v>#DIV/0!</v>
      </c>
      <c r="D7" s="3527" t="s">
        <v>861</v>
      </c>
      <c r="E7" s="3528"/>
      <c r="F7" s="3529"/>
      <c r="G7" s="3529"/>
      <c r="H7" s="3529"/>
      <c r="I7" s="3529"/>
      <c r="J7" s="3530"/>
      <c r="K7" s="2977"/>
      <c r="L7" s="1641" t="s">
        <v>1603</v>
      </c>
      <c r="M7" s="1642">
        <f>SUMPRODUCT((区片价!B190:B233=I2)*(区片价!C3:G3=E2)*(区片价!C190:G233))</f>
        <v>1700</v>
      </c>
      <c r="N7" s="1643">
        <f>SUMPRODUCT((因素修正幅度!B190:B233=I2)*(因素修正幅度!C3:G3=E2)*(因素修正幅度!C190:G233))</f>
        <v>0.05</v>
      </c>
      <c r="O7" s="2977"/>
      <c r="P7" s="2980"/>
      <c r="Q7" s="1911"/>
      <c r="R7" s="2416">
        <v>6</v>
      </c>
      <c r="S7" s="2406"/>
      <c r="T7" s="2416">
        <f t="shared" si="0"/>
        <v>0</v>
      </c>
      <c r="U7" s="2406"/>
      <c r="V7" s="2416">
        <f t="shared" si="1"/>
        <v>0</v>
      </c>
      <c r="W7" s="2414" t="s">
        <v>2046</v>
      </c>
      <c r="X7" s="2407" t="str">
        <f>G2</f>
        <v>七级</v>
      </c>
      <c r="Y7" s="2407" t="s">
        <v>2047</v>
      </c>
      <c r="Z7" s="2408">
        <f>G3</f>
        <v>2.17</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3970" t="s">
        <v>2060</v>
      </c>
      <c r="X8" s="3971"/>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t="e">
        <f>ROUND(C11/E7,4)</f>
        <v>#DIV/0!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f t="shared" si="0"/>
        <v>0</v>
      </c>
      <c r="U9" s="2406"/>
      <c r="V9" s="2416">
        <f t="shared" si="1"/>
        <v>0</v>
      </c>
      <c r="W9" s="3969"/>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t="e">
        <f>ROUND(C11/E7,4)</f>
        <v>#DIV/0!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3969"/>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3198</v>
      </c>
      <c r="B12" s="3506" t="s">
        <v>3199</v>
      </c>
      <c r="C12" s="3512">
        <v>1.02</v>
      </c>
      <c r="D12" s="3507" t="s">
        <v>3200</v>
      </c>
      <c r="E12" s="3508" t="s">
        <v>3201</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3202</v>
      </c>
      <c r="B13" s="1283" t="s">
        <v>874</v>
      </c>
      <c r="C13" s="3526">
        <f>ROUND(C16*D16*E16*F16*G16*H16*I16*J16,4)</f>
        <v>0</v>
      </c>
      <c r="D13" s="3544" t="s">
        <v>3203</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3204</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3205</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3206</v>
      </c>
      <c r="B17" s="3556" t="s">
        <v>3207</v>
      </c>
      <c r="C17" s="3564">
        <f>ROUND(IF(OR(E2="工业",E2="公共服务"),1,IF(AND(E18=0,E19=0),1,IF(AND(E18=J24,E19=G19),0.8,IF(E19=0,1+E17*(-0.2),1+E17*G17*(-0.2))))),4)</f>
        <v>1</v>
      </c>
      <c r="D17" s="3557" t="s">
        <v>3208</v>
      </c>
      <c r="E17" s="3564">
        <f>ROUND(G18/I18,2)</f>
        <v>0</v>
      </c>
      <c r="F17" s="3557" t="s">
        <v>3211</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3209</v>
      </c>
      <c r="E18" s="3563"/>
      <c r="F18" s="3560" t="s">
        <v>3212</v>
      </c>
      <c r="G18" s="3562">
        <f>ROUND(1-(1/(POWER(1+G24,E18))),4)</f>
        <v>0</v>
      </c>
      <c r="H18" s="3560" t="s">
        <v>3214</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3210</v>
      </c>
      <c r="E19" s="3565"/>
      <c r="F19" s="3561" t="s">
        <v>3213</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80" t="s">
        <v>1370</v>
      </c>
      <c r="B20" s="1278" t="s">
        <v>875</v>
      </c>
      <c r="C20" s="998">
        <f>ROUND(IF(F21="与级别开发程度一致",0,(G21-E21)/C21),0)</f>
        <v>-75</v>
      </c>
      <c r="D20" s="3975" t="s">
        <v>879</v>
      </c>
      <c r="E20" s="3976"/>
      <c r="F20" s="3975" t="s">
        <v>876</v>
      </c>
      <c r="G20" s="3976"/>
      <c r="H20" s="1291" t="s">
        <v>2768</v>
      </c>
      <c r="I20" s="1291" t="s">
        <v>2769</v>
      </c>
      <c r="J20" s="1291" t="s">
        <v>2770</v>
      </c>
      <c r="K20" s="1291" t="s">
        <v>2771</v>
      </c>
      <c r="L20" s="1291" t="s">
        <v>2772</v>
      </c>
      <c r="M20" s="1291" t="s">
        <v>2775</v>
      </c>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81"/>
      <c r="B21" s="2607" t="s">
        <v>878</v>
      </c>
      <c r="C21" s="2608">
        <f>IF(E3="M4科研用地",SUMPRODUCT((修正!A2:A7=E3)*(修正!B1:M1=G2)*(修正!B2:M7)),SUMPRODUCT((修正!A2:A7=E2)*(修正!B1:M1=G2)*(修正!B2:M7)))</f>
        <v>1.2</v>
      </c>
      <c r="D21" s="2609" t="str">
        <f>IF(OR(G2="八级",G2="九级",G2="十级",G2="十一级",G2="十二级"),"五通一平","七通一平")</f>
        <v>七通一平</v>
      </c>
      <c r="E21" s="2599">
        <f>SUMPRODUCT((修正!B1:M1=G2)*(修正!B17:M17))</f>
        <v>315</v>
      </c>
      <c r="F21" s="2600" t="s">
        <v>3271</v>
      </c>
      <c r="G21" s="2599">
        <f>SUM(H21:O21)</f>
        <v>225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1</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297" t="s">
        <v>882</v>
      </c>
      <c r="E23" s="1000">
        <v>44197</v>
      </c>
      <c r="F23" s="1297" t="s">
        <v>883</v>
      </c>
      <c r="G23" s="1001">
        <f>'数据-取费表'!B2</f>
        <v>44986</v>
      </c>
      <c r="H23" s="1298" t="s">
        <v>2247</v>
      </c>
      <c r="I23" s="2266" t="str">
        <f>IF(H23="季度增幅（自定义）",SUMIF(N25:N28,E2,O25:O28),"")</f>
        <v/>
      </c>
      <c r="J23" s="3566" t="s">
        <v>3272</v>
      </c>
      <c r="K23" s="2976"/>
      <c r="L23" s="2511" t="s">
        <v>2116</v>
      </c>
      <c r="M23" s="2512">
        <f>ROUND(SUMIF(地价!B2:F2,E2,地价!B41:F41),0)</f>
        <v>230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0.79010000000000002</v>
      </c>
      <c r="D24" s="2263" t="s">
        <v>897</v>
      </c>
      <c r="E24" s="2540">
        <f>存贷款利率!E22/100</f>
        <v>4.3499999999999997E-2</v>
      </c>
      <c r="F24" s="2263" t="s">
        <v>898</v>
      </c>
      <c r="G24" s="2264">
        <f>SUMIF(M30:Q30,E2,M33:Q33)</f>
        <v>0.05</v>
      </c>
      <c r="H24" s="2263" t="s">
        <v>899</v>
      </c>
      <c r="I24" s="2259">
        <f>SUMIF('数据-取费表'!C6:C15,E2,'数据-取费表'!F6:F15)/COUNTIF('数据-取费表'!C6:C15,E2)</f>
        <v>26.18</v>
      </c>
      <c r="J24" s="2265">
        <f>IF(E2="住宅",70,IF(E2="商业",40,50))</f>
        <v>50</v>
      </c>
      <c r="K24" s="2597"/>
      <c r="L24" s="2513" t="s">
        <v>2117</v>
      </c>
      <c r="M24" s="2592">
        <f>ROUND(SUMPRODUCT((地价!A4:A41=YEAR(G23)&amp;"-"&amp;ROUNDUP(MONTH(G23)/3,0))*(地价!B2:F2=E2)*(地价!B4:F41)),0)</f>
        <v>336</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2279</v>
      </c>
      <c r="C25" s="1057">
        <f>IF(B25="容积率修正",IF(G3&lt;10,D26,J26),C27)</f>
        <v>0.79479999999999995</v>
      </c>
      <c r="D25" s="1304"/>
      <c r="E25" s="1304"/>
      <c r="F25" s="1304"/>
      <c r="G25" s="1304"/>
      <c r="H25" s="1304"/>
      <c r="I25" s="1304"/>
      <c r="J25" s="1305"/>
      <c r="K25" s="2976"/>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3215</v>
      </c>
      <c r="D26" s="1002">
        <f>IF(E26=G26,F26,IF(G3&lt;10,ROUND(F26+(H26-F26)*(G3-E26)/(G26-E26),4),"——"))</f>
        <v>0.79479999999999995</v>
      </c>
      <c r="E26" s="992">
        <f>ROUNDDOWN(G3,1)</f>
        <v>2.1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992">
        <f>ROUNDUP(G3,1)</f>
        <v>2.2000000000000002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3567" t="s">
        <v>3216</v>
      </c>
      <c r="J26" s="1002" t="str">
        <f>IF(G3&gt;=10,D116,"——")</f>
        <v>——</v>
      </c>
      <c r="K26" s="2982"/>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1.0266999999999999</v>
      </c>
      <c r="D28" s="1354"/>
      <c r="E28" s="1355"/>
      <c r="F28" s="1355"/>
      <c r="G28" s="1355"/>
      <c r="H28" s="1355"/>
      <c r="I28" s="1355"/>
      <c r="J28" s="1355"/>
      <c r="K28" s="2983"/>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397</v>
      </c>
      <c r="D30" s="1312"/>
      <c r="E30" s="1290"/>
      <c r="F30" s="1313"/>
      <c r="G30" s="1290"/>
      <c r="H30" s="1290"/>
      <c r="I30" s="1290"/>
      <c r="J30" s="1314"/>
      <c r="K30" s="2977"/>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1100</v>
      </c>
      <c r="D33" s="1326">
        <f>'数据-基础表'!I13</f>
        <v>3611.7</v>
      </c>
      <c r="E33" s="1635">
        <f>ROUND(C33*D33/10000,0)</f>
        <v>397</v>
      </c>
      <c r="F33" s="3568" t="s">
        <v>3218</v>
      </c>
      <c r="G33" s="1327"/>
      <c r="H33" s="1327"/>
      <c r="I33" s="1327"/>
      <c r="J33" s="1328"/>
      <c r="K33" s="2984"/>
      <c r="L33" s="3638" t="s">
        <v>3244</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165</v>
      </c>
      <c r="D34" s="1331"/>
      <c r="E34" s="1635">
        <f>ROUND(IF(B25="楼层修正",SUM(V2:V16)*#REF!,C34*D34/10000),0)</f>
        <v>0</v>
      </c>
      <c r="F34" s="3569" t="s">
        <v>3219</v>
      </c>
      <c r="G34" s="1332"/>
      <c r="H34" s="1332"/>
      <c r="I34" s="1332"/>
      <c r="J34" s="1333"/>
      <c r="K34" s="2977"/>
      <c r="L34" s="3638" t="s">
        <v>3245</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3246</v>
      </c>
      <c r="L36" s="3642">
        <f ca="1">'数据-取费表'!B40</f>
        <v>4.1499999999999995E-2</v>
      </c>
      <c r="M36" s="3643">
        <f ca="1">ROUND($L$36*(1+M31),3)</f>
        <v>5.1999999999999998E-2</v>
      </c>
      <c r="N36" s="3643">
        <f ca="1">ROUND($L$36*(1+N31),3)</f>
        <v>0.05</v>
      </c>
      <c r="O36" s="3643">
        <f ca="1">ROUND($L$36*(1+O31),3)</f>
        <v>4.8000000000000001E-2</v>
      </c>
      <c r="P36" s="3643">
        <f ca="1">ROUND($L$36*(1+P31),3)</f>
        <v>4.5999999999999999E-2</v>
      </c>
      <c r="Q36" s="3643">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77"/>
      <c r="B37" s="1344" t="s">
        <v>923</v>
      </c>
      <c r="C37" s="1005">
        <f>ROUND(D5*C22*C23*C24*C28*F37,0)</f>
        <v>831</v>
      </c>
      <c r="D37" s="1356"/>
      <c r="E37" s="996">
        <f>ROUND(C37*D37/10000,0)</f>
        <v>0</v>
      </c>
      <c r="F37" s="996">
        <f>SUMIF(修正!A57:A68,G2,修正!B57:B68)</f>
        <v>0.6</v>
      </c>
      <c r="G37" s="996">
        <f>ROUND(IF(E2="工业",C37*$M$42,C37*$M$41),0)</f>
        <v>125</v>
      </c>
      <c r="H37" s="996">
        <f>D37</f>
        <v>0</v>
      </c>
      <c r="I37" s="996">
        <f>ROUND(G37*H37/10000,0)</f>
        <v>0</v>
      </c>
      <c r="J37" s="3977"/>
      <c r="K37" s="3641" t="s">
        <v>3247</v>
      </c>
      <c r="L37" s="3642">
        <f ca="1">L36+K38</f>
        <v>4.6499999999999993E-2</v>
      </c>
      <c r="M37" s="3643">
        <f ca="1">ROUND($L$37*(1+M31),3)</f>
        <v>5.8000000000000003E-2</v>
      </c>
      <c r="N37" s="3643">
        <f t="shared" ref="N37:Q37" ca="1" si="3">ROUND($L$37*(1+N31),3)</f>
        <v>5.6000000000000001E-2</v>
      </c>
      <c r="O37" s="3643">
        <f t="shared" ca="1" si="3"/>
        <v>5.2999999999999999E-2</v>
      </c>
      <c r="P37" s="3643">
        <f t="shared" ca="1" si="3"/>
        <v>5.0999999999999997E-2</v>
      </c>
      <c r="Q37" s="3643">
        <f t="shared" ca="1" si="3"/>
        <v>5.2999999999999999E-2</v>
      </c>
      <c r="R37" s="1912"/>
      <c r="S37" s="1912"/>
      <c r="T37" s="1912"/>
      <c r="U37" s="1912"/>
      <c r="V37" s="1912"/>
      <c r="W37" s="1911"/>
      <c r="X37" s="1911"/>
      <c r="Y37" s="1911"/>
      <c r="Z37" s="1911"/>
      <c r="AA37" s="1911"/>
      <c r="AB37" s="1911"/>
      <c r="AC37" s="1912"/>
    </row>
    <row r="38" spans="1:44" ht="13.2">
      <c r="A38" s="3978"/>
      <c r="B38" s="1288" t="s">
        <v>924</v>
      </c>
      <c r="C38" s="1005">
        <f>ROUND(D5*C22*C23*C24*C28*F38,0)</f>
        <v>415</v>
      </c>
      <c r="D38" s="1356"/>
      <c r="E38" s="996">
        <f t="shared" ref="E38:E42" si="4">ROUND(C38*D38/10000,0)</f>
        <v>0</v>
      </c>
      <c r="F38" s="996">
        <f>SUMIF(修正!A57:A68,G2,修正!C57:C68)</f>
        <v>0.3</v>
      </c>
      <c r="G38" s="996">
        <f>ROUND(IF(E2="工业",C38*$M$42,C38*$M$41),0)</f>
        <v>62</v>
      </c>
      <c r="H38" s="996">
        <f t="shared" ref="H38:H42" si="5">D38</f>
        <v>0</v>
      </c>
      <c r="I38" s="996">
        <f t="shared" ref="I38:I42" si="6">ROUND(G38*H38/10000,0)</f>
        <v>0</v>
      </c>
      <c r="J38" s="3978"/>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978"/>
      <c r="B39" s="3570" t="s">
        <v>3220</v>
      </c>
      <c r="C39" s="1005">
        <f>ROUND(D5*C22*C23*C24*C28*F39,0)</f>
        <v>346</v>
      </c>
      <c r="D39" s="1356"/>
      <c r="E39" s="996">
        <f t="shared" si="4"/>
        <v>0</v>
      </c>
      <c r="F39" s="996">
        <f>SUMIF(修正!A57:A68,G2,修正!D57:D68)</f>
        <v>0.25</v>
      </c>
      <c r="G39" s="996">
        <f>ROUND(IF(E2="工业",C39*$M$42,C39*$M$41),0)</f>
        <v>52</v>
      </c>
      <c r="H39" s="996">
        <f t="shared" si="5"/>
        <v>0</v>
      </c>
      <c r="I39" s="996">
        <f t="shared" si="6"/>
        <v>0</v>
      </c>
      <c r="J39" s="3978"/>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346</v>
      </c>
      <c r="D40" s="1356"/>
      <c r="E40" s="996">
        <f t="shared" si="4"/>
        <v>0</v>
      </c>
      <c r="F40" s="1005">
        <f>SUMIF(修正!A57:A68,G2,修正!E57:E68)</f>
        <v>0.25</v>
      </c>
      <c r="G40" s="996">
        <f>ROUND(IF(E2="工业",C40*$M$42,C40*$M$41),0)</f>
        <v>52</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4"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c r="A52" s="3571" t="s">
        <v>3222</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c r="A63" s="3571" t="s">
        <v>3222</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48">
      <c r="A74" s="3571" t="s">
        <v>3222</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36">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36.6"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4.4">
      <c r="A81" s="3584" t="s">
        <v>958</v>
      </c>
      <c r="B81" s="3648">
        <f>1+E83</f>
        <v>1.0266999999999999</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t="s">
        <v>3273</v>
      </c>
      <c r="D83" s="3598">
        <f t="shared" ref="D83:D90" si="22">SUMIF($J$82:$N$82,C83,J83:N83)</f>
        <v>6.4999999999999997E-3</v>
      </c>
      <c r="E83" s="3599">
        <f>ROUND(SUM(D83:D90),4)</f>
        <v>2.6700000000000002E-2</v>
      </c>
      <c r="F83" s="3600">
        <f>IF(E2="工业",SUMIF(L1:L12,G2,N1:N12),"——")</f>
        <v>0.05</v>
      </c>
      <c r="G83" s="3601">
        <f>H83</f>
        <v>6.4999999999999997E-3</v>
      </c>
      <c r="H83" s="3602">
        <f t="shared" ref="H83:H90" si="23">IFERROR(ROUNDDOWN($F$83*I83/2,4),"——")</f>
        <v>6.4999999999999997E-3</v>
      </c>
      <c r="I83" s="3576">
        <v>0.26</v>
      </c>
      <c r="J83" s="3603">
        <f t="shared" ref="J83:J90" si="24">K83+$G83</f>
        <v>1.2999999999999999E-2</v>
      </c>
      <c r="K83" s="3603">
        <f t="shared" ref="K83:K90" si="25">$L83+$G83</f>
        <v>6.4999999999999997E-3</v>
      </c>
      <c r="L83" s="3603">
        <v>0</v>
      </c>
      <c r="M83" s="3603">
        <f t="shared" ref="M83:N90" si="26">L83-$G83</f>
        <v>-6.4999999999999997E-3</v>
      </c>
      <c r="N83" s="3603">
        <f t="shared" si="26"/>
        <v>-1.2999999999999999E-2</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t="s">
        <v>3273</v>
      </c>
      <c r="D84" s="3598">
        <f t="shared" si="22"/>
        <v>7.4999999999999997E-3</v>
      </c>
      <c r="E84" s="3604"/>
      <c r="F84" s="3600"/>
      <c r="G84" s="3601">
        <f t="shared" ref="G84:G90" si="27">H84</f>
        <v>7.4999999999999997E-3</v>
      </c>
      <c r="H84" s="3602">
        <f t="shared" si="23"/>
        <v>7.4999999999999997E-3</v>
      </c>
      <c r="I84" s="3576">
        <v>0.3</v>
      </c>
      <c r="J84" s="3603">
        <f t="shared" si="24"/>
        <v>1.4999999999999999E-2</v>
      </c>
      <c r="K84" s="3603">
        <f t="shared" si="25"/>
        <v>7.4999999999999997E-3</v>
      </c>
      <c r="L84" s="3603">
        <v>0</v>
      </c>
      <c r="M84" s="3603">
        <f t="shared" si="26"/>
        <v>-7.4999999999999997E-3</v>
      </c>
      <c r="N84" s="3603">
        <f t="shared" si="26"/>
        <v>-1.4999999999999999E-2</v>
      </c>
      <c r="AE84" s="3583"/>
      <c r="AF84" s="3583"/>
      <c r="AG84" s="3583"/>
      <c r="AH84" s="3583"/>
      <c r="AI84" s="3583"/>
      <c r="AJ84" s="3583"/>
    </row>
    <row r="85" spans="1:36" s="1348" customFormat="1" ht="24">
      <c r="A85" s="3589" t="s">
        <v>944</v>
      </c>
      <c r="B85" s="3590">
        <f>估价对象房地状况!G17</f>
        <v>0</v>
      </c>
      <c r="C85" s="3597" t="s">
        <v>3273</v>
      </c>
      <c r="D85" s="3598">
        <f t="shared" si="22"/>
        <v>2.5000000000000001E-3</v>
      </c>
      <c r="E85" s="3604"/>
      <c r="F85" s="3600"/>
      <c r="G85" s="3601">
        <f t="shared" si="27"/>
        <v>2.5000000000000001E-3</v>
      </c>
      <c r="H85" s="3602">
        <f t="shared" si="23"/>
        <v>2.5000000000000001E-3</v>
      </c>
      <c r="I85" s="3576">
        <v>0.1</v>
      </c>
      <c r="J85" s="3603">
        <f t="shared" si="24"/>
        <v>5.0000000000000001E-3</v>
      </c>
      <c r="K85" s="3603">
        <f t="shared" si="25"/>
        <v>2.5000000000000001E-3</v>
      </c>
      <c r="L85" s="3603">
        <v>0</v>
      </c>
      <c r="M85" s="3603">
        <f t="shared" si="26"/>
        <v>-2.5000000000000001E-3</v>
      </c>
      <c r="N85" s="3603">
        <f t="shared" si="26"/>
        <v>-5.0000000000000001E-3</v>
      </c>
      <c r="AE85" s="3583"/>
      <c r="AF85" s="3583"/>
      <c r="AG85" s="3583"/>
      <c r="AH85" s="3583"/>
      <c r="AI85" s="3583"/>
      <c r="AJ85" s="3583"/>
    </row>
    <row r="86" spans="1:36" s="1348" customFormat="1" ht="13.8">
      <c r="A86" s="3589" t="s">
        <v>956</v>
      </c>
      <c r="B86" s="3590">
        <f>估价对象房地状况!G22</f>
        <v>0</v>
      </c>
      <c r="C86" s="3597" t="s">
        <v>3274</v>
      </c>
      <c r="D86" s="3598">
        <f t="shared" si="22"/>
        <v>0</v>
      </c>
      <c r="E86" s="3604"/>
      <c r="F86" s="3600"/>
      <c r="G86" s="3601">
        <f t="shared" si="27"/>
        <v>1.1999999999999999E-3</v>
      </c>
      <c r="H86" s="3602">
        <f t="shared" si="23"/>
        <v>1.1999999999999999E-3</v>
      </c>
      <c r="I86" s="3576">
        <v>0.05</v>
      </c>
      <c r="J86" s="3603">
        <f t="shared" si="24"/>
        <v>2.3999999999999998E-3</v>
      </c>
      <c r="K86" s="3603">
        <f t="shared" si="25"/>
        <v>1.1999999999999999E-3</v>
      </c>
      <c r="L86" s="3603">
        <v>0</v>
      </c>
      <c r="M86" s="3603">
        <f t="shared" si="26"/>
        <v>-1.1999999999999999E-3</v>
      </c>
      <c r="N86" s="3603">
        <f t="shared" si="26"/>
        <v>-2.3999999999999998E-3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3273</v>
      </c>
      <c r="D87" s="3598">
        <f t="shared" si="22"/>
        <v>1.5E-3</v>
      </c>
      <c r="E87" s="3604"/>
      <c r="F87" s="3600"/>
      <c r="G87" s="3601">
        <f t="shared" si="27"/>
        <v>1.5E-3</v>
      </c>
      <c r="H87" s="3602">
        <f t="shared" si="23"/>
        <v>1.5E-3</v>
      </c>
      <c r="I87" s="3576">
        <v>0.06</v>
      </c>
      <c r="J87" s="3603">
        <f t="shared" si="24"/>
        <v>3.0000000000000001E-3</v>
      </c>
      <c r="K87" s="3603">
        <f t="shared" si="25"/>
        <v>1.5E-3</v>
      </c>
      <c r="L87" s="3603">
        <v>0</v>
      </c>
      <c r="M87" s="3603">
        <f t="shared" si="26"/>
        <v>-1.5E-3</v>
      </c>
      <c r="N87" s="3603">
        <f t="shared" si="26"/>
        <v>-3.0000000000000001E-3</v>
      </c>
      <c r="AE87" s="3583"/>
      <c r="AF87" s="3583"/>
      <c r="AG87" s="3583"/>
      <c r="AH87" s="3583"/>
      <c r="AI87" s="3583"/>
      <c r="AJ87" s="3583"/>
    </row>
    <row r="88" spans="1:36" s="1348" customFormat="1" ht="24">
      <c r="A88" s="3589" t="s">
        <v>949</v>
      </c>
      <c r="B88" s="3608" t="str">
        <f>估价对象房地状况!G20</f>
        <v>估价对象所在区域基础设施水平</v>
      </c>
      <c r="C88" s="3597" t="s">
        <v>3275</v>
      </c>
      <c r="D88" s="3598">
        <f t="shared" si="22"/>
        <v>6.0000000000000001E-3</v>
      </c>
      <c r="E88" s="3604"/>
      <c r="F88" s="3600"/>
      <c r="G88" s="3601">
        <f t="shared" si="27"/>
        <v>3.0000000000000001E-3</v>
      </c>
      <c r="H88" s="3602">
        <f t="shared" si="23"/>
        <v>3.0000000000000001E-3</v>
      </c>
      <c r="I88" s="3576">
        <v>0.12</v>
      </c>
      <c r="J88" s="3603">
        <f t="shared" si="24"/>
        <v>6.0000000000000001E-3</v>
      </c>
      <c r="K88" s="3603">
        <f t="shared" si="25"/>
        <v>3.0000000000000001E-3</v>
      </c>
      <c r="L88" s="3603">
        <v>0</v>
      </c>
      <c r="M88" s="3603">
        <f t="shared" si="26"/>
        <v>-3.0000000000000001E-3</v>
      </c>
      <c r="N88" s="3603">
        <f t="shared" si="26"/>
        <v>-6.0000000000000001E-3</v>
      </c>
      <c r="AE88" s="3583"/>
      <c r="AF88" s="3583"/>
      <c r="AG88" s="3583"/>
      <c r="AH88" s="3583"/>
      <c r="AI88" s="3583"/>
      <c r="AJ88" s="3583"/>
    </row>
    <row r="89" spans="1:36" s="1348" customFormat="1" ht="36">
      <c r="A89" s="3589" t="s">
        <v>947</v>
      </c>
      <c r="B89" s="3606" t="s">
        <v>2199</v>
      </c>
      <c r="C89" s="3597" t="s">
        <v>3273</v>
      </c>
      <c r="D89" s="3598">
        <f t="shared" si="22"/>
        <v>1.5E-3</v>
      </c>
      <c r="E89" s="3604"/>
      <c r="F89" s="3600"/>
      <c r="G89" s="3601">
        <f t="shared" si="27"/>
        <v>1.5E-3</v>
      </c>
      <c r="H89" s="3602">
        <f t="shared" si="23"/>
        <v>1.5E-3</v>
      </c>
      <c r="I89" s="3576">
        <v>0.06</v>
      </c>
      <c r="J89" s="3603">
        <f t="shared" si="24"/>
        <v>3.0000000000000001E-3</v>
      </c>
      <c r="K89" s="3603">
        <f t="shared" si="25"/>
        <v>1.5E-3</v>
      </c>
      <c r="L89" s="3603">
        <v>0</v>
      </c>
      <c r="M89" s="3603">
        <f t="shared" si="26"/>
        <v>-1.5E-3</v>
      </c>
      <c r="N89" s="3603">
        <f t="shared" si="26"/>
        <v>-3.0000000000000001E-3</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t="s">
        <v>3273</v>
      </c>
      <c r="D90" s="3598">
        <f t="shared" si="22"/>
        <v>1.1999999999999999E-3</v>
      </c>
      <c r="E90" s="3611"/>
      <c r="F90" s="3600"/>
      <c r="G90" s="3601">
        <f t="shared" si="27"/>
        <v>1.1999999999999999E-3</v>
      </c>
      <c r="H90" s="3602">
        <f t="shared" si="23"/>
        <v>1.1999999999999999E-3</v>
      </c>
      <c r="I90" s="3578">
        <v>0.05</v>
      </c>
      <c r="J90" s="3603">
        <f t="shared" si="24"/>
        <v>2.3999999999999998E-3</v>
      </c>
      <c r="K90" s="3603">
        <f t="shared" si="25"/>
        <v>1.1999999999999999E-3</v>
      </c>
      <c r="L90" s="3603">
        <v>0</v>
      </c>
      <c r="M90" s="3603">
        <f t="shared" si="26"/>
        <v>-1.1999999999999999E-3</v>
      </c>
      <c r="N90" s="3603">
        <f t="shared" si="26"/>
        <v>-2.3999999999999998E-3</v>
      </c>
      <c r="AE90" s="3583"/>
      <c r="AF90" s="3583"/>
      <c r="AG90" s="3583"/>
      <c r="AH90" s="3583"/>
      <c r="AI90" s="3583"/>
      <c r="AJ90" s="3583"/>
    </row>
    <row r="91" spans="1:36" s="1348" customFormat="1" ht="14.4">
      <c r="A91" s="3572" t="s">
        <v>3231</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3232</v>
      </c>
      <c r="B92" s="3573"/>
      <c r="C92" s="3573" t="s">
        <v>3237</v>
      </c>
      <c r="D92" s="3573" t="s">
        <v>3224</v>
      </c>
      <c r="E92" s="3630" t="s">
        <v>3225</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3233</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48">
      <c r="A94" s="3573" t="s">
        <v>3234</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48">
      <c r="A95" s="3628" t="s">
        <v>3222</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7.200000000000003">
      <c r="A96" s="3573" t="s">
        <v>3226</v>
      </c>
      <c r="B96" s="3577" t="s">
        <v>3227</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3228</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36">
      <c r="A98" s="3573" t="s">
        <v>3235</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3236</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3229</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36.6" thickBot="1">
      <c r="A101" s="3573" t="s">
        <v>3230</v>
      </c>
      <c r="B101" s="3596" t="str">
        <f>估价对象房地状况!C20</f>
        <v>区域自然环境：；人文环境；综合评价环境状况一般</v>
      </c>
      <c r="C101" s="3597"/>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82" t="s">
        <v>1172</v>
      </c>
      <c r="B104" s="3982"/>
      <c r="C104" s="3982"/>
      <c r="D104" s="3982"/>
      <c r="E104" s="3982"/>
      <c r="F104" s="3982"/>
      <c r="G104" s="3982"/>
      <c r="H104" s="3982"/>
      <c r="I104" s="3982"/>
      <c r="J104" s="3982"/>
      <c r="K104" s="2103"/>
      <c r="L104" s="2103"/>
      <c r="M104" s="2103"/>
      <c r="N104" s="2103"/>
    </row>
    <row r="105" spans="1:36">
      <c r="A105" s="3983" t="s">
        <v>1161</v>
      </c>
      <c r="B105" s="3983" t="s">
        <v>1173</v>
      </c>
      <c r="C105" s="1041" t="s">
        <v>1174</v>
      </c>
      <c r="D105" s="1042"/>
      <c r="E105" s="1042"/>
      <c r="F105" s="1042"/>
      <c r="G105" s="1042"/>
      <c r="H105" s="1042"/>
      <c r="I105" s="1042"/>
      <c r="J105" s="1043"/>
      <c r="K105" s="1035"/>
      <c r="L105" s="1035"/>
      <c r="M105" s="1035"/>
      <c r="N105" s="1035"/>
    </row>
    <row r="106" spans="1:36">
      <c r="A106" s="3983"/>
      <c r="B106" s="3983"/>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72"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73"/>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73"/>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73"/>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73"/>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73"/>
      <c r="B112" s="1044" t="s">
        <v>3238</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974"/>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79" t="s">
        <v>1175</v>
      </c>
      <c r="B114" s="3979"/>
      <c r="C114" s="3979"/>
      <c r="D114" s="3979"/>
      <c r="E114" s="3979"/>
      <c r="F114" s="3979"/>
      <c r="G114" s="3979"/>
      <c r="H114" s="3979"/>
      <c r="I114" s="3979"/>
      <c r="J114" s="3979"/>
      <c r="K114" s="2101"/>
      <c r="L114" s="2101"/>
      <c r="M114" s="2101"/>
      <c r="N114" s="2101"/>
    </row>
    <row r="116" spans="1:14" ht="12.6" thickBot="1"/>
    <row r="117" spans="1:14" ht="25.8" thickBot="1">
      <c r="A117" s="976" t="s">
        <v>831</v>
      </c>
      <c r="B117" s="2104">
        <f>G3</f>
        <v>2.17</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3239</v>
      </c>
      <c r="B119" s="3574">
        <f>ROUND(0.9968-0.011*B117,4)</f>
        <v>0.97289999999999999</v>
      </c>
      <c r="C119" s="3574">
        <f>B119</f>
        <v>0.97289999999999999</v>
      </c>
      <c r="D119" s="3574">
        <f>ROUND(0.949-0.014*B117,4)</f>
        <v>0.91859999999999997</v>
      </c>
      <c r="E119" s="3574">
        <f>D119</f>
        <v>0.91859999999999997</v>
      </c>
      <c r="F119" s="3574">
        <f>E119</f>
        <v>0.91859999999999997</v>
      </c>
      <c r="G119" s="3574">
        <f>F119</f>
        <v>0.91859999999999997</v>
      </c>
      <c r="H119" s="3574">
        <f>G119</f>
        <v>0.91859999999999997</v>
      </c>
      <c r="I119" s="3574">
        <f>ROUND(0.8486-0.018*B117,4)</f>
        <v>0.8095</v>
      </c>
      <c r="J119" s="3574">
        <f t="shared" ref="J119:M123" si="36">I119</f>
        <v>0.8095</v>
      </c>
      <c r="K119" s="3574">
        <f t="shared" si="36"/>
        <v>0.8095</v>
      </c>
      <c r="L119" s="3574">
        <f t="shared" si="36"/>
        <v>0.8095</v>
      </c>
      <c r="M119" s="3635">
        <f t="shared" si="36"/>
        <v>0.8095</v>
      </c>
    </row>
    <row r="120" spans="1:14" ht="13.2">
      <c r="A120" s="3632" t="s">
        <v>3240</v>
      </c>
      <c r="B120" s="3574">
        <f>ROUND(0.993-0.0112*B117,4)</f>
        <v>0.96870000000000001</v>
      </c>
      <c r="C120" s="3574">
        <f>B120</f>
        <v>0.96870000000000001</v>
      </c>
      <c r="D120" s="3574">
        <f>ROUND(0.9415-0.0142*B117,4)</f>
        <v>0.91069999999999995</v>
      </c>
      <c r="E120" s="3574">
        <f t="shared" ref="E120:H121" si="37">D120</f>
        <v>0.91069999999999995</v>
      </c>
      <c r="F120" s="3574">
        <f t="shared" si="37"/>
        <v>0.91069999999999995</v>
      </c>
      <c r="G120" s="3574">
        <f t="shared" si="37"/>
        <v>0.91069999999999995</v>
      </c>
      <c r="H120" s="3574">
        <f t="shared" si="37"/>
        <v>0.91069999999999995</v>
      </c>
      <c r="I120" s="3574">
        <f>ROUND(0.838-0.0182*B117,4)</f>
        <v>0.79849999999999999</v>
      </c>
      <c r="J120" s="3574">
        <f t="shared" si="36"/>
        <v>0.79849999999999999</v>
      </c>
      <c r="K120" s="3574">
        <f t="shared" si="36"/>
        <v>0.79849999999999999</v>
      </c>
      <c r="L120" s="3574">
        <f t="shared" si="36"/>
        <v>0.79849999999999999</v>
      </c>
      <c r="M120" s="3635">
        <f t="shared" si="36"/>
        <v>0.79849999999999999</v>
      </c>
    </row>
    <row r="121" spans="1:14" ht="13.2">
      <c r="A121" s="3632" t="s">
        <v>3241</v>
      </c>
      <c r="B121" s="3574">
        <f>ROUND(0.9448-0.0115*B117,4)</f>
        <v>0.91979999999999995</v>
      </c>
      <c r="C121" s="3574">
        <f>B121</f>
        <v>0.91979999999999995</v>
      </c>
      <c r="D121" s="3574">
        <f>ROUND(0.937-0.0145*B117,4)</f>
        <v>0.90549999999999997</v>
      </c>
      <c r="E121" s="3574">
        <f t="shared" si="37"/>
        <v>0.90549999999999997</v>
      </c>
      <c r="F121" s="3574">
        <f t="shared" si="37"/>
        <v>0.90549999999999997</v>
      </c>
      <c r="G121" s="3574">
        <f t="shared" si="37"/>
        <v>0.90549999999999997</v>
      </c>
      <c r="H121" s="3574">
        <f t="shared" si="37"/>
        <v>0.90549999999999997</v>
      </c>
      <c r="I121" s="3574">
        <f>ROUND(0.7965-0.0185*B117,4)</f>
        <v>0.75639999999999996</v>
      </c>
      <c r="J121" s="3574">
        <f t="shared" si="36"/>
        <v>0.75639999999999996</v>
      </c>
      <c r="K121" s="3574">
        <f t="shared" si="36"/>
        <v>0.75639999999999996</v>
      </c>
      <c r="L121" s="3574">
        <f t="shared" si="36"/>
        <v>0.75639999999999996</v>
      </c>
      <c r="M121" s="3635">
        <f t="shared" si="36"/>
        <v>0.75639999999999996</v>
      </c>
    </row>
    <row r="122" spans="1:14" ht="13.8" thickBot="1">
      <c r="A122" s="3633" t="s">
        <v>3242</v>
      </c>
      <c r="B122" s="3636">
        <f>ROUND(0.7836-0.012*B117,4)</f>
        <v>0.75760000000000005</v>
      </c>
      <c r="C122" s="3636">
        <f>B122</f>
        <v>0.75760000000000005</v>
      </c>
      <c r="D122" s="3636">
        <f>ROUND(0.753-0.015*B117,4)</f>
        <v>0.72050000000000003</v>
      </c>
      <c r="E122" s="3636">
        <f>D122</f>
        <v>0.72050000000000003</v>
      </c>
      <c r="F122" s="3636">
        <f>E122</f>
        <v>0.72050000000000003</v>
      </c>
      <c r="G122" s="3636">
        <f>ROUND(0.6612-0.018*B117,4)</f>
        <v>0.62209999999999999</v>
      </c>
      <c r="H122" s="3636">
        <f>G122</f>
        <v>0.62209999999999999</v>
      </c>
      <c r="I122" s="3636">
        <f>ROUND(0.5905-0.019*B117,4)</f>
        <v>0.54930000000000001</v>
      </c>
      <c r="J122" s="3636">
        <f t="shared" si="36"/>
        <v>0.54930000000000001</v>
      </c>
      <c r="K122" s="3636">
        <f t="shared" si="36"/>
        <v>0.54930000000000001</v>
      </c>
      <c r="L122" s="3636">
        <f t="shared" si="36"/>
        <v>0.54930000000000001</v>
      </c>
      <c r="M122" s="3637">
        <f t="shared" si="36"/>
        <v>0.54930000000000001</v>
      </c>
    </row>
    <row r="123" spans="1:14" ht="13.2">
      <c r="A123" s="3634" t="s">
        <v>3223</v>
      </c>
      <c r="B123" s="3574">
        <f>ROUND(0.9404-0.0106*B117,4)</f>
        <v>0.91739999999999999</v>
      </c>
      <c r="C123" s="3574">
        <f>B123</f>
        <v>0.91739999999999999</v>
      </c>
      <c r="D123" s="3574">
        <f>ROUND(0.8955-0.0135*B117,4)</f>
        <v>0.86619999999999997</v>
      </c>
      <c r="E123" s="3574">
        <f t="shared" ref="E123:H123" si="38">D123</f>
        <v>0.86619999999999997</v>
      </c>
      <c r="F123" s="3574">
        <f t="shared" si="38"/>
        <v>0.86619999999999997</v>
      </c>
      <c r="G123" s="3574">
        <f t="shared" si="38"/>
        <v>0.86619999999999997</v>
      </c>
      <c r="H123" s="3574">
        <f t="shared" si="38"/>
        <v>0.86619999999999997</v>
      </c>
      <c r="I123" s="3574">
        <f>ROUND(0.7632-0.0166*B117,4)</f>
        <v>0.72719999999999996</v>
      </c>
      <c r="J123" s="3574">
        <f t="shared" si="36"/>
        <v>0.72719999999999996</v>
      </c>
      <c r="K123" s="3574">
        <f t="shared" si="36"/>
        <v>0.72719999999999996</v>
      </c>
      <c r="L123" s="3574">
        <f t="shared" si="36"/>
        <v>0.72719999999999996</v>
      </c>
      <c r="M123" s="3635">
        <f t="shared" si="36"/>
        <v>0.72719999999999996</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
  <sheetViews>
    <sheetView workbookViewId="0">
      <selection activeCell="O2" sqref="O2:O6"/>
    </sheetView>
  </sheetViews>
  <sheetFormatPr defaultRowHeight="14.4"/>
  <cols>
    <col min="1" max="1" width="30" customWidth="1"/>
  </cols>
  <sheetData>
    <row r="1" spans="1:22">
      <c r="A1" s="3666" t="s">
        <v>3286</v>
      </c>
      <c r="B1" s="3666" t="s">
        <v>3287</v>
      </c>
      <c r="C1" s="3666" t="s">
        <v>3288</v>
      </c>
      <c r="D1" s="3666" t="s">
        <v>3289</v>
      </c>
      <c r="E1" s="3666" t="s">
        <v>3290</v>
      </c>
      <c r="F1" s="3666" t="s">
        <v>1550</v>
      </c>
      <c r="G1" s="3666" t="s">
        <v>3291</v>
      </c>
      <c r="H1" s="3666" t="s">
        <v>3292</v>
      </c>
      <c r="I1" s="3666" t="s">
        <v>3293</v>
      </c>
      <c r="J1" s="3666" t="s">
        <v>3294</v>
      </c>
      <c r="K1" s="3666" t="s">
        <v>3295</v>
      </c>
      <c r="L1" s="3666" t="s">
        <v>3296</v>
      </c>
      <c r="M1" s="3666" t="s">
        <v>3297</v>
      </c>
      <c r="N1" s="3666" t="s">
        <v>3298</v>
      </c>
      <c r="O1" s="3666" t="s">
        <v>3299</v>
      </c>
      <c r="P1" s="3666" t="s">
        <v>3300</v>
      </c>
      <c r="Q1" s="3666" t="s">
        <v>3301</v>
      </c>
      <c r="R1" s="3666" t="s">
        <v>3302</v>
      </c>
      <c r="V1">
        <f>常用公式!C18</f>
        <v>1.4649000000000001</v>
      </c>
    </row>
    <row r="2" spans="1:22">
      <c r="A2" s="3666" t="s">
        <v>3327</v>
      </c>
      <c r="B2" s="3666" t="s">
        <v>1465</v>
      </c>
      <c r="C2" s="3666" t="s">
        <v>2507</v>
      </c>
      <c r="D2" s="3666">
        <v>101126.72</v>
      </c>
      <c r="E2" s="3666">
        <v>151690</v>
      </c>
      <c r="F2" s="3666">
        <v>1.5</v>
      </c>
      <c r="G2" s="3666" t="s">
        <v>3303</v>
      </c>
      <c r="H2" s="3666" t="s">
        <v>3304</v>
      </c>
      <c r="I2" s="3666">
        <v>0</v>
      </c>
      <c r="J2" s="3666" t="s">
        <v>3305</v>
      </c>
      <c r="K2" s="3666" t="s">
        <v>3305</v>
      </c>
      <c r="L2" s="3666" t="s">
        <v>3306</v>
      </c>
      <c r="M2" s="3666">
        <v>22186.85</v>
      </c>
      <c r="N2" s="3666">
        <v>22186.85</v>
      </c>
      <c r="O2" s="3666">
        <v>146.26</v>
      </c>
      <c r="P2" s="3666">
        <v>1462.64</v>
      </c>
      <c r="Q2" s="3666">
        <v>0</v>
      </c>
      <c r="R2" s="3666" t="s">
        <v>3307</v>
      </c>
      <c r="S2">
        <f>ROUND(P2*$V$1,0)</f>
        <v>2143</v>
      </c>
    </row>
    <row r="3" spans="1:22" s="3668" customFormat="1">
      <c r="A3" s="3667" t="s">
        <v>3308</v>
      </c>
      <c r="B3" s="3667" t="s">
        <v>1465</v>
      </c>
      <c r="C3" s="3667" t="s">
        <v>2507</v>
      </c>
      <c r="D3" s="3667">
        <v>62970.8</v>
      </c>
      <c r="E3" s="3667">
        <v>75565</v>
      </c>
      <c r="F3" s="3667">
        <v>1.2</v>
      </c>
      <c r="G3" s="3667" t="s">
        <v>3303</v>
      </c>
      <c r="H3" s="3667" t="s">
        <v>3309</v>
      </c>
      <c r="I3" s="3667">
        <v>0</v>
      </c>
      <c r="J3" s="3667" t="s">
        <v>3310</v>
      </c>
      <c r="K3" s="3667" t="s">
        <v>3310</v>
      </c>
      <c r="L3" s="3667" t="s">
        <v>3311</v>
      </c>
      <c r="M3" s="3667">
        <v>11607.61</v>
      </c>
      <c r="N3" s="3667">
        <v>11607.61</v>
      </c>
      <c r="O3" s="3667">
        <v>122.89</v>
      </c>
      <c r="P3" s="3667">
        <v>1536.11</v>
      </c>
      <c r="Q3" s="3667">
        <v>0</v>
      </c>
      <c r="R3" s="3667" t="s">
        <v>3307</v>
      </c>
      <c r="S3">
        <f t="shared" ref="S3:S6" si="0">ROUND(P3*$V$1,0)</f>
        <v>2250</v>
      </c>
    </row>
    <row r="4" spans="1:22">
      <c r="A4" s="3666" t="s">
        <v>3312</v>
      </c>
      <c r="B4" s="3666" t="s">
        <v>1465</v>
      </c>
      <c r="C4" s="3666" t="s">
        <v>2507</v>
      </c>
      <c r="D4" s="3666">
        <v>60631.73</v>
      </c>
      <c r="E4" s="3666">
        <v>60631</v>
      </c>
      <c r="F4" s="3666" t="s">
        <v>3313</v>
      </c>
      <c r="G4" s="3666" t="s">
        <v>3303</v>
      </c>
      <c r="H4" s="3666" t="s">
        <v>3304</v>
      </c>
      <c r="I4" s="3666">
        <v>0</v>
      </c>
      <c r="J4" s="3666" t="s">
        <v>3314</v>
      </c>
      <c r="K4" s="3666" t="s">
        <v>3314</v>
      </c>
      <c r="L4" s="3666" t="s">
        <v>3315</v>
      </c>
      <c r="M4" s="3666">
        <v>9621.02</v>
      </c>
      <c r="N4" s="3666">
        <v>9621.02</v>
      </c>
      <c r="O4" s="3666">
        <v>105.79</v>
      </c>
      <c r="P4" s="3666">
        <v>1586.82</v>
      </c>
      <c r="Q4" s="3666">
        <v>0</v>
      </c>
      <c r="R4" s="3666" t="s">
        <v>3316</v>
      </c>
      <c r="S4">
        <f t="shared" si="0"/>
        <v>2325</v>
      </c>
    </row>
    <row r="5" spans="1:22" s="3668" customFormat="1">
      <c r="A5" s="3667" t="s">
        <v>3317</v>
      </c>
      <c r="B5" s="3667" t="s">
        <v>1465</v>
      </c>
      <c r="C5" s="3667" t="s">
        <v>2507</v>
      </c>
      <c r="D5" s="3667">
        <v>63922.57</v>
      </c>
      <c r="E5" s="3667">
        <v>102276</v>
      </c>
      <c r="F5" s="3667" t="s">
        <v>3318</v>
      </c>
      <c r="G5" s="3667" t="s">
        <v>3303</v>
      </c>
      <c r="H5" s="3667" t="s">
        <v>3319</v>
      </c>
      <c r="I5" s="3667">
        <v>0</v>
      </c>
      <c r="J5" s="3667" t="s">
        <v>3320</v>
      </c>
      <c r="K5" s="3667" t="s">
        <v>3320</v>
      </c>
      <c r="L5" s="3667" t="s">
        <v>3321</v>
      </c>
      <c r="M5" s="3667">
        <v>13766.35</v>
      </c>
      <c r="N5" s="3667">
        <v>13766.35</v>
      </c>
      <c r="O5" s="3667">
        <v>143.57</v>
      </c>
      <c r="P5" s="3667">
        <v>1346</v>
      </c>
      <c r="Q5" s="3667">
        <v>0</v>
      </c>
      <c r="R5" s="3667" t="s">
        <v>3322</v>
      </c>
      <c r="S5">
        <f t="shared" si="0"/>
        <v>1972</v>
      </c>
    </row>
    <row r="6" spans="1:22">
      <c r="A6" s="3666" t="s">
        <v>3323</v>
      </c>
      <c r="B6" s="3666" t="s">
        <v>1465</v>
      </c>
      <c r="C6" s="3666" t="s">
        <v>2507</v>
      </c>
      <c r="D6" s="3666">
        <v>47600.14</v>
      </c>
      <c r="E6" s="3666">
        <v>57120.17</v>
      </c>
      <c r="F6" s="3666" t="s">
        <v>3324</v>
      </c>
      <c r="G6" s="3666" t="s">
        <v>3303</v>
      </c>
      <c r="H6" s="3666" t="s">
        <v>3304</v>
      </c>
      <c r="I6" s="3666">
        <v>0</v>
      </c>
      <c r="J6" s="3666" t="s">
        <v>3325</v>
      </c>
      <c r="K6" s="3666" t="s">
        <v>3325</v>
      </c>
      <c r="L6" s="3666" t="s">
        <v>3306</v>
      </c>
      <c r="M6" s="3666">
        <v>11020.35</v>
      </c>
      <c r="N6" s="3666">
        <v>11020.35</v>
      </c>
      <c r="O6" s="3666">
        <v>154.35</v>
      </c>
      <c r="P6" s="3666">
        <v>1929.33</v>
      </c>
      <c r="Q6" s="3666">
        <v>0</v>
      </c>
      <c r="R6" s="3666" t="s">
        <v>3322</v>
      </c>
      <c r="S6">
        <f t="shared" si="0"/>
        <v>2826</v>
      </c>
    </row>
  </sheetData>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75" t="s">
        <v>1556</v>
      </c>
      <c r="B1" s="3675"/>
      <c r="C1" s="3675"/>
      <c r="D1" s="3675"/>
      <c r="E1" s="3675"/>
      <c r="F1" s="3675"/>
      <c r="G1" s="3675"/>
      <c r="H1" s="3675"/>
      <c r="I1" s="3675"/>
      <c r="J1" s="3675"/>
      <c r="K1" s="3675"/>
      <c r="L1" s="3675"/>
      <c r="M1" s="3675"/>
      <c r="N1" s="3675"/>
      <c r="O1" s="3675"/>
      <c r="P1" s="3675"/>
      <c r="Q1" s="3675"/>
      <c r="R1" s="3675"/>
    </row>
    <row r="2" spans="1:18">
      <c r="A2" s="1595" t="s">
        <v>1558</v>
      </c>
      <c r="B2" s="1595"/>
      <c r="C2" s="1595"/>
      <c r="D2" s="1595"/>
      <c r="E2" s="1595"/>
      <c r="F2" s="1595"/>
      <c r="G2" s="1595"/>
      <c r="H2" s="1595"/>
      <c r="I2" s="1596"/>
      <c r="J2" s="1596"/>
      <c r="K2" s="1597" t="str">
        <f>"估价期日："&amp;TEXT(项目基本情况!D3,"yyyy年m月d日;;")</f>
        <v>估价期日：2023年3月1日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6" t="s">
        <v>1547</v>
      </c>
      <c r="B3" s="3676" t="s">
        <v>2013</v>
      </c>
      <c r="C3" s="3677" t="s">
        <v>1548</v>
      </c>
      <c r="D3" s="3676" t="s">
        <v>2017</v>
      </c>
      <c r="E3" s="3671" t="s">
        <v>1549</v>
      </c>
      <c r="F3" s="3671"/>
      <c r="G3" s="3671"/>
      <c r="H3" s="3671" t="s">
        <v>1550</v>
      </c>
      <c r="I3" s="3671"/>
      <c r="J3" s="3671"/>
      <c r="K3" s="3677" t="s">
        <v>1551</v>
      </c>
      <c r="L3" s="3677" t="s">
        <v>1552</v>
      </c>
      <c r="M3" s="3676" t="s">
        <v>2014</v>
      </c>
      <c r="N3" s="3678" t="str">
        <f>"（分摊）"&amp;项目基本情况!A17&amp;"国有建设用地使用权面积/㎡"</f>
        <v>（分摊）出让国有建设用地使用权面积/㎡</v>
      </c>
      <c r="O3" s="3676" t="s">
        <v>1581</v>
      </c>
      <c r="P3" s="3677" t="s">
        <v>1561</v>
      </c>
      <c r="Q3" s="3677" t="s">
        <v>1582</v>
      </c>
      <c r="R3" s="3677" t="s">
        <v>1553</v>
      </c>
    </row>
    <row r="4" spans="1:18" ht="36.75" customHeight="1">
      <c r="A4" s="3676"/>
      <c r="B4" s="3676"/>
      <c r="C4" s="3677"/>
      <c r="D4" s="3676"/>
      <c r="E4" s="2254" t="s">
        <v>1560</v>
      </c>
      <c r="F4" s="2254" t="s">
        <v>2026</v>
      </c>
      <c r="G4" s="2254" t="s">
        <v>1554</v>
      </c>
      <c r="H4" s="2254" t="s">
        <v>1555</v>
      </c>
      <c r="I4" s="2254" t="s">
        <v>2027</v>
      </c>
      <c r="J4" s="2254" t="s">
        <v>1554</v>
      </c>
      <c r="K4" s="3677"/>
      <c r="L4" s="3677"/>
      <c r="M4" s="3676"/>
      <c r="N4" s="3678"/>
      <c r="O4" s="3676"/>
      <c r="P4" s="3677"/>
      <c r="Q4" s="3677"/>
      <c r="R4" s="3677"/>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1667.9</v>
      </c>
      <c r="O5" s="1598">
        <f>项目基本情况!C21</f>
        <v>3611.7</v>
      </c>
      <c r="P5" s="1598">
        <f ca="1">结果表!E42</f>
        <v>3741</v>
      </c>
      <c r="Q5" s="1598">
        <f ca="1">结果表!D42</f>
        <v>1728</v>
      </c>
      <c r="R5" s="1599">
        <f ca="1">结果表!C42</f>
        <v>624</v>
      </c>
    </row>
    <row r="6" spans="1:18">
      <c r="A6" s="3672" t="str">
        <f>IF(项目基本情况!B9="市场价格","——","抵押价格")</f>
        <v>抵押价格</v>
      </c>
      <c r="B6" s="3673"/>
      <c r="C6" s="3673"/>
      <c r="D6" s="3673"/>
      <c r="E6" s="3673"/>
      <c r="F6" s="3673"/>
      <c r="G6" s="3673"/>
      <c r="H6" s="3673"/>
      <c r="I6" s="3673"/>
      <c r="J6" s="3673"/>
      <c r="K6" s="3673"/>
      <c r="L6" s="3673"/>
      <c r="M6" s="3673"/>
      <c r="N6" s="3673"/>
      <c r="O6" s="3673"/>
      <c r="P6" s="3673"/>
      <c r="Q6" s="3674"/>
      <c r="R6" s="1600">
        <f ca="1">结果表!O39</f>
        <v>624</v>
      </c>
    </row>
    <row r="7" spans="1:18">
      <c r="A7" s="3672" t="str">
        <f>IF(项目基本情况!B9="市场价格","——",IF(项目基本情况!E8="已注销及未注销","抵押担保权已注销时的抵押价格","——"))</f>
        <v>——</v>
      </c>
      <c r="B7" s="3673"/>
      <c r="C7" s="3673"/>
      <c r="D7" s="3673"/>
      <c r="E7" s="3673"/>
      <c r="F7" s="3673"/>
      <c r="G7" s="3673"/>
      <c r="H7" s="3673"/>
      <c r="I7" s="3673"/>
      <c r="J7" s="3673"/>
      <c r="K7" s="3673"/>
      <c r="L7" s="3673"/>
      <c r="M7" s="3673"/>
      <c r="N7" s="3673"/>
      <c r="O7" s="3673"/>
      <c r="P7" s="3673"/>
      <c r="Q7" s="3674"/>
      <c r="R7" s="1600" t="str">
        <f>结果表!O40</f>
        <v>——</v>
      </c>
    </row>
    <row r="8" spans="1:18">
      <c r="A8" s="3672">
        <f>IF(项目基本情况!B9="市场价格","——",项目基本情况!E9)</f>
        <v>0</v>
      </c>
      <c r="B8" s="3673"/>
      <c r="C8" s="3673"/>
      <c r="D8" s="3673"/>
      <c r="E8" s="3673"/>
      <c r="F8" s="3673"/>
      <c r="G8" s="3673"/>
      <c r="H8" s="3673"/>
      <c r="I8" s="3673"/>
      <c r="J8" s="3673"/>
      <c r="K8" s="3673"/>
      <c r="L8" s="3673"/>
      <c r="M8" s="3673"/>
      <c r="N8" s="3673"/>
      <c r="O8" s="3673"/>
      <c r="P8" s="3673"/>
      <c r="Q8" s="3674"/>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680" t="s">
        <v>1583</v>
      </c>
      <c r="B1" s="3680"/>
      <c r="C1" s="3680"/>
      <c r="D1" s="3680"/>
    </row>
    <row r="2" spans="1:4" ht="47.25" customHeight="1">
      <c r="A2" s="3681" t="str">
        <f>"1.权利限制："&amp;项目基本情况!L24&amp;"未设定租赁等其他他项权利。"</f>
        <v>1.权利限制：根据估价对象《不动产权证书》原件、《国有土地使用权》复印件，截至估价期日，估价对象抵押权未见登记。未设定租赁等其他他项权利。</v>
      </c>
      <c r="B2" s="3681"/>
      <c r="C2" s="3681"/>
      <c r="D2" s="3681"/>
    </row>
    <row r="3" spans="1:4" ht="48" customHeight="1">
      <c r="A3" s="36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0"/>
      <c r="C3" s="3680"/>
      <c r="D3" s="3680"/>
    </row>
    <row r="4" spans="1:4" ht="36.75" customHeight="1">
      <c r="A4" s="3680" t="str">
        <f>"3.估价规划限制条件：详见"&amp;项目基本情况!E21&amp;"。"</f>
        <v>3.估价规划限制条件：详见《建设工程规划许可证》[]、《出让合同》[]。</v>
      </c>
      <c r="B4" s="3680"/>
      <c r="C4" s="3680"/>
      <c r="D4" s="3680"/>
    </row>
    <row r="5" spans="1:4">
      <c r="A5" s="3679" t="s">
        <v>1584</v>
      </c>
      <c r="B5" s="3679"/>
      <c r="C5" s="3679"/>
      <c r="D5" s="3679"/>
    </row>
    <row r="6" spans="1:4">
      <c r="A6" s="3680" t="s">
        <v>1562</v>
      </c>
      <c r="B6" s="3680"/>
      <c r="C6" s="3680"/>
      <c r="D6" s="3680"/>
    </row>
    <row r="7" spans="1:4" ht="33" customHeight="1">
      <c r="A7" s="3680" t="s">
        <v>1857</v>
      </c>
      <c r="B7" s="3680"/>
      <c r="C7" s="3680"/>
      <c r="D7" s="3680"/>
    </row>
    <row r="8" spans="1:4" ht="32.25" customHeight="1">
      <c r="A8" s="36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0"/>
      <c r="C8" s="3680"/>
      <c r="D8" s="3680"/>
    </row>
    <row r="9" spans="1:4" ht="33.75" customHeight="1">
      <c r="A9" s="36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0"/>
      <c r="C9" s="3680"/>
      <c r="D9" s="3680"/>
    </row>
    <row r="10" spans="1:4">
      <c r="A10" s="3680" t="str">
        <f>IF(项目基本情况!B8="抵押","4.估价师所知悉的法定优先受偿款情况为：","——")</f>
        <v>4.估价师所知悉的法定优先受偿款情况为：</v>
      </c>
      <c r="B10" s="3680"/>
      <c r="C10" s="3680"/>
      <c r="D10" s="3680"/>
    </row>
    <row r="11" spans="1:4" ht="37.5" customHeight="1">
      <c r="A11" s="368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2"/>
      <c r="C11" s="3682"/>
      <c r="D11" s="3682"/>
    </row>
    <row r="12" spans="1:4" ht="168" customHeight="1">
      <c r="A12" s="3679" t="s">
        <v>1586</v>
      </c>
      <c r="B12" s="3679"/>
      <c r="C12" s="3679"/>
      <c r="D12" s="3679"/>
    </row>
    <row r="13" spans="1:4">
      <c r="A13" s="3683" t="s">
        <v>2028</v>
      </c>
      <c r="B13" s="3683"/>
      <c r="C13" s="3683"/>
      <c r="D13" s="3683"/>
    </row>
    <row r="14" spans="1:4">
      <c r="A14" s="3682" t="str">
        <f>IF(项目基本情况!B8="抵押","综上，"&amp;结果表!K47,"——")</f>
        <v>综上，本次评估不存在估价师知悉的法定优先受偿款</v>
      </c>
      <c r="B14" s="3682"/>
      <c r="C14" s="3682"/>
      <c r="D14" s="3682"/>
    </row>
    <row r="15" spans="1:4" ht="58.5" customHeight="1">
      <c r="A15" s="36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0"/>
      <c r="C15" s="3680"/>
      <c r="D15" s="3680"/>
    </row>
    <row r="16" spans="1:4" ht="70.5" customHeight="1">
      <c r="A16" s="36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0"/>
      <c r="C16" s="3680"/>
      <c r="D16" s="3680"/>
    </row>
    <row r="17" spans="1:4">
      <c r="A17" s="3680" t="s">
        <v>1984</v>
      </c>
      <c r="B17" s="3680"/>
      <c r="C17" s="3680"/>
      <c r="D17" s="3680"/>
    </row>
    <row r="18" spans="1:4">
      <c r="A18" s="3680" t="s">
        <v>1976</v>
      </c>
      <c r="B18" s="3680"/>
      <c r="C18" s="3680"/>
      <c r="D18" s="3680"/>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80" t="s">
        <v>1981</v>
      </c>
      <c r="B23" s="3680"/>
      <c r="C23" s="3680"/>
      <c r="D23" s="3680"/>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691" t="s">
        <v>27</v>
      </c>
      <c r="B15" s="3692" t="s">
        <v>784</v>
      </c>
      <c r="C15" s="3688"/>
    </row>
    <row r="16" spans="1:7" ht="14.4">
      <c r="A16" s="3691"/>
      <c r="B16" s="3689" t="s">
        <v>28</v>
      </c>
      <c r="C16" s="1070" t="s">
        <v>27</v>
      </c>
    </row>
    <row r="17" spans="1:3" ht="14.4">
      <c r="A17" s="3691"/>
      <c r="B17" s="3689"/>
      <c r="C17" s="1070" t="s">
        <v>29</v>
      </c>
    </row>
    <row r="18" spans="1:3" ht="14.4">
      <c r="A18" s="3691"/>
      <c r="B18" s="3689"/>
      <c r="C18" s="1070" t="s">
        <v>30</v>
      </c>
    </row>
    <row r="19" spans="1:3" ht="14.4">
      <c r="A19" s="3691"/>
      <c r="B19" s="3687" t="s">
        <v>31</v>
      </c>
      <c r="C19" s="3688"/>
    </row>
    <row r="20" spans="1:3" ht="14.4">
      <c r="A20" s="1071" t="s">
        <v>32</v>
      </c>
      <c r="B20" s="1072"/>
      <c r="C20" s="1073"/>
    </row>
    <row r="21" spans="1:3" ht="14.4">
      <c r="A21" s="3690" t="s">
        <v>33</v>
      </c>
      <c r="B21" s="3687" t="s">
        <v>34</v>
      </c>
      <c r="C21" s="3688"/>
    </row>
    <row r="22" spans="1:3" ht="14.4">
      <c r="A22" s="3690"/>
      <c r="B22" s="3687" t="s">
        <v>35</v>
      </c>
      <c r="C22" s="3688"/>
    </row>
    <row r="23" spans="1:3" ht="14.4">
      <c r="A23" s="3690"/>
      <c r="B23" s="3687" t="s">
        <v>36</v>
      </c>
      <c r="C23" s="3688"/>
    </row>
    <row r="24" spans="1:3" ht="14.4">
      <c r="A24" s="3690"/>
      <c r="B24" s="3693" t="s">
        <v>37</v>
      </c>
      <c r="C24" s="1074" t="s">
        <v>775</v>
      </c>
    </row>
    <row r="25" spans="1:3" ht="14.4">
      <c r="A25" s="3690"/>
      <c r="B25" s="3694"/>
      <c r="C25" s="1074" t="s">
        <v>776</v>
      </c>
    </row>
    <row r="26" spans="1:3" ht="14.4">
      <c r="A26" s="3690"/>
      <c r="B26" s="3694"/>
      <c r="C26" s="1074" t="s">
        <v>777</v>
      </c>
    </row>
    <row r="27" spans="1:3" ht="14.4">
      <c r="A27" s="3690"/>
      <c r="B27" s="3694"/>
      <c r="C27" s="1074" t="s">
        <v>778</v>
      </c>
    </row>
    <row r="28" spans="1:3" ht="14.4">
      <c r="A28" s="3690"/>
      <c r="B28" s="3694"/>
      <c r="C28" s="1074" t="s">
        <v>779</v>
      </c>
    </row>
    <row r="29" spans="1:3" ht="14.4">
      <c r="A29" s="3690"/>
      <c r="B29" s="3694"/>
      <c r="C29" s="1074" t="s">
        <v>780</v>
      </c>
    </row>
    <row r="30" spans="1:3" ht="14.4">
      <c r="A30" s="3690"/>
      <c r="B30" s="3694"/>
      <c r="C30" s="1074" t="s">
        <v>781</v>
      </c>
    </row>
    <row r="31" spans="1:3" ht="14.4">
      <c r="A31" s="3690"/>
      <c r="B31" s="3694"/>
      <c r="C31" s="1074" t="s">
        <v>782</v>
      </c>
    </row>
    <row r="32" spans="1:3" ht="14.4">
      <c r="A32" s="3690"/>
      <c r="B32" s="3694"/>
      <c r="C32" s="1074" t="s">
        <v>1181</v>
      </c>
    </row>
    <row r="33" spans="1:3" ht="14.4">
      <c r="A33" s="3690"/>
      <c r="B33" s="3684" t="s">
        <v>1187</v>
      </c>
      <c r="C33" s="1074" t="s">
        <v>1182</v>
      </c>
    </row>
    <row r="34" spans="1:3" ht="14.4">
      <c r="A34" s="3690"/>
      <c r="B34" s="3685"/>
      <c r="C34" s="1079" t="s">
        <v>1183</v>
      </c>
    </row>
    <row r="35" spans="1:3" ht="14.4">
      <c r="A35" s="3690"/>
      <c r="B35" s="3685"/>
      <c r="C35" s="1080" t="s">
        <v>1184</v>
      </c>
    </row>
    <row r="36" spans="1:3" ht="14.4">
      <c r="A36" s="3690"/>
      <c r="B36" s="3685"/>
      <c r="C36" s="1080" t="s">
        <v>1185</v>
      </c>
    </row>
    <row r="37" spans="1:3" ht="14.4">
      <c r="A37" s="3690"/>
      <c r="B37" s="3686"/>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44986</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8" t="s">
        <v>1448</v>
      </c>
      <c r="B18" s="3699"/>
      <c r="C18" s="3699"/>
      <c r="D18" s="3699"/>
      <c r="E18" s="3699"/>
      <c r="F18" s="3699"/>
      <c r="G18" s="2777"/>
    </row>
    <row r="19" spans="1:7" ht="20.25" customHeight="1">
      <c r="A19" s="3695" t="s">
        <v>1449</v>
      </c>
      <c r="B19" s="3695"/>
      <c r="C19" s="3696"/>
      <c r="D19" s="3697" t="s">
        <v>1450</v>
      </c>
      <c r="E19" s="3695"/>
      <c r="F19" s="3695"/>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H29" sqref="H29"/>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2754</v>
      </c>
    </row>
    <row r="8" spans="1:23" ht="14.4">
      <c r="A8" s="6" t="s">
        <v>75</v>
      </c>
      <c r="B8" s="6" t="s">
        <v>76</v>
      </c>
      <c r="C8" s="1368" t="s">
        <v>1244</v>
      </c>
      <c r="F8" s="7" t="s">
        <v>121</v>
      </c>
      <c r="H8" s="3336" t="s">
        <v>2748</v>
      </c>
      <c r="I8" s="7" t="s">
        <v>2755</v>
      </c>
    </row>
    <row r="9" spans="1:23" ht="14.4">
      <c r="A9" s="6" t="s">
        <v>77</v>
      </c>
      <c r="B9" s="6" t="s">
        <v>122</v>
      </c>
      <c r="C9" s="1368" t="s">
        <v>1245</v>
      </c>
      <c r="F9" s="7" t="s">
        <v>78</v>
      </c>
      <c r="H9" s="7"/>
      <c r="I9" s="7" t="s">
        <v>2756</v>
      </c>
    </row>
    <row r="10" spans="1:23" ht="14.4">
      <c r="A10" s="6" t="s">
        <v>79</v>
      </c>
      <c r="B10" s="6" t="s">
        <v>123</v>
      </c>
      <c r="C10" s="1368" t="s">
        <v>1246</v>
      </c>
      <c r="F10" s="3336" t="s">
        <v>2747</v>
      </c>
      <c r="I10" s="7" t="s">
        <v>2757</v>
      </c>
    </row>
    <row r="11" spans="1:23" ht="14.4">
      <c r="A11" s="6" t="s">
        <v>80</v>
      </c>
      <c r="B11" s="6" t="s">
        <v>124</v>
      </c>
      <c r="C11" s="1368" t="s">
        <v>1247</v>
      </c>
      <c r="I11" s="7" t="s">
        <v>2758</v>
      </c>
    </row>
    <row r="12" spans="1:23" ht="14.4">
      <c r="A12" s="6" t="s">
        <v>81</v>
      </c>
      <c r="B12" s="6" t="s">
        <v>125</v>
      </c>
      <c r="C12" s="1368" t="s">
        <v>1248</v>
      </c>
      <c r="I12" s="7" t="s">
        <v>2759</v>
      </c>
    </row>
    <row r="13" spans="1:23" ht="14.4">
      <c r="A13" s="6" t="s">
        <v>82</v>
      </c>
      <c r="B13" s="6" t="s">
        <v>126</v>
      </c>
      <c r="C13" s="1368" t="s">
        <v>1249</v>
      </c>
      <c r="I13" s="7" t="s">
        <v>2760</v>
      </c>
    </row>
    <row r="14" spans="1:23" ht="14.4">
      <c r="A14" s="6" t="s">
        <v>83</v>
      </c>
      <c r="B14" s="6" t="s">
        <v>127</v>
      </c>
      <c r="C14" s="1371" t="s">
        <v>1421</v>
      </c>
      <c r="I14" s="7" t="s">
        <v>2761</v>
      </c>
    </row>
    <row r="15" spans="1:23" ht="14.4">
      <c r="A15" s="6" t="s">
        <v>84</v>
      </c>
      <c r="B15" s="6" t="s">
        <v>1214</v>
      </c>
      <c r="C15" s="1371"/>
      <c r="I15" s="7" t="s">
        <v>2762</v>
      </c>
    </row>
    <row r="16" spans="1:23"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2442</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0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1日，在规划利用条件下、设定土地开发程度为红线外“七通”、宗地内场地，设定用途为，剩余土地使用年限为的出让国有建设用地使用权价格。</v>
      </c>
      <c r="D53" s="1558"/>
      <c r="E53" s="1558"/>
    </row>
    <row r="54" spans="1:5">
      <c r="A54" s="370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2023-03-01T08:28:46Z</dcterms:modified>
</cp:coreProperties>
</file>