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<sst xmlns="http://schemas.openxmlformats.org/spreadsheetml/2006/main" count="7720" uniqueCount="2650">
  <si>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</si>
  <si>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</si>
  <si>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</si>
  <si>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</si>
  <si>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</si>
  <si>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</si>
  <si>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</si>
  <si>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</si>
  <si>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</si>
  <si>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</si>
  <si>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</si>
  <si>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</si>
  <si>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</si>
  <si>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</si>
  <si>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</si>
  <si>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</si>
  <si>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</si>
  <si>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</si>
  <si>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</si>
  <si>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</si>
  <si>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</si>
  <si>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</si>
  <si>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</si>
  <si>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</si>
  <si>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</si>
  <si>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</si>
  <si>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</si>
  <si>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</si>
  <si>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</si>
  <si>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</si>
  <si>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</si>
  <si>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</si>
  <si>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</si>
  <si>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</si>
  <si>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</si>
  <si>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</si>
  <si>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</si>
  <si>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</si>
  <si>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</si>
  <si>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</si>
  <si>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</si>
  <si>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</si>
  <si>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</si>
  <si>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</si>
  <si>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</si>
  <si>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</si>
  <si>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</si>
  <si>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</si>
  <si>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</si>
  <si>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</si>
  <si>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</si>
  <si>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</si>
  <si>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</si>
  <si>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</si>
  <si>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</si>
  <si>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</si>
  <si>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</si>
  <si>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</si>
  <si>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</si>
  <si>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</si>
  <si>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</si>
  <si>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</si>
  <si>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</si>
  <si>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</si>
  <si>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</si>
  <si>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</si>
  <si>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</si>
  <si>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</si>
  <si>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</si>
  <si>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</si>
  <si>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</si>
  <si>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</si>
  <si>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</si>
  <si>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</si>
  <si>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</si>
  <si>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</si>
  <si>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</si>
  <si>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</si>
  <si>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</si>
  <si>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</si>
  <si>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</si>
  <si>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</si>
  <si>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</si>
  <si>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</si>
  <si>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</si>
  <si>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</si>
  <si>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</si>
  <si>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</si>
  <si>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</si>
  <si>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</si>
  <si>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</si>
  <si>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</si>
  <si>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</si>
  <si>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</si>
  <si>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</si>
  <si>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</si>
  <si>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</si>
  <si>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</si>
  <si>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</si>
  <si>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</si>
  <si>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</si>
  <si>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</si>
  <si>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</si>
  <si>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</si>
  <si>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</si>
  <si>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</si>
  <si>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</si>
  <si>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</si>
  <si>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</si>
  <si>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</si>
  <si>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</si>
  <si>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</si>
  <si>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</si>
  <si>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</si>
  <si>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</si>
  <si>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</si>
  <si>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</si>
  <si>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</si>
  <si>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</si>
  <si>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</si>
  <si>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</si>
  <si>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</si>
  <si>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</si>
  <si>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</si>
  <si>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</si>
  <si>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</si>
  <si>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</si>
  <si>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</si>
  <si>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</si>
  <si>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</si>
  <si>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</si>
  <si>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</si>
  <si>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</si>
  <si>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</si>
  <si>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</si>
  <si>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</si>
  <si>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</si>
  <si>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</si>
  <si>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</si>
  <si>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</si>
  <si>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</si>
  <si>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</si>
  <si>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</si>
  <si>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</si>
  <si>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</si>
  <si>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</si>
  <si>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</si>
  <si>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</si>
  <si>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</si>
  <si>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</si>
  <si>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</si>
  <si>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</si>
  <si>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</si>
  <si>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</si>
  <si>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</si>
  <si>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</si>
  <si>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</si>
  <si>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</si>
  <si>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</si>
  <si>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</si>
  <si>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</si>
  <si>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</si>
  <si>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</si>
  <si>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</si>
  <si>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</si>
  <si>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</si>
  <si>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</si>
  <si>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</si>
  <si>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</si>
  <si>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</si>
  <si>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</si>
  <si>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</si>
  <si>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</si>
  <si>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</si>
  <si>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</si>
  <si>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</si>
  <si>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</si>
  <si>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</si>
  <si>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</si>
  <si>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</si>
  <si>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</si>
  <si>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</si>
  <si>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</si>
  <si>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</si>
  <si>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</si>
  <si>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</si>
  <si>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</si>
  <si>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</si>
  <si>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</si>
  <si>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</si>
  <si>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</si>
  <si>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</si>
  <si>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</si>
  <si>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</si>
  <si>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</si>
  <si>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</si>
  <si>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</si>
  <si>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</si>
  <si>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</si>
  <si>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</si>
  <si>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</si>
  <si>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</si>
  <si>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</si>
  <si>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</si>
  <si>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</si>
  <si>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</si>
  <si>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</si>
  <si>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</si>
  <si>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</si>
  <si>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</si>
  <si>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</si>
  <si>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</si>
  <si>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</si>
  <si>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</si>
  <si>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</si>
  <si>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</si>
  <si>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</si>
  <si>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</si>
  <si>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</si>
  <si>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</si>
  <si>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</si>
  <si>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</si>
  <si>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</si>
  <si>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</si>
  <si>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</si>
  <si>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</si>
  <si>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</si>
  <si>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</si>
  <si>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</si>
  <si>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</si>
  <si>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</si>
  <si>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</si>
  <si>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</si>
  <si>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</si>
  <si>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</si>
  <si>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</si>
  <si>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</si>
  <si>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</si>
  <si>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</si>
  <si>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</si>
  <si>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</si>
  <si>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</si>
  <si>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</si>
  <si>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</si>
  <si>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</si>
  <si>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</si>
  <si>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</si>
  <si>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</si>
  <si>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</si>
  <si>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</si>
  <si>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</si>
  <si>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</si>
  <si>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</si>
  <si>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</si>
  <si>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</si>
  <si>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</si>
  <si>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</si>
  <si>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</si>
  <si>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</si>
  <si>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</si>
  <si>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</si>
  <si>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</si>
  <si>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</si>
  <si>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</si>
  <si>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</si>
  <si>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</si>
  <si>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</si>
  <si>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</si>
  <si>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</si>
  <si>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</si>
  <si>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</si>
  <si>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</si>
  <si>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</si>
  <si>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</si>
  <si>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</si>
  <si>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</si>
  <si>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</si>
  <si>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</si>
  <si>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</si>
  <si>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</si>
  <si>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</si>
  <si>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</si>
  <si>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</si>
  <si>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</si>
  <si>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</si>
  <si>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</si>
  <si>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</si>
  <si>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</si>
  <si>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</si>
  <si>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</si>
  <si>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</si>
  <si>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</si>
  <si>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</si>
  <si>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</si>
  <si>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</si>
  <si>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</si>
  <si>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</si>
  <si>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</si>
  <si>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</si>
  <si>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</si>
  <si>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</si>
  <si>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</si>
  <si>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</si>
  <si>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</si>
  <si>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</si>
  <si>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</si>
  <si>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</si>
  <si>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</si>
  <si>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</si>
  <si>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</si>
  <si>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</si>
  <si>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</si>
  <si>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</si>
  <si>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</si>
  <si>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</si>
  <si>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</si>
  <si>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</si>
  <si>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</si>
  <si>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</si>
  <si>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</si>
  <si>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</si>
  <si>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</si>
  <si>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</si>
  <si>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</si>
  <si>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</si>
  <si>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</si>
  <si>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</si>
  <si>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</si>
  <si>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</si>
  <si>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</si>
  <si>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</si>
  <si>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</si>
  <si>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</si>
  <si>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</si>
  <si>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</si>
  <si>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</si>
  <si>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</si>
  <si>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</si>
  <si>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</si>
  <si>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</si>
  <si>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</si>
  <si>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</si>
  <si>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</si>
  <si>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</si>
  <si>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</si>
  <si>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</si>
  <si>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</si>
  <si>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</si>
  <si>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</si>
  <si>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</si>
  <si>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</si>
  <si>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</si>
  <si>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</si>
  <si>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</si>
  <si>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</si>
  <si>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</si>
  <si>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</si>
  <si>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</si>
  <si>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</si>
  <si>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</si>
  <si>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</si>
  <si>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</si>
  <si>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</si>
  <si>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</si>
  <si>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</si>
  <si>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</si>
  <si>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</si>
  <si>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</si>
  <si>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</si>
  <si>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</si>
  <si>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</si>
  <si>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</si>
  <si>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</si>
  <si>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</si>
  <si>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</si>
  <si>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</si>
  <si>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</si>
  <si>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</si>
  <si>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</si>
  <si>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</si>
  <si>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</si>
  <si>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</si>
  <si>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</si>
  <si>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</si>
  <si>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</si>
  <si>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</si>
  <si>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</si>
  <si>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</si>
  <si>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</si>
  <si>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</si>
  <si>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</si>
  <si>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</si>
  <si>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</si>
  <si>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</si>
  <si>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</si>
  <si>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</si>
  <si>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</si>
  <si>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</si>
  <si>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</si>
  <si>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</si>
  <si>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</si>
  <si>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</si>
  <si>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</si>
  <si>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</si>
  <si>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</si>
  <si>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</si>
  <si>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</si>
  <si>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</si>
  <si>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</si>
  <si>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</si>
  <si>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</si>
  <si>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</si>
  <si>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</si>
  <si>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</si>
  <si>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</si>
  <si>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</si>
  <si>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</si>
  <si>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</si>
  <si>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</si>
  <si>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</si>
  <si>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</si>
  <si>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</si>
  <si>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</si>
  <si>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</si>
  <si>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</si>
  <si>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</si>
  <si>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</si>
  <si>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</si>
  <si>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</si>
  <si>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</si>
  <si>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</si>
  <si>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</si>
  <si>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</si>
  <si>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</si>
  <si>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</si>
  <si>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</si>
  <si>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</si>
  <si>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</si>
  <si>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</si>
  <si>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</si>
  <si>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</si>
  <si>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</si>
  <si>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</si>
  <si>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</si>
  <si>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</si>
  <si>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</si>
  <si>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</si>
  <si>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</si>
  <si>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</si>
  <si>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</si>
  <si>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</si>
  <si>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</si>
  <si>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</si>
  <si>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</si>
  <si>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</si>
  <si>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</si>
  <si>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</si>
  <si>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</si>
  <si>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</si>
  <si>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</si>
  <si>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</si>
  <si>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</si>
  <si>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</si>
  <si>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</si>
  <si>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</si>
  <si>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</si>
  <si>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</si>
  <si>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</si>
  <si>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</si>
  <si>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</si>
  <si>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</si>
  <si>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</si>
  <si>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</si>
  <si>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</si>
  <si>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</si>
  <si>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</si>
  <si>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</si>
  <si>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</si>
  <si>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</si>
  <si>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</si>
  <si>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</si>
  <si>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</si>
  <si>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</si>
  <si>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</si>
  <si>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</si>
  <si>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</si>
  <si>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</si>
  <si>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</si>
  <si>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</si>
  <si>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</si>
  <si>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</si>
  <si>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</si>
  <si>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</si>
  <si>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</si>
  <si>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</si>
  <si>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</si>
  <si>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</si>
  <si>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</si>
  <si>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</si>
  <si>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</si>
  <si>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</si>
  <si>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</si>
  <si>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</si>
  <si>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</si>
  <si>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</si>
  <si>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</si>
  <si>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</si>
  <si>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</si>
  <si>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</si>
  <si>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</si>
  <si>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</si>
  <si>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</si>
  <si>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</si>
  <si>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</si>
  <si>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</si>
  <si>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</si>
  <si>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</si>
  <si>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</si>
  <si>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</si>
  <si>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</si>
  <si>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</si>
  <si>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</si>
  <si>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</si>
  <si>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</si>
  <si>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</si>
  <si>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</si>
  <si>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</si>
  <si>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</si>
  <si>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</si>
  <si>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</si>
  <si>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</si>
  <si>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</si>
  <si>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</si>
  <si>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</si>
  <si>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</si>
  <si>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</si>
  <si>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</si>
  <si>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</si>
  <si>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</si>
  <si>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</si>
  <si>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</si>
  <si>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</si>
  <si>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</si>
  <si>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</si>
  <si>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</si>
  <si>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</si>
  <si>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</si>
  <si>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</si>
  <si>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</si>
  <si>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</si>
  <si>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</si>
  <si>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</si>
  <si>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</si>
  <si>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</si>
  <si>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</si>
  <si>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</si>
  <si>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</si>
  <si>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</si>
  <si>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</si>
  <si>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</si>
  <si>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</si>
  <si>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</si>
  <si>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</si>
  <si>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</si>
  <si>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</si>
  <si>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</si>
  <si>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</si>
  <si>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</si>
  <si>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</si>
  <si>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</si>
  <si>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</si>
  <si>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</si>
  <si>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</si>
  <si>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</si>
  <si>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</si>
  <si>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</si>
  <si>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</si>
  <si>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</si>
  <si>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</si>
  <si>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</si>
  <si>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</si>
  <si>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</si>
  <si>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</si>
  <si>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</si>
  <si>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</si>
  <si>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</si>
  <si>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</si>
  <si>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</si>
  <si>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</si>
  <si>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</si>
  <si>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</si>
  <si>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</si>
  <si>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</si>
  <si>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</si>
  <si>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</si>
  <si>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</si>
  <si>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</si>
  <si>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</si>
  <si>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</si>
  <si>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</si>
  <si>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</si>
  <si>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</si>
  <si>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</si>
  <si>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</si>
  <si>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</si>
  <si>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</si>
  <si>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</si>
  <si>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</si>
  <si>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</si>
  <si>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</si>
  <si>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</si>
  <si>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</si>
  <si>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</si>
  <si>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</si>
  <si>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</si>
  <si>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</si>
  <si>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</si>
  <si>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</si>
  <si>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</si>
  <si>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</si>
  <si>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</si>
  <si>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</si>
  <si>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</si>
  <si>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</si>
  <si>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</si>
  <si>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</si>
  <si>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</si>
  <si>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</si>
  <si>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</si>
  <si>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</si>
  <si>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</si>
  <si>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</si>
  <si>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</si>
  <si>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</si>
  <si>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</si>
  <si>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</si>
  <si>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</si>
  <si>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</si>
  <si>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</si>
  <si>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</si>
  <si>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</si>
  <si>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</si>
  <si>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</si>
  <si>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</si>
  <si>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</si>
  <si>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</si>
  <si>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</si>
  <si>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</si>
  <si>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</si>
  <si>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</si>
  <si>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</si>
  <si>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</si>
  <si>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</si>
  <si>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</si>
  <si>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</si>
  <si>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</si>
  <si>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</si>
  <si>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</si>
  <si>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</si>
  <si>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</si>
  <si>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</si>
  <si>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</si>
  <si>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</si>
  <si>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</si>
  <si>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</si>
  <si>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</si>
  <si>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</si>
  <si>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</si>
  <si>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</si>
  <si>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</si>
  <si>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</si>
  <si>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</si>
  <si>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</si>
  <si>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</si>
  <si>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</si>
  <si>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</si>
  <si>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</si>
  <si>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</si>
  <si>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</si>
  <si>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</si>
  <si>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</si>
  <si>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</si>
  <si>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</si>
  <si>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</si>
  <si>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</si>
  <si>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</si>
  <si>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</si>
  <si>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</si>
  <si>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</si>
  <si>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</si>
  <si>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</si>
  <si>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</si>
  <si>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</si>
  <si>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</si>
  <si>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</si>
  <si>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</si>
  <si>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</si>
  <si>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</si>
  <si>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</si>
  <si>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</si>
  <si>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</si>
  <si>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</si>
  <si>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</si>
  <si>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</si>
  <si>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</si>
  <si>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</si>
  <si>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</si>
  <si>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</si>
  <si>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</si>
  <si>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</si>
  <si>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</si>
  <si>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</si>
  <si>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</si>
  <si>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</si>
  <si>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</si>
  <si>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</si>
  <si>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</si>
  <si>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</si>
  <si>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</si>
  <si>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</si>
  <si>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</si>
  <si>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</si>
  <si>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</si>
  <si>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</si>
  <si>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</si>
  <si>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</si>
  <si>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</si>
  <si>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</si>
  <si>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</si>
  <si>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</si>
  <si>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</si>
  <si>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</si>
  <si>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</si>
  <si>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</si>
  <si>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</si>
  <si>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</si>
  <si>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</si>
  <si>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</si>
  <si>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</si>
  <si>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</si>
  <si>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</si>
  <si>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</si>
  <si>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</si>
  <si>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</si>
  <si>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</si>
  <si>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</si>
  <si>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</si>
  <si>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</si>
  <si>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</si>
  <si>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</si>
  <si>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</si>
  <si>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</si>
  <si>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</si>
  <si>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</si>
  <si>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</si>
  <si>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</si>
  <si>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</si>
  <si>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</si>
  <si>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</si>
  <si>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</si>
  <si>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</si>
  <si>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</si>
  <si>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</si>
  <si>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</si>
  <si>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</si>
  <si>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</si>
  <si>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</si>
  <si>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</si>
  <si>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</si>
  <si>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</si>
  <si>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</si>
  <si>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</si>
  <si>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</si>
  <si>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</si>
  <si>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</si>
  <si>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</si>
  <si>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</si>
  <si>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</si>
  <si>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</si>
  <si>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</si>
  <si>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</si>
  <si>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</si>
  <si>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</si>
  <si>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</si>
  <si>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</si>
  <si>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</si>
  <si>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</si>
  <si>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</si>
  <si>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</si>
  <si>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</si>
  <si>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</si>
  <si>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</si>
  <si>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</si>
  <si>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</si>
  <si>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</si>
  <si>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</si>
  <si>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</si>
  <si>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</si>
  <si>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</si>
  <si>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</si>
  <si>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</si>
  <si>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</si>
  <si>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</si>
  <si>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</si>
  <si>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</si>
  <si>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</si>
  <si>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</si>
  <si>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</si>
  <si>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</si>
  <si>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</si>
  <si>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</si>
  <si>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</si>
  <si>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</si>
  <si>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</si>
  <si>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</si>
  <si>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</si>
  <si>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</si>
  <si>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</si>
  <si>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</si>
  <si>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</si>
  <si>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</si>
  <si>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</si>
  <si>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</si>
  <si>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</si>
  <si>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</si>
  <si>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</si>
  <si>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</si>
  <si>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</si>
  <si>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</si>
  <si>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</si>
  <si>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</si>
  <si>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</si>
  <si>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</si>
  <si>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</si>
  <si>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</si>
  <si>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</si>
  <si>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</si>
  <si>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</si>
  <si>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</si>
  <si>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</si>
  <si>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</si>
  <si>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</si>
  <si>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</si>
  <si>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</si>
  <si>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</si>
  <si>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</si>
  <si>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</si>
  <si>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</si>
  <si>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</si>
  <si>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</si>
  <si>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</si>
  <si>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</si>
  <si>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</si>
  <si>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</si>
  <si>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</si>
  <si>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</si>
  <si>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</si>
  <si>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</si>
  <si>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</si>
  <si>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</si>
  <si>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</si>
  <si>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</si>
  <si>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</si>
  <si>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</si>
  <si>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</si>
  <si>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</si>
  <si>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</si>
  <si>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</si>
  <si>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</si>
  <si>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</si>
  <si>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</si>
  <si>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</si>
  <si>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</si>
  <si>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</si>
  <si>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</si>
  <si>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</si>
  <si>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</si>
  <si>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</si>
  <si>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</si>
  <si>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</si>
  <si>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</si>
  <si>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</si>
  <si>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</si>
  <si>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</si>
  <si>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</si>
  <si>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</si>
  <si>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</si>
  <si>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</si>
  <si>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</si>
  <si>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</si>
  <si>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</si>
  <si>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</si>
  <si>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</si>
  <si>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</si>
  <si>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</si>
  <si>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</si>
  <si>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</si>
  <si>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</si>
  <si>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</si>
  <si>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</si>
  <si>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</si>
  <si>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</si>
  <si>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</si>
  <si>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</si>
  <si>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</si>
  <si>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</si>
  <si>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</si>
  <si>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</si>
  <si>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</si>
  <si>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</si>
  <si>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</si>
  <si>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</si>
  <si>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</si>
  <si>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</si>
  <si>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</si>
  <si>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</si>
  <si>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</si>
  <si>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</si>
  <si>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</si>
  <si>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</si>
  <si>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</si>
  <si>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</si>
  <si>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</si>
  <si>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</si>
  <si>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</si>
  <si>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</si>
  <si>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</si>
  <si>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</si>
  <si>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</si>
  <si>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</si>
  <si>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</si>
  <si>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</si>
  <si>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</si>
  <si>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</si>
  <si>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</si>
  <si>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</si>
  <si>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</si>
  <si>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</si>
  <si>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</si>
  <si>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</si>
  <si>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</si>
  <si>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</si>
  <si>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</si>
  <si>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</si>
  <si>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</si>
  <si>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</si>
  <si>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</si>
  <si>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</si>
  <si>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</si>
  <si>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</si>
  <si>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</si>
  <si>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</si>
  <si>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</si>
  <si>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</si>
  <si>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</si>
  <si>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</si>
  <si>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</si>
  <si>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</si>
  <si>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</si>
  <si>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</si>
  <si>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</si>
  <si>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</si>
  <si>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</si>
  <si>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</si>
  <si>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</si>
  <si>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</si>
  <si>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</si>
  <si>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</si>
  <si>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</si>
  <si>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</si>
  <si>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</si>
  <si>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</si>
  <si>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</si>
  <si>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</si>
  <si>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</si>
  <si>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</si>
  <si>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</si>
  <si>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</si>
  <si>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</si>
  <si>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</si>
  <si>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</si>
  <si>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</si>
  <si>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</si>
  <si>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</si>
  <si>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</si>
  <si>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</si>
  <si>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</si>
  <si>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</si>
  <si>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</si>
  <si>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</si>
  <si>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</si>
  <si>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</si>
  <si>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</si>
  <si>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</si>
  <si>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</si>
  <si>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</si>
  <si>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</si>
  <si>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</si>
  <si>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</si>
  <si>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</si>
  <si>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</si>
  <si>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</si>
  <si>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</si>
  <si>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</si>
  <si>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</si>
  <si>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</si>
  <si>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</si>
  <si>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</si>
  <si>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</si>
  <si>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</si>
  <si>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</si>
  <si>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</si>
  <si>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</si>
  <si>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</si>
  <si>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</si>
  <si>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</si>
  <si>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</si>
  <si>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</si>
  <si>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</si>
  <si>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</si>
  <si>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</si>
  <si>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</si>
  <si>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</si>
  <si>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</si>
  <si>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</si>
  <si>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</si>
  <si>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</si>
  <si>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</si>
  <si>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</si>
  <si>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</si>
  <si>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</si>
  <si>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</si>
  <si>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</si>
  <si>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</si>
  <si>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</si>
  <si>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</si>
  <si>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</si>
  <si>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</si>
  <si>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</si>
  <si>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</si>
  <si>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</si>
  <si>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</si>
  <si>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</si>
  <si>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</si>
  <si>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</si>
  <si>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</si>
  <si>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</si>
  <si>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</si>
  <si>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</si>
  <si>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</si>
  <si>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</si>
  <si>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</si>
  <si>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</si>
  <si>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</si>
  <si>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</si>
  <si>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</si>
  <si>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</si>
  <si>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</si>
  <si>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</si>
  <si>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</si>
  <si>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</si>
  <si>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</si>
  <si>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</si>
  <si>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</si>
  <si>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</si>
  <si>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</si>
  <si>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</si>
  <si>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</si>
  <si>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</si>
  <si>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</si>
  <si>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</si>
  <si>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</si>
  <si>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</si>
  <si>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</si>
  <si>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</si>
  <si>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</si>
  <si>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</si>
  <si>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</si>
  <si>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</si>
  <si>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</si>
  <si>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</si>
  <si>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</si>
  <si>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</si>
  <si>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</si>
  <si>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</si>
  <si>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</si>
  <si>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</si>
  <si>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</si>
  <si>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</si>
  <si>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</si>
  <si>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</si>
  <si>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</si>
  <si>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</si>
  <si>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</si>
  <si>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</si>
  <si>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</si>
  <si>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</si>
  <si>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</si>
  <si>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</si>
  <si>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</si>
  <si>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</si>
  <si>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</si>
  <si>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</si>
  <si>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</si>
  <si>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</si>
  <si>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</si>
  <si>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</si>
  <si>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</si>
  <si>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</si>
  <si>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</si>
  <si>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</si>
  <si>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</si>
  <si>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</si>
  <si>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</si>
  <si>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</si>
  <si>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</si>
  <si>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</si>
  <si>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</si>
  <si>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</si>
  <si>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</si>
  <si>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</si>
  <si>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</si>
  <si>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</si>
  <si>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</si>
  <si>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</si>
  <si>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</si>
  <si>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</si>
  <si>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</si>
  <si>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</si>
  <si>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</si>
  <si>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</si>
  <si>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</si>
  <si>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</si>
  <si>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</si>
  <si>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</si>
  <si>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</si>
  <si>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</si>
  <si>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</si>
  <si>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</si>
  <si>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</si>
  <si>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</si>
  <si>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</si>
  <si>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</si>
  <si>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</si>
  <si>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</si>
  <si>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</si>
  <si>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</si>
  <si>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</si>
  <si>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</si>
  <si>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</si>
  <si>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</si>
  <si>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</si>
  <si>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</si>
  <si>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</si>
  <si>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</si>
  <si>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</si>
  <si>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</si>
  <si>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</si>
  <si>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</si>
  <si>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</si>
  <si>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</si>
  <si>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</si>
  <si>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</si>
  <si>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</si>
  <si>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</si>
  <si>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</si>
  <si>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</si>
  <si>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</si>
  <si>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</si>
  <si>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</si>
  <si>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</si>
  <si>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</si>
  <si>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</si>
  <si>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</si>
  <si>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</si>
  <si>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</si>
  <si>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</si>
  <si>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</si>
  <si>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</si>
  <si>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</si>
  <si>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</si>
  <si>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</si>
  <si>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</si>
  <si>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</si>
  <si>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</si>
  <si>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</si>
  <si>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</si>
  <si>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</si>
  <si>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</si>
  <si>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</si>
  <si>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</si>
  <si>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</si>
  <si>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</si>
  <si>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</si>
  <si>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</si>
  <si>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</si>
  <si>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</si>
  <si>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</si>
  <si>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</si>
  <si>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</si>
  <si>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</si>
  <si>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</si>
  <si>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</si>
  <si>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</si>
  <si>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</si>
  <si>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</si>
  <si>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</si>
  <si>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</si>
  <si>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</si>
  <si>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</si>
  <si>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</si>
  <si>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</si>
  <si>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</si>
  <si>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</si>
  <si>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</si>
  <si>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</si>
  <si>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</si>
  <si>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</si>
  <si>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</si>
  <si>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</si>
  <si>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</si>
  <si>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</si>
  <si>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</si>
  <si>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</si>
  <si>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</si>
  <si>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</si>
  <si>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</si>
  <si>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</si>
  <si>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</si>
  <si>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</si>
  <si>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</si>
  <si>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</si>
  <si>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</si>
  <si>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</si>
  <si>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</si>
  <si>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</si>
  <si>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</si>
  <si>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</si>
  <si>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</si>
  <si>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</si>
  <si>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</si>
  <si>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</si>
  <si>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</si>
  <si>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</si>
  <si>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</si>
  <si>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</si>
  <si>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</si>
  <si>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</si>
  <si>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</si>
  <si>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</si>
  <si>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</si>
  <si>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</si>
  <si>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</si>
  <si>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</si>
  <si>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</si>
  <si>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</si>
  <si>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</si>
  <si>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</si>
  <si>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</si>
  <si>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</si>
  <si>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</si>
  <si>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</si>
  <si>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</si>
  <si>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</si>
  <si>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</si>
  <si>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</si>
  <si>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</si>
  <si>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</si>
  <si>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</si>
  <si>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</si>
  <si>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</si>
  <si>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</si>
  <si>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</si>
  <si>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</si>
  <si>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</si>
  <si>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</si>
  <si>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</si>
  <si>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</si>
  <si>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</si>
  <si>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</si>
  <si>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</si>
  <si>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</si>
  <si>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</si>
  <si>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</si>
  <si>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</si>
  <si>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</si>
  <si>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</si>
  <si>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</si>
  <si>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</si>
  <si>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</si>
  <si>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</si>
  <si>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</si>
  <si>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</si>
  <si>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</si>
  <si>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</si>
  <si>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</si>
  <si>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</si>
  <si>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</si>
  <si>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</si>
  <si>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</si>
  <si>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</si>
  <si>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</si>
  <si>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</si>
  <si>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</si>
  <si>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</si>
  <si>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</si>
  <si>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</si>
  <si>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</si>
  <si>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</si>
  <si>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</si>
  <si>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</si>
  <si>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</si>
  <si>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</si>
  <si>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</si>
  <si>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</si>
  <si>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</si>
  <si>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</si>
  <si>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</si>
  <si>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</si>
  <si>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</si>
  <si>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</si>
  <si>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</si>
  <si>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</si>
  <si>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</si>
  <si>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</si>
  <si>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</si>
  <si>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</si>
  <si>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</si>
  <si>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</si>
  <si>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</si>
  <si>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</si>
  <si>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</si>
  <si>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</si>
  <si>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</si>
  <si>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</si>
  <si>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</si>
  <si>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</si>
  <si>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</si>
  <si>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</si>
  <si>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</si>
  <si>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</si>
  <si>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</si>
  <si>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</si>
  <si>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</si>
  <si>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</si>
  <si>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</si>
  <si>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</si>
  <si>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</si>
  <si>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</si>
  <si>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</si>
  <si>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</si>
  <si>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</si>
  <si>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</si>
  <si>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</si>
  <si>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</si>
  <si>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</si>
  <si>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</si>
  <si>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</si>
  <si>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</si>
  <si>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</si>
  <si>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</si>
  <si>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</si>
  <si>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</si>
  <si>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</si>
  <si>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</si>
  <si>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</si>
  <si>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</si>
  <si>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</si>
  <si>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</si>
  <si>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</si>
  <si>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</si>
  <si>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</si>
  <si>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</si>
  <si>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</si>
  <si>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</si>
  <si>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</si>
  <si>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</si>
  <si>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</si>
  <si>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</si>
  <si>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</si>
  <si>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</si>
  <si>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</si>
  <si>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</si>
  <si>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</si>
  <si>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</si>
  <si>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</si>
  <si>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</si>
  <si>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</si>
  <si>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</si>
  <si>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</si>
  <si>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</si>
  <si>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</si>
  <si>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</si>
  <si>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</si>
  <si>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</si>
  <si>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</si>
  <si>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</si>
  <si>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</si>
  <si>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</si>
  <si>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</si>
  <si>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</si>
  <si>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</si>
  <si>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</si>
  <si>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</si>
  <si>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</si>
  <si>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</si>
  <si>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</si>
  <si>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</si>
  <si>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</si>
  <si>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</si>
  <si>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</si>
  <si>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</si>
  <si>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</si>
  <si>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</si>
  <si>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</si>
  <si>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</si>
  <si>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</si>
  <si>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</si>
  <si>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</si>
  <si>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</si>
  <si>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</si>
  <si>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</si>
  <si>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</si>
  <si>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</si>
  <si>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</si>
  <si>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</si>
  <si>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</si>
  <si>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</si>
  <si>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</si>
  <si>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</si>
  <si>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</si>
  <si>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</si>
  <si>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</si>
  <si>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</si>
  <si>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</si>
  <si>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</si>
  <si>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</si>
  <si>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</si>
  <si>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</si>
  <si>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</si>
  <si>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</si>
  <si>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</si>
  <si>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</si>
  <si>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</si>
  <si>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</si>
  <si>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</si>
  <si>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</si>
  <si>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</si>
  <si>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</si>
  <si>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</si>
  <si>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</si>
  <si>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</si>
  <si>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</si>
  <si>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</si>
  <si>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</si>
  <si>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</si>
  <si>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</si>
  <si>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</si>
  <si>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</si>
  <si>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</si>
  <si>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</si>
  <si>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</si>
  <si>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</si>
  <si>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</si>
  <si>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</si>
  <si>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</si>
  <si>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</si>
  <si>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</si>
  <si>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</si>
  <si>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</si>
  <si>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</si>
  <si>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</si>
  <si>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</si>
  <si>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</si>
  <si>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</si>
  <si>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</si>
  <si>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</si>
  <si>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</si>
  <si>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</si>
  <si>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</si>
  <si>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</si>
  <si>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</si>
  <si>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</si>
  <si>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</si>
  <si>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</si>
  <si>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</si>
  <si>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</si>
  <si>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</si>
  <si>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</si>
  <si>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</si>
  <si>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</si>
  <si>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</si>
  <si>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</si>
  <si>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</si>
  <si>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</si>
  <si>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</si>
  <si>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</si>
  <si>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</si>
  <si>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</si>
  <si>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</si>
  <si>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</si>
  <si>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</si>
  <si>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</si>
  <si>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</si>
  <si>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</si>
  <si>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</si>
  <si>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</si>
  <si>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</si>
  <si>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</si>
  <si>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</si>
  <si>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</si>
  <si>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</si>
  <si>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</si>
  <si>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</si>
  <si>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</si>
  <si>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</si>
  <si>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</si>
  <si>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</si>
  <si>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</si>
  <si>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</si>
  <si>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</si>
  <si>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</si>
  <si>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</si>
  <si>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</si>
  <si>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</si>
  <si>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</si>
  <si>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</si>
  <si>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</si>
  <si>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</si>
  <si>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</si>
  <si>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</si>
  <si>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</si>
  <si>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</si>
  <si>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</si>
  <si>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</si>
  <si>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</si>
  <si>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</si>
  <si>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</si>
  <si>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</si>
  <si>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</si>
  <si>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</si>
  <si>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</si>
  <si>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</si>
  <si>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</si>
  <si>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</si>
  <si>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</si>
  <si>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</si>
  <si>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</si>
  <si>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</si>
  <si>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</si>
  <si>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</si>
  <si>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</si>
  <si>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</si>
  <si>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</si>
  <si>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</si>
  <si>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</si>
  <si>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</si>
  <si>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</si>
  <si>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</si>
  <si>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</si>
  <si>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</si>
  <si>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</si>
  <si>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</si>
  <si>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</si>
  <si>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</si>
  <si>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</si>
  <si>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</si>
  <si>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</si>
  <si>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</si>
  <si>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</si>
  <si>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</si>
  <si>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</si>
  <si>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</si>
  <si>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</si>
  <si>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</si>
  <si>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</si>
  <si>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</si>
  <si>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</si>
  <si>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</si>
  <si>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</si>
  <si>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</si>
  <si>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</si>
  <si>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</si>
  <si>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</si>
  <si>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王府井大街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</si>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</sst>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4" formatCode="_ &quot;￥&quot;* #,##0.00_ ;_ &quot;￥&quot;* \-#,##0.00_ ;_ &quot;￥&quot;* &quot;-&quot;??_ ;_ @_ "/>
    <numFmt numFmtId="176" formatCode="[DBNum1][$-804]yyyy&quot;年&quot;m&quot;月&quot;d&quot;日&quot;;@"/>
    <numFmt numFmtId="43" formatCode="_ * #,##0.00_ ;_ * \-#,##0.00_ ;_ * &quot;-&quot;??_ ;_ @_ "/>
    <numFmt numFmtId="42" formatCode="_ &quot;￥&quot;* #,##0_ ;_ &quot;￥&quot;* \-#,##0_ ;_ &quot;￥&quot;* &quot;-&quot;_ ;_ @_ "/>
    <numFmt numFmtId="41" formatCode="_ * #,##0_ ;_ * \-#,##0_ ;_ * &quot;-&quot;_ ;_ @_ "/>
    <numFmt numFmtId="177" formatCode="0_ "/>
    <numFmt numFmtId="178" formatCode="0.00_);[Red]\(0.00\)"/>
    <numFmt numFmtId="179" formatCode="0.000%"/>
    <numFmt numFmtId="180" formatCode="0.00_ "/>
    <numFmt numFmtId="181" formatCode="0.000_ "/>
    <numFmt numFmtId="182" formatCode="yyyy&quot;年&quot;m&quot;月&quot;d&quot;日&quot;;@"/>
    <numFmt numFmtId="183" formatCode="0.0%"/>
    <numFmt numFmtId="184" formatCode="0.0_ "/>
    <numFmt numFmtId="185" formatCode="[$-F800]dddd\,\ mmmm\ dd\,\ yyyy"/>
  </numFmts>
  <fonts count="248">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3"/>
      <color theme="3"/>
      <name val="宋体"/>
      <charset val="134"/>
      <scheme val="minor"/>
    </font>
    <font>
      <b/>
      <sz val="15"/>
      <color theme="3"/>
      <name val="宋体"/>
      <charset val="134"/>
      <scheme val="minor"/>
    </font>
    <font>
      <u/>
      <sz val="11"/>
      <color rgb="FF0000FF"/>
      <name val="宋体"/>
      <charset val="0"/>
      <scheme val="minor"/>
    </font>
    <font>
      <b/>
      <sz val="11"/>
      <color rgb="FF3F3F3F"/>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u/>
      <sz val="11"/>
      <color rgb="FF800080"/>
      <name val="宋体"/>
      <charset val="0"/>
      <scheme val="minor"/>
    </font>
    <font>
      <sz val="12"/>
      <color theme="1"/>
      <name val="楷体_GB2312"/>
      <charset val="134"/>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sz val="11"/>
      <color rgb="FFFA7D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9"/>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rgb="FFFFC7CE"/>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theme="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5"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7" fillId="29" borderId="0" applyNumberFormat="0" applyBorder="0" applyAlignment="0" applyProtection="0">
      <alignment vertical="center"/>
    </xf>
    <xf numFmtId="43" fontId="0" fillId="0" borderId="0" applyFont="0" applyFill="0" applyBorder="0" applyAlignment="0" applyProtection="0">
      <alignment vertical="center"/>
    </xf>
    <xf numFmtId="0" fontId="149" fillId="22"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77" applyNumberFormat="0" applyFont="0" applyAlignment="0" applyProtection="0">
      <alignment vertical="center"/>
    </xf>
    <xf numFmtId="176" fontId="2" fillId="0" borderId="0"/>
    <xf numFmtId="9" fontId="98" fillId="0" borderId="0" applyFont="0" applyFill="0" applyBorder="0" applyAlignment="0" applyProtection="0">
      <alignment vertical="center"/>
    </xf>
    <xf numFmtId="0" fontId="149"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5" fillId="0" borderId="0" applyNumberFormat="0" applyFill="0" applyBorder="0" applyAlignment="0" applyProtection="0">
      <alignment vertical="center"/>
    </xf>
    <xf numFmtId="176" fontId="159" fillId="0" borderId="0">
      <alignment vertical="center"/>
    </xf>
    <xf numFmtId="0" fontId="152" fillId="0" borderId="174" applyNumberFormat="0" applyFill="0" applyAlignment="0" applyProtection="0">
      <alignment vertical="center"/>
    </xf>
    <xf numFmtId="0" fontId="151" fillId="0" borderId="174" applyNumberFormat="0" applyFill="0" applyAlignment="0" applyProtection="0">
      <alignment vertical="center"/>
    </xf>
    <xf numFmtId="0" fontId="149" fillId="38" borderId="0" applyNumberFormat="0" applyBorder="0" applyAlignment="0" applyProtection="0">
      <alignment vertical="center"/>
    </xf>
    <xf numFmtId="0" fontId="161" fillId="0" borderId="178" applyNumberFormat="0" applyFill="0" applyAlignment="0" applyProtection="0">
      <alignment vertical="center"/>
    </xf>
    <xf numFmtId="0" fontId="149" fillId="40" borderId="0" applyNumberFormat="0" applyBorder="0" applyAlignment="0" applyProtection="0">
      <alignment vertical="center"/>
    </xf>
    <xf numFmtId="0" fontId="154" fillId="25" borderId="175" applyNumberFormat="0" applyAlignment="0" applyProtection="0">
      <alignment vertical="center"/>
    </xf>
    <xf numFmtId="0" fontId="160" fillId="25" borderId="176" applyNumberFormat="0" applyAlignment="0" applyProtection="0">
      <alignment vertical="center"/>
    </xf>
    <xf numFmtId="0" fontId="167" fillId="43" borderId="180" applyNumberFormat="0" applyAlignment="0" applyProtection="0">
      <alignment vertical="center"/>
    </xf>
    <xf numFmtId="0" fontId="166" fillId="0" borderId="179" applyNumberFormat="0" applyFill="0" applyAlignment="0" applyProtection="0">
      <alignment vertical="center"/>
    </xf>
    <xf numFmtId="176" fontId="159" fillId="0" borderId="0">
      <alignment vertical="center"/>
    </xf>
    <xf numFmtId="0" fontId="150" fillId="39" borderId="0" applyNumberFormat="0" applyBorder="0" applyAlignment="0" applyProtection="0">
      <alignment vertical="center"/>
    </xf>
    <xf numFmtId="0" fontId="149" fillId="44" borderId="0" applyNumberFormat="0" applyBorder="0" applyAlignment="0" applyProtection="0">
      <alignment vertical="center"/>
    </xf>
    <xf numFmtId="0" fontId="168" fillId="0" borderId="181" applyNumberFormat="0" applyFill="0" applyAlignment="0" applyProtection="0">
      <alignment vertical="center"/>
    </xf>
    <xf numFmtId="0" fontId="156" fillId="28" borderId="0" applyNumberFormat="0" applyBorder="0" applyAlignment="0" applyProtection="0">
      <alignment vertical="center"/>
    </xf>
    <xf numFmtId="176" fontId="2" fillId="0" borderId="0">
      <alignment vertical="center"/>
    </xf>
    <xf numFmtId="176" fontId="2" fillId="0" borderId="0">
      <alignment vertical="center"/>
    </xf>
    <xf numFmtId="0" fontId="164" fillId="37" borderId="0" applyNumberFormat="0" applyBorder="0" applyAlignment="0" applyProtection="0">
      <alignment vertical="center"/>
    </xf>
    <xf numFmtId="176" fontId="159" fillId="0" borderId="0">
      <alignment vertical="center"/>
    </xf>
    <xf numFmtId="0" fontId="150" fillId="47" borderId="0" applyNumberFormat="0" applyBorder="0" applyAlignment="0" applyProtection="0">
      <alignment vertical="center"/>
    </xf>
    <xf numFmtId="0" fontId="149" fillId="42" borderId="0" applyNumberFormat="0" applyBorder="0" applyAlignment="0" applyProtection="0">
      <alignment vertical="center"/>
    </xf>
    <xf numFmtId="0" fontId="150" fillId="27" borderId="0" applyNumberFormat="0" applyBorder="0" applyAlignment="0" applyProtection="0">
      <alignment vertical="center"/>
    </xf>
    <xf numFmtId="0" fontId="150" fillId="35" borderId="0" applyNumberFormat="0" applyBorder="0" applyAlignment="0" applyProtection="0">
      <alignment vertical="center"/>
    </xf>
    <xf numFmtId="0" fontId="150" fillId="34" borderId="0" applyNumberFormat="0" applyBorder="0" applyAlignment="0" applyProtection="0">
      <alignment vertical="center"/>
    </xf>
    <xf numFmtId="0" fontId="150" fillId="41" borderId="0" applyNumberFormat="0" applyBorder="0" applyAlignment="0" applyProtection="0">
      <alignment vertical="center"/>
    </xf>
    <xf numFmtId="0" fontId="149" fillId="36" borderId="0" applyNumberFormat="0" applyBorder="0" applyAlignment="0" applyProtection="0">
      <alignment vertical="center"/>
    </xf>
    <xf numFmtId="176" fontId="2" fillId="0" borderId="0">
      <alignment vertical="center"/>
    </xf>
    <xf numFmtId="0" fontId="149" fillId="50" borderId="0" applyNumberFormat="0" applyBorder="0" applyAlignment="0" applyProtection="0">
      <alignment vertical="center"/>
    </xf>
    <xf numFmtId="0" fontId="150" fillId="32" borderId="0" applyNumberFormat="0" applyBorder="0" applyAlignment="0" applyProtection="0">
      <alignment vertical="center"/>
    </xf>
    <xf numFmtId="0" fontId="150" fillId="46" borderId="0" applyNumberFormat="0" applyBorder="0" applyAlignment="0" applyProtection="0">
      <alignment vertical="center"/>
    </xf>
    <xf numFmtId="0" fontId="149" fillId="21" borderId="0" applyNumberFormat="0" applyBorder="0" applyAlignment="0" applyProtection="0">
      <alignment vertical="center"/>
    </xf>
    <xf numFmtId="176" fontId="2" fillId="0" borderId="0">
      <alignment vertical="center"/>
    </xf>
    <xf numFmtId="0" fontId="150" fillId="49" borderId="0" applyNumberFormat="0" applyBorder="0" applyAlignment="0" applyProtection="0">
      <alignment vertical="center"/>
    </xf>
    <xf numFmtId="0" fontId="149" fillId="48" borderId="0" applyNumberFormat="0" applyBorder="0" applyAlignment="0" applyProtection="0">
      <alignment vertical="center"/>
    </xf>
    <xf numFmtId="0" fontId="149" fillId="51" borderId="0" applyNumberFormat="0" applyBorder="0" applyAlignment="0" applyProtection="0">
      <alignment vertical="center"/>
    </xf>
    <xf numFmtId="176" fontId="115" fillId="0" borderId="0">
      <alignment vertical="center"/>
    </xf>
    <xf numFmtId="0" fontId="150" fillId="31" borderId="0" applyNumberFormat="0" applyBorder="0" applyAlignment="0" applyProtection="0">
      <alignment vertical="center"/>
    </xf>
    <xf numFmtId="0" fontId="149" fillId="45" borderId="0" applyNumberFormat="0" applyBorder="0" applyAlignment="0" applyProtection="0">
      <alignment vertical="center"/>
    </xf>
    <xf numFmtId="176" fontId="2" fillId="0" borderId="0">
      <alignment vertical="center"/>
    </xf>
    <xf numFmtId="176" fontId="2" fillId="0" borderId="0">
      <alignment vertical="center"/>
    </xf>
    <xf numFmtId="176" fontId="2" fillId="0" borderId="0"/>
    <xf numFmtId="176" fontId="98" fillId="0" borderId="0"/>
    <xf numFmtId="176" fontId="2" fillId="0" borderId="0">
      <alignment vertical="center"/>
    </xf>
    <xf numFmtId="176" fontId="2" fillId="0" borderId="0">
      <alignment vertical="center"/>
    </xf>
    <xf numFmtId="176" fontId="159" fillId="0" borderId="0">
      <alignment vertical="center"/>
    </xf>
    <xf numFmtId="176" fontId="115"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61" applyNumberFormat="1" applyFont="1" applyFill="1"/>
    <xf numFmtId="0" fontId="7" fillId="0" borderId="0" xfId="61" applyNumberFormat="1" applyFont="1"/>
    <xf numFmtId="0" fontId="0" fillId="0" borderId="0" xfId="0" applyNumberFormat="1" applyAlignment="1"/>
    <xf numFmtId="0" fontId="8" fillId="2" borderId="3" xfId="61" applyNumberFormat="1" applyFont="1" applyFill="1" applyBorder="1"/>
    <xf numFmtId="0" fontId="9" fillId="2" borderId="4" xfId="61" applyNumberFormat="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NumberFormat="1" applyFont="1" applyFill="1" applyBorder="1" applyAlignment="1" applyProtection="1">
      <alignment horizontal="center"/>
    </xf>
    <xf numFmtId="0" fontId="8" fillId="2" borderId="4" xfId="61" applyNumberFormat="1" applyFont="1" applyFill="1" applyBorder="1" applyAlignment="1">
      <alignment horizontal="center"/>
    </xf>
    <xf numFmtId="0" fontId="10" fillId="2" borderId="0" xfId="0" applyNumberFormat="1" applyFont="1" applyFill="1" applyAlignment="1"/>
    <xf numFmtId="0" fontId="11" fillId="2" borderId="0" xfId="61" applyNumberFormat="1" applyFont="1" applyFill="1"/>
    <xf numFmtId="0" fontId="7" fillId="2" borderId="5" xfId="61" applyNumberFormat="1" applyFont="1" applyFill="1" applyBorder="1"/>
    <xf numFmtId="0" fontId="12" fillId="2" borderId="6" xfId="61" applyNumberFormat="1" applyFont="1" applyFill="1" applyBorder="1" applyAlignment="1">
      <alignment horizontal="center" vertical="center" wrapText="1"/>
    </xf>
    <xf numFmtId="0" fontId="7" fillId="2" borderId="7" xfId="61" applyNumberFormat="1" applyFont="1" applyFill="1" applyBorder="1" applyAlignment="1">
      <alignment horizontal="center"/>
    </xf>
    <xf numFmtId="0" fontId="12" fillId="2" borderId="5" xfId="61" applyNumberFormat="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NumberFormat="1" applyFont="1" applyFill="1" applyBorder="1"/>
    <xf numFmtId="0" fontId="12" fillId="2" borderId="2" xfId="61" applyNumberFormat="1" applyFont="1" applyFill="1" applyBorder="1" applyAlignment="1">
      <alignment horizontal="center" vertical="center" wrapText="1"/>
    </xf>
    <xf numFmtId="0" fontId="7" fillId="2" borderId="9" xfId="61" applyNumberFormat="1" applyFont="1" applyFill="1" applyBorder="1" applyAlignment="1">
      <alignment horizontal="center"/>
    </xf>
    <xf numFmtId="0" fontId="12" fillId="2" borderId="8" xfId="61" applyNumberFormat="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NumberFormat="1" applyFont="1" applyFill="1" applyBorder="1"/>
    <xf numFmtId="0" fontId="12" fillId="2" borderId="11" xfId="61" applyNumberFormat="1" applyFont="1" applyFill="1" applyBorder="1" applyAlignment="1">
      <alignment horizontal="center" vertical="center" wrapText="1"/>
    </xf>
    <xf numFmtId="0" fontId="7" fillId="2" borderId="12" xfId="61" applyNumberFormat="1" applyFont="1" applyFill="1" applyBorder="1" applyAlignment="1">
      <alignment horizontal="center"/>
    </xf>
    <xf numFmtId="0" fontId="12" fillId="2" borderId="10" xfId="61" applyNumberFormat="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NumberFormat="1" applyFont="1" applyFill="1" applyAlignment="1">
      <alignment horizontal="right"/>
    </xf>
    <xf numFmtId="0" fontId="13" fillId="2" borderId="0" xfId="61" applyNumberFormat="1" applyFont="1" applyFill="1" applyAlignment="1">
      <alignment horizontal="center"/>
    </xf>
    <xf numFmtId="0" fontId="14" fillId="2" borderId="0" xfId="61" applyNumberFormat="1" applyFont="1" applyFill="1" applyAlignment="1">
      <alignment horizontal="left"/>
    </xf>
    <xf numFmtId="0" fontId="13" fillId="2" borderId="0" xfId="61" applyNumberFormat="1" applyFont="1" applyFill="1"/>
    <xf numFmtId="0" fontId="15" fillId="2" borderId="0" xfId="61" applyNumberFormat="1" applyFont="1" applyFill="1"/>
    <xf numFmtId="0" fontId="16" fillId="2" borderId="0" xfId="61" applyNumberFormat="1" applyFont="1" applyFill="1"/>
    <xf numFmtId="0" fontId="12" fillId="2" borderId="0" xfId="61" applyNumberFormat="1" applyFont="1" applyFill="1" applyAlignment="1"/>
    <xf numFmtId="0" fontId="9" fillId="2" borderId="13" xfId="61" applyNumberFormat="1" applyFont="1" applyFill="1" applyBorder="1" applyAlignment="1">
      <alignment horizontal="center" vertical="center"/>
    </xf>
    <xf numFmtId="0" fontId="9" fillId="2" borderId="13" xfId="61" applyNumberFormat="1" applyFont="1" applyFill="1" applyBorder="1" applyAlignment="1">
      <alignment vertical="center"/>
    </xf>
    <xf numFmtId="0" fontId="9" fillId="2" borderId="14" xfId="61" applyNumberFormat="1" applyFont="1" applyFill="1" applyBorder="1" applyAlignment="1">
      <alignment vertical="center"/>
    </xf>
    <xf numFmtId="0" fontId="9" fillId="2" borderId="15" xfId="61" applyNumberFormat="1" applyFont="1" applyFill="1" applyBorder="1" applyAlignment="1">
      <alignment vertical="center"/>
    </xf>
    <xf numFmtId="0" fontId="9" fillId="2" borderId="16" xfId="61" applyNumberFormat="1" applyFont="1" applyFill="1" applyBorder="1" applyAlignment="1">
      <alignment vertical="center"/>
    </xf>
    <xf numFmtId="0" fontId="12" fillId="2" borderId="0" xfId="61" applyNumberFormat="1" applyFont="1" applyFill="1"/>
    <xf numFmtId="0" fontId="9" fillId="2" borderId="17" xfId="61" applyNumberFormat="1" applyFont="1" applyFill="1" applyBorder="1" applyAlignment="1">
      <alignment horizontal="center" vertical="center" wrapText="1"/>
    </xf>
    <xf numFmtId="0" fontId="9" fillId="2" borderId="17" xfId="61" applyNumberFormat="1" applyFont="1" applyFill="1" applyBorder="1" applyAlignment="1">
      <alignment vertical="center" wrapText="1"/>
    </xf>
    <xf numFmtId="0" fontId="7" fillId="2" borderId="2" xfId="61" applyNumberFormat="1" applyFont="1" applyFill="1" applyBorder="1"/>
    <xf numFmtId="0" fontId="17" fillId="2" borderId="0" xfId="61" applyNumberFormat="1" applyFont="1" applyFill="1" applyAlignment="1">
      <alignment vertical="center"/>
    </xf>
    <xf numFmtId="0" fontId="17" fillId="2" borderId="2" xfId="61" applyNumberFormat="1" applyFont="1" applyFill="1" applyBorder="1" applyAlignment="1">
      <alignment horizontal="left" vertical="center" wrapText="1"/>
    </xf>
    <xf numFmtId="14" fontId="17" fillId="2" borderId="2" xfId="61" applyNumberFormat="1" applyFont="1" applyFill="1" applyBorder="1" applyAlignment="1">
      <alignment horizontal="center" vertical="center" wrapText="1"/>
    </xf>
    <xf numFmtId="0" fontId="17" fillId="2" borderId="2" xfId="61" applyNumberFormat="1" applyFont="1" applyFill="1" applyBorder="1" applyAlignment="1">
      <alignment horizontal="center" vertical="center" wrapText="1"/>
    </xf>
    <xf numFmtId="0" fontId="7" fillId="2" borderId="2" xfId="61" applyNumberFormat="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NumberFormat="1" applyFont="1" applyFill="1" applyBorder="1" applyAlignment="1">
      <alignment horizontal="center" wrapText="1"/>
    </xf>
    <xf numFmtId="0" fontId="19" fillId="2" borderId="0" xfId="61" applyNumberFormat="1" applyFont="1" applyFill="1" applyAlignment="1">
      <alignment vertical="center"/>
    </xf>
    <xf numFmtId="0" fontId="19" fillId="2" borderId="2" xfId="61" applyNumberFormat="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NumberFormat="1" applyFont="1" applyFill="1" applyBorder="1" applyAlignment="1">
      <alignment horizontal="center" wrapText="1"/>
    </xf>
    <xf numFmtId="10" fontId="8" fillId="2" borderId="4" xfId="61" applyNumberFormat="1" applyFont="1" applyFill="1" applyBorder="1" applyAlignment="1">
      <alignment horizontal="center"/>
    </xf>
    <xf numFmtId="0" fontId="9" fillId="2" borderId="3" xfId="61" applyNumberFormat="1" applyFont="1" applyFill="1" applyBorder="1" applyAlignment="1">
      <alignment horizontal="center"/>
    </xf>
    <xf numFmtId="0" fontId="9" fillId="2" borderId="2" xfId="61" applyNumberFormat="1" applyFont="1" applyFill="1" applyBorder="1" applyAlignment="1">
      <alignment horizontal="center" vertical="center" wrapText="1"/>
    </xf>
    <xf numFmtId="0" fontId="20" fillId="2" borderId="2" xfId="61" applyNumberFormat="1" applyFont="1" applyFill="1" applyBorder="1" applyAlignment="1">
      <alignment horizontal="center"/>
    </xf>
    <xf numFmtId="0" fontId="8" fillId="0" borderId="3" xfId="61" applyNumberFormat="1" applyFont="1" applyBorder="1"/>
    <xf numFmtId="0" fontId="13" fillId="0" borderId="0" xfId="61" applyNumberFormat="1" applyFont="1"/>
    <xf numFmtId="0" fontId="15" fillId="0" borderId="0" xfId="61" applyNumberFormat="1" applyFont="1"/>
    <xf numFmtId="0" fontId="12" fillId="0" borderId="0" xfId="61" applyNumberFormat="1" applyFont="1" applyAlignment="1"/>
    <xf numFmtId="0" fontId="12" fillId="0" borderId="0" xfId="61" applyNumberFormat="1" applyFont="1"/>
    <xf numFmtId="0" fontId="17" fillId="3" borderId="0" xfId="61"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2" fillId="2" borderId="0" xfId="0" applyFont="1" applyFill="1" applyAlignment="1" applyProtection="1">
      <alignment horizontal="left" vertical="center"/>
    </xf>
    <xf numFmtId="176" fontId="23" fillId="2" borderId="18" xfId="0" applyFont="1" applyFill="1" applyBorder="1" applyAlignment="1" applyProtection="1">
      <alignment horizontal="left" vertical="center"/>
    </xf>
    <xf numFmtId="176" fontId="23" fillId="2" borderId="19" xfId="0" applyFont="1" applyFill="1" applyBorder="1" applyAlignment="1" applyProtection="1">
      <alignment horizontal="left" vertical="center" wrapText="1"/>
    </xf>
    <xf numFmtId="176" fontId="23" fillId="2" borderId="13" xfId="0" applyFont="1" applyFill="1" applyBorder="1" applyAlignment="1" applyProtection="1">
      <alignment horizontal="left" vertical="center"/>
    </xf>
    <xf numFmtId="176" fontId="24" fillId="2" borderId="5" xfId="0" applyFont="1" applyFill="1" applyBorder="1" applyAlignment="1" applyProtection="1">
      <alignment horizontal="left" vertical="center" wrapText="1"/>
    </xf>
    <xf numFmtId="176"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6" fontId="24" fillId="2" borderId="8" xfId="0" applyFont="1" applyFill="1" applyBorder="1" applyAlignment="1" applyProtection="1">
      <alignment horizontal="left" vertical="center" wrapText="1"/>
    </xf>
    <xf numFmtId="176"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6" fontId="24" fillId="2" borderId="20" xfId="0" applyFont="1" applyFill="1" applyBorder="1" applyAlignment="1" applyProtection="1">
      <alignment horizontal="left" vertical="center" wrapText="1"/>
    </xf>
    <xf numFmtId="176"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6" fontId="27" fillId="2" borderId="2" xfId="0" applyFont="1" applyFill="1" applyBorder="1" applyAlignment="1">
      <alignment horizontal="left" vertical="center" wrapText="1"/>
    </xf>
    <xf numFmtId="176" fontId="27" fillId="2" borderId="13" xfId="0" applyFont="1" applyFill="1" applyBorder="1" applyAlignment="1">
      <alignment horizontal="left" vertical="center" wrapText="1"/>
    </xf>
    <xf numFmtId="176" fontId="25" fillId="2" borderId="5" xfId="0" applyFont="1" applyFill="1" applyBorder="1" applyAlignment="1" applyProtection="1">
      <alignment horizontal="left" vertical="center" wrapText="1"/>
    </xf>
    <xf numFmtId="176"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6" fontId="25" fillId="2" borderId="2" xfId="59" applyFont="1" applyFill="1" applyBorder="1" applyAlignment="1" applyProtection="1">
      <alignment horizontal="left" vertical="center" wrapText="1"/>
    </xf>
    <xf numFmtId="176" fontId="25" fillId="2" borderId="10" xfId="0" applyFont="1" applyFill="1" applyBorder="1" applyAlignment="1" applyProtection="1">
      <alignment horizontal="left" vertical="center" wrapText="1"/>
    </xf>
    <xf numFmtId="176"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31" fillId="2" borderId="5" xfId="0" applyNumberFormat="1" applyFont="1" applyFill="1" applyBorder="1" applyAlignment="1" applyProtection="1">
      <alignment horizontal="left" vertical="center" wrapText="1"/>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59"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21" applyNumberFormat="1" applyFont="1" applyAlignment="1" applyProtection="1">
      <alignment horizontal="left" vertical="center"/>
    </xf>
    <xf numFmtId="0" fontId="33" fillId="0" borderId="35" xfId="21" applyNumberFormat="1" applyFont="1" applyBorder="1" applyAlignment="1" applyProtection="1">
      <alignment horizontal="left" vertical="center"/>
    </xf>
    <xf numFmtId="0" fontId="34" fillId="4"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6" fillId="5" borderId="0" xfId="21" applyNumberFormat="1" applyFont="1" applyFill="1" applyAlignment="1" applyProtection="1">
      <alignment horizontal="left" vertical="center"/>
    </xf>
    <xf numFmtId="0" fontId="35" fillId="6" borderId="0" xfId="21" applyNumberFormat="1" applyFont="1" applyFill="1" applyAlignment="1" applyProtection="1">
      <alignment horizontal="left" vertical="center"/>
    </xf>
    <xf numFmtId="0" fontId="35" fillId="7" borderId="36" xfId="21" applyNumberFormat="1" applyFont="1" applyFill="1" applyBorder="1" applyAlignment="1" applyProtection="1">
      <alignment horizontal="left" vertical="center"/>
    </xf>
    <xf numFmtId="0" fontId="0" fillId="0" borderId="0" xfId="0" applyNumberFormat="1">
      <alignment vertical="center"/>
    </xf>
    <xf numFmtId="14" fontId="33" fillId="0" borderId="0" xfId="21" applyNumberFormat="1" applyFont="1" applyAlignment="1" applyProtection="1">
      <alignment horizontal="left" vertical="center"/>
    </xf>
    <xf numFmtId="0" fontId="37"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2" borderId="37" xfId="21" applyNumberFormat="1" applyFont="1" applyFill="1" applyBorder="1" applyAlignment="1" applyProtection="1">
      <alignment horizontal="left" vertical="center"/>
    </xf>
    <xf numFmtId="0" fontId="33" fillId="2" borderId="35" xfId="21"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2" borderId="35" xfId="37" applyNumberFormat="1" applyFont="1" applyFill="1" applyBorder="1" applyAlignment="1" applyProtection="1">
      <alignment horizontal="left" vertical="center"/>
    </xf>
    <xf numFmtId="0" fontId="40" fillId="4" borderId="0" xfId="21" applyNumberFormat="1" applyFont="1" applyFill="1" applyAlignment="1" applyProtection="1">
      <alignment horizontal="left" vertical="center"/>
    </xf>
    <xf numFmtId="0" fontId="34" fillId="4" borderId="38"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33" fillId="0" borderId="38"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41" fillId="2" borderId="2" xfId="21" applyNumberFormat="1" applyFont="1" applyFill="1" applyBorder="1" applyAlignment="1" applyProtection="1">
      <alignment horizontal="left" vertical="center" wrapText="1"/>
    </xf>
    <xf numFmtId="0" fontId="42" fillId="8" borderId="39" xfId="21" applyNumberFormat="1" applyFont="1" applyFill="1" applyBorder="1" applyAlignment="1" applyProtection="1">
      <alignment horizontal="left" vertical="center" wrapText="1"/>
    </xf>
    <xf numFmtId="0" fontId="42" fillId="9" borderId="40" xfId="21" applyNumberFormat="1" applyFont="1" applyFill="1" applyBorder="1" applyAlignment="1" applyProtection="1">
      <alignment horizontal="left" vertical="center" wrapText="1"/>
    </xf>
    <xf numFmtId="0" fontId="42" fillId="9" borderId="40" xfId="39" applyNumberFormat="1" applyFont="1" applyFill="1" applyBorder="1" applyAlignment="1" applyProtection="1">
      <alignment horizontal="left" vertical="center" wrapText="1"/>
    </xf>
    <xf numFmtId="0" fontId="43" fillId="6" borderId="2" xfId="21" applyNumberFormat="1" applyFont="1" applyFill="1" applyBorder="1" applyAlignment="1" applyProtection="1">
      <alignment horizontal="left" vertical="center" wrapText="1"/>
    </xf>
    <xf numFmtId="0" fontId="44" fillId="6" borderId="39" xfId="21" applyNumberFormat="1" applyFont="1" applyFill="1" applyBorder="1" applyAlignment="1" applyProtection="1">
      <alignment horizontal="left" vertical="center" wrapText="1"/>
    </xf>
    <xf numFmtId="0" fontId="44" fillId="6" borderId="40" xfId="21" applyNumberFormat="1" applyFont="1" applyFill="1" applyBorder="1" applyAlignment="1" applyProtection="1">
      <alignment horizontal="left" vertical="center" wrapText="1"/>
    </xf>
    <xf numFmtId="0" fontId="44" fillId="6" borderId="40" xfId="39" applyNumberFormat="1" applyFont="1" applyFill="1" applyBorder="1" applyAlignment="1" applyProtection="1">
      <alignment horizontal="left" vertical="center" wrapText="1"/>
    </xf>
    <xf numFmtId="0" fontId="44" fillId="6" borderId="41" xfId="39" applyNumberFormat="1" applyFont="1" applyFill="1" applyBorder="1" applyAlignment="1" applyProtection="1">
      <alignment horizontal="left" vertical="center" wrapText="1"/>
    </xf>
    <xf numFmtId="0" fontId="42" fillId="9" borderId="41" xfId="39" applyNumberFormat="1" applyFont="1" applyFill="1" applyBorder="1" applyAlignment="1" applyProtection="1">
      <alignment horizontal="left" vertical="center" wrapText="1"/>
    </xf>
    <xf numFmtId="0" fontId="41" fillId="7" borderId="42" xfId="21" applyNumberFormat="1" applyFont="1" applyFill="1" applyBorder="1" applyAlignment="1" applyProtection="1">
      <alignment horizontal="left" vertical="center" wrapText="1"/>
    </xf>
    <xf numFmtId="0" fontId="42" fillId="7" borderId="43" xfId="21" applyNumberFormat="1" applyFont="1" applyFill="1" applyBorder="1" applyAlignment="1" applyProtection="1">
      <alignment horizontal="left" vertical="center" wrapText="1"/>
    </xf>
    <xf numFmtId="0" fontId="42" fillId="7" borderId="44" xfId="21" applyNumberFormat="1" applyFont="1" applyFill="1" applyBorder="1" applyAlignment="1" applyProtection="1">
      <alignment horizontal="left" vertical="center" wrapText="1"/>
    </xf>
    <xf numFmtId="0" fontId="42" fillId="7" borderId="44" xfId="39" applyNumberFormat="1" applyFont="1" applyFill="1" applyBorder="1" applyAlignment="1" applyProtection="1">
      <alignment horizontal="left" vertical="center" wrapText="1"/>
    </xf>
    <xf numFmtId="0" fontId="42" fillId="7" borderId="45" xfId="39"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21" applyNumberFormat="1" applyFont="1" applyFill="1" applyAlignment="1" applyProtection="1">
      <alignment horizontal="left" vertical="center"/>
    </xf>
    <xf numFmtId="0" fontId="33" fillId="10" borderId="35" xfId="21" applyNumberFormat="1" applyFont="1" applyFill="1" applyBorder="1" applyAlignment="1" applyProtection="1">
      <alignment horizontal="left" vertical="center"/>
    </xf>
    <xf numFmtId="0" fontId="34" fillId="10" borderId="0" xfId="21" applyNumberFormat="1" applyFont="1" applyFill="1" applyAlignment="1" applyProtection="1">
      <alignment horizontal="left" vertical="center"/>
    </xf>
    <xf numFmtId="10" fontId="34" fillId="4" borderId="38"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3" fillId="0" borderId="38"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42" fillId="9" borderId="46" xfId="39" applyNumberFormat="1" applyFont="1" applyFill="1" applyBorder="1" applyAlignment="1" applyProtection="1">
      <alignment horizontal="left" vertical="center" wrapText="1"/>
    </xf>
    <xf numFmtId="0" fontId="28" fillId="10" borderId="0" xfId="21" applyNumberFormat="1" applyFont="1" applyFill="1" applyAlignment="1" applyProtection="1">
      <alignment horizontal="left" vertical="center"/>
    </xf>
    <xf numFmtId="10" fontId="28" fillId="0" borderId="38" xfId="21" applyNumberFormat="1" applyFont="1" applyBorder="1" applyAlignment="1" applyProtection="1">
      <alignment horizontal="left" vertical="center"/>
    </xf>
    <xf numFmtId="10" fontId="28" fillId="0" borderId="0" xfId="21" applyNumberFormat="1" applyFont="1" applyAlignment="1" applyProtection="1">
      <alignment horizontal="left" vertical="center"/>
    </xf>
    <xf numFmtId="0" fontId="44" fillId="6" borderId="46" xfId="39" applyNumberFormat="1" applyFont="1" applyFill="1" applyBorder="1" applyAlignment="1" applyProtection="1">
      <alignment horizontal="left" vertical="center" wrapText="1"/>
    </xf>
    <xf numFmtId="0" fontId="33" fillId="6" borderId="0" xfId="21" applyNumberFormat="1" applyFont="1" applyFill="1" applyAlignment="1" applyProtection="1">
      <alignment horizontal="left" vertical="center"/>
    </xf>
    <xf numFmtId="10" fontId="33" fillId="6" borderId="38" xfId="21" applyNumberFormat="1" applyFont="1" applyFill="1" applyBorder="1" applyAlignment="1" applyProtection="1">
      <alignment horizontal="left" vertical="center"/>
    </xf>
    <xf numFmtId="10" fontId="33" fillId="6" borderId="0" xfId="21" applyNumberFormat="1" applyFont="1" applyFill="1" applyAlignment="1" applyProtection="1">
      <alignment horizontal="left" vertical="center"/>
    </xf>
    <xf numFmtId="0" fontId="42" fillId="7" borderId="47" xfId="39" applyNumberFormat="1" applyFont="1" applyFill="1" applyBorder="1" applyAlignment="1" applyProtection="1">
      <alignment horizontal="left" vertical="center" wrapText="1"/>
    </xf>
    <xf numFmtId="0" fontId="28" fillId="10" borderId="36" xfId="21" applyNumberFormat="1" applyFont="1" applyFill="1" applyBorder="1" applyAlignment="1" applyProtection="1">
      <alignment horizontal="left" vertical="center"/>
    </xf>
    <xf numFmtId="10" fontId="28" fillId="7" borderId="48" xfId="21" applyNumberFormat="1" applyFont="1" applyFill="1" applyBorder="1" applyAlignment="1" applyProtection="1">
      <alignment horizontal="left" vertical="center"/>
    </xf>
    <xf numFmtId="10" fontId="28" fillId="7" borderId="36" xfId="21" applyNumberFormat="1" applyFont="1" applyFill="1" applyBorder="1" applyAlignment="1" applyProtection="1">
      <alignment horizontal="left" vertical="center"/>
    </xf>
    <xf numFmtId="0" fontId="9" fillId="0" borderId="0" xfId="21" applyNumberFormat="1" applyFont="1" applyAlignment="1" applyProtection="1">
      <alignment horizontal="left" vertical="center"/>
    </xf>
    <xf numFmtId="0" fontId="45" fillId="4" borderId="0" xfId="21" applyNumberFormat="1" applyFont="1" applyFill="1" applyAlignment="1" applyProtection="1">
      <alignment horizontal="left" vertical="center"/>
    </xf>
    <xf numFmtId="0" fontId="45" fillId="4" borderId="49" xfId="21" applyNumberFormat="1" applyFont="1" applyFill="1" applyBorder="1" applyAlignment="1" applyProtection="1">
      <alignment horizontal="left" vertical="center"/>
    </xf>
    <xf numFmtId="0" fontId="28" fillId="0" borderId="0" xfId="21" applyNumberFormat="1" applyFont="1" applyAlignment="1" applyProtection="1">
      <alignment horizontal="left" vertical="center"/>
    </xf>
    <xf numFmtId="0" fontId="28" fillId="0" borderId="49" xfId="21" applyNumberFormat="1" applyFont="1" applyBorder="1" applyAlignment="1" applyProtection="1">
      <alignment horizontal="left" vertical="center"/>
    </xf>
    <xf numFmtId="0" fontId="28" fillId="0" borderId="50" xfId="21" applyNumberFormat="1" applyFont="1" applyBorder="1" applyAlignment="1" applyProtection="1">
      <alignment horizontal="left" vertical="center"/>
    </xf>
    <xf numFmtId="0" fontId="28" fillId="0" borderId="51" xfId="21" applyNumberFormat="1" applyFont="1" applyBorder="1" applyAlignment="1" applyProtection="1">
      <alignment horizontal="left" vertical="center"/>
    </xf>
    <xf numFmtId="0" fontId="28" fillId="0" borderId="0" xfId="21" applyNumberFormat="1" applyFont="1" applyFill="1" applyAlignment="1" applyProtection="1">
      <alignment horizontal="left" vertical="center"/>
    </xf>
    <xf numFmtId="0" fontId="28" fillId="7" borderId="36" xfId="21" applyNumberFormat="1" applyFont="1" applyFill="1" applyBorder="1" applyAlignment="1" applyProtection="1">
      <alignment horizontal="left" vertical="center"/>
    </xf>
    <xf numFmtId="10" fontId="45" fillId="4" borderId="0" xfId="21" applyNumberFormat="1" applyFont="1" applyFill="1" applyAlignment="1" applyProtection="1">
      <alignment horizontal="left" vertical="center"/>
    </xf>
    <xf numFmtId="10" fontId="45" fillId="4" borderId="49" xfId="21" applyNumberFormat="1" applyFont="1" applyFill="1" applyBorder="1" applyAlignment="1" applyProtection="1">
      <alignment horizontal="left" vertical="center"/>
    </xf>
    <xf numFmtId="10" fontId="45" fillId="4" borderId="50" xfId="21" applyNumberFormat="1" applyFont="1" applyFill="1" applyBorder="1" applyAlignment="1" applyProtection="1">
      <alignment horizontal="left" vertical="center"/>
    </xf>
    <xf numFmtId="10" fontId="45" fillId="4" borderId="51" xfId="21" applyNumberFormat="1" applyFont="1" applyFill="1" applyBorder="1" applyAlignment="1" applyProtection="1">
      <alignment horizontal="left" vertical="center"/>
    </xf>
    <xf numFmtId="10" fontId="28" fillId="0" borderId="49" xfId="21" applyNumberFormat="1" applyFont="1" applyBorder="1" applyAlignment="1" applyProtection="1">
      <alignment horizontal="left" vertical="center"/>
    </xf>
    <xf numFmtId="10" fontId="28" fillId="0" borderId="50" xfId="21" applyNumberFormat="1" applyFont="1" applyBorder="1" applyAlignment="1" applyProtection="1">
      <alignment horizontal="left" vertical="center"/>
    </xf>
    <xf numFmtId="10" fontId="28" fillId="0" borderId="51" xfId="21" applyNumberFormat="1" applyFont="1" applyBorder="1" applyAlignment="1" applyProtection="1">
      <alignment horizontal="left" vertical="center"/>
    </xf>
    <xf numFmtId="10" fontId="28" fillId="0" borderId="0" xfId="21" applyNumberFormat="1" applyFont="1" applyFill="1" applyAlignment="1" applyProtection="1">
      <alignment horizontal="left" vertical="center"/>
    </xf>
    <xf numFmtId="10" fontId="28" fillId="0" borderId="49" xfId="21" applyNumberFormat="1" applyFont="1" applyFill="1" applyBorder="1" applyAlignment="1" applyProtection="1">
      <alignment horizontal="left" vertical="center"/>
    </xf>
    <xf numFmtId="10" fontId="28" fillId="0" borderId="51" xfId="21" applyNumberFormat="1" applyFont="1" applyFill="1" applyBorder="1" applyAlignment="1" applyProtection="1">
      <alignment horizontal="left" vertical="center"/>
    </xf>
    <xf numFmtId="10" fontId="28" fillId="0" borderId="50" xfId="21" applyNumberFormat="1" applyFont="1" applyFill="1" applyBorder="1" applyAlignment="1" applyProtection="1">
      <alignment horizontal="left" vertical="center"/>
    </xf>
    <xf numFmtId="10" fontId="33" fillId="6" borderId="49" xfId="21" applyNumberFormat="1" applyFont="1" applyFill="1" applyBorder="1" applyAlignment="1" applyProtection="1">
      <alignment horizontal="left" vertical="center"/>
    </xf>
    <xf numFmtId="10" fontId="33" fillId="6" borderId="50" xfId="21" applyNumberFormat="1" applyFont="1" applyFill="1" applyBorder="1" applyAlignment="1" applyProtection="1">
      <alignment horizontal="left" vertical="center"/>
    </xf>
    <xf numFmtId="10" fontId="33" fillId="6" borderId="51" xfId="21" applyNumberFormat="1" applyFont="1" applyFill="1" applyBorder="1" applyAlignment="1" applyProtection="1">
      <alignment horizontal="left" vertical="center"/>
    </xf>
    <xf numFmtId="10" fontId="28" fillId="7" borderId="52" xfId="21" applyNumberFormat="1" applyFont="1" applyFill="1" applyBorder="1" applyAlignment="1" applyProtection="1">
      <alignment horizontal="left" vertical="center"/>
    </xf>
    <xf numFmtId="10" fontId="28" fillId="7" borderId="53" xfId="21" applyNumberFormat="1" applyFont="1" applyFill="1" applyBorder="1" applyAlignment="1" applyProtection="1">
      <alignment horizontal="left" vertical="center"/>
    </xf>
    <xf numFmtId="10" fontId="28" fillId="7" borderId="54" xfId="21"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60" applyNumberFormat="1" applyFont="1" applyFill="1" applyBorder="1" applyAlignment="1" applyProtection="1">
      <alignment vertical="center"/>
    </xf>
    <xf numFmtId="0" fontId="47" fillId="2" borderId="56" xfId="60" applyNumberFormat="1" applyFont="1" applyFill="1" applyBorder="1" applyAlignment="1" applyProtection="1">
      <alignment vertical="center"/>
    </xf>
    <xf numFmtId="0" fontId="47"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vertical="center"/>
    </xf>
    <xf numFmtId="0" fontId="47" fillId="2" borderId="2" xfId="60" applyNumberFormat="1" applyFont="1" applyFill="1" applyBorder="1" applyAlignment="1" applyProtection="1">
      <alignment vertical="center"/>
    </xf>
    <xf numFmtId="0" fontId="47" fillId="2" borderId="2" xfId="60" applyNumberFormat="1" applyFont="1" applyFill="1" applyBorder="1" applyAlignment="1" applyProtection="1">
      <alignment horizontal="right" vertical="center"/>
    </xf>
    <xf numFmtId="0" fontId="49" fillId="2" borderId="0" xfId="60" applyNumberFormat="1" applyFont="1" applyFill="1" applyBorder="1" applyAlignment="1" applyProtection="1">
      <alignment vertical="center"/>
    </xf>
    <xf numFmtId="0" fontId="47" fillId="2" borderId="13" xfId="60" applyNumberFormat="1" applyFont="1" applyFill="1" applyBorder="1" applyAlignment="1" applyProtection="1">
      <alignment vertical="center"/>
    </xf>
    <xf numFmtId="0" fontId="47" fillId="2" borderId="13" xfId="60" applyNumberFormat="1" applyFont="1" applyFill="1" applyBorder="1" applyAlignment="1" applyProtection="1">
      <alignment horizontal="right" vertical="center"/>
    </xf>
    <xf numFmtId="0" fontId="47" fillId="2" borderId="55" xfId="60" applyNumberFormat="1" applyFont="1" applyFill="1" applyBorder="1" applyAlignment="1" applyProtection="1"/>
    <xf numFmtId="0" fontId="47" fillId="2" borderId="56" xfId="60" applyNumberFormat="1" applyFont="1" applyFill="1" applyBorder="1" applyAlignment="1" applyProtection="1"/>
    <xf numFmtId="0" fontId="47" fillId="2" borderId="57" xfId="60" applyNumberFormat="1" applyFont="1" applyFill="1" applyBorder="1" applyAlignment="1" applyProtection="1"/>
    <xf numFmtId="0" fontId="43" fillId="2" borderId="8" xfId="60" applyNumberFormat="1" applyFont="1" applyFill="1" applyBorder="1" applyAlignment="1" applyProtection="1">
      <alignment horizontal="left"/>
    </xf>
    <xf numFmtId="0" fontId="43" fillId="2" borderId="14" xfId="60" applyNumberFormat="1" applyFont="1" applyFill="1" applyBorder="1" applyAlignment="1" applyProtection="1"/>
    <xf numFmtId="0" fontId="43" fillId="2" borderId="2" xfId="60" applyNumberFormat="1" applyFont="1" applyFill="1" applyBorder="1" applyAlignment="1" applyProtection="1">
      <alignment horizontal="center"/>
    </xf>
    <xf numFmtId="0" fontId="43" fillId="2" borderId="9" xfId="60" applyNumberFormat="1" applyFont="1" applyFill="1" applyBorder="1" applyAlignment="1" applyProtection="1">
      <alignment horizontal="left"/>
    </xf>
    <xf numFmtId="0" fontId="41" fillId="2" borderId="8" xfId="60" applyNumberFormat="1" applyFont="1" applyFill="1" applyBorder="1" applyAlignment="1" applyProtection="1">
      <alignment horizontal="center"/>
    </xf>
    <xf numFmtId="0" fontId="41" fillId="2" borderId="14" xfId="60" applyNumberFormat="1" applyFont="1" applyFill="1" applyBorder="1" applyAlignment="1" applyProtection="1"/>
    <xf numFmtId="0" fontId="41" fillId="0" borderId="2" xfId="60" applyNumberFormat="1" applyFont="1" applyFill="1" applyBorder="1" applyAlignment="1" applyProtection="1">
      <alignment horizontal="center"/>
      <protection locked="0"/>
    </xf>
    <xf numFmtId="0" fontId="41" fillId="2" borderId="2" xfId="60" applyNumberFormat="1" applyFont="1" applyFill="1" applyBorder="1" applyAlignment="1" applyProtection="1">
      <alignment horizontal="center"/>
    </xf>
    <xf numFmtId="0" fontId="41" fillId="2" borderId="9" xfId="60" applyNumberFormat="1" applyFont="1" applyFill="1" applyBorder="1" applyAlignment="1" applyProtection="1">
      <alignment horizontal="left"/>
    </xf>
    <xf numFmtId="0" fontId="41" fillId="2" borderId="2" xfId="60" applyNumberFormat="1" applyFont="1" applyFill="1" applyBorder="1" applyAlignment="1" applyProtection="1"/>
    <xf numFmtId="0" fontId="50" fillId="3" borderId="9" xfId="6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right"/>
    </xf>
    <xf numFmtId="0" fontId="51" fillId="2" borderId="14" xfId="60" applyNumberFormat="1" applyFont="1" applyFill="1" applyBorder="1" applyAlignment="1" applyProtection="1"/>
    <xf numFmtId="0" fontId="51" fillId="2" borderId="2" xfId="60" applyNumberFormat="1" applyFont="1" applyFill="1" applyBorder="1" applyAlignment="1" applyProtection="1">
      <alignment horizontal="center"/>
    </xf>
    <xf numFmtId="0" fontId="51" fillId="2" borderId="2" xfId="60" applyNumberFormat="1" applyFont="1" applyFill="1" applyBorder="1" applyAlignment="1" applyProtection="1"/>
    <xf numFmtId="0" fontId="41" fillId="2" borderId="9" xfId="60" applyNumberFormat="1" applyFont="1" applyFill="1" applyBorder="1" applyAlignment="1" applyProtection="1">
      <alignment vertical="center" wrapText="1"/>
    </xf>
    <xf numFmtId="0" fontId="41" fillId="2" borderId="8" xfId="60" applyNumberFormat="1" applyFont="1" applyFill="1" applyBorder="1" applyAlignment="1" applyProtection="1">
      <alignment horizontal="left"/>
    </xf>
    <xf numFmtId="0" fontId="41" fillId="2" borderId="0" xfId="60"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60" applyNumberFormat="1" applyFont="1" applyFill="1" applyBorder="1" applyAlignment="1" applyProtection="1">
      <alignment horizontal="left"/>
    </xf>
    <xf numFmtId="0" fontId="43" fillId="2" borderId="14" xfId="60"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60"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60"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60" applyNumberFormat="1" applyFont="1" applyFill="1" applyBorder="1" applyAlignment="1" applyProtection="1">
      <alignment vertical="center"/>
    </xf>
    <xf numFmtId="0" fontId="43" fillId="2" borderId="2" xfId="60"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60" applyNumberFormat="1" applyFont="1" applyFill="1" applyBorder="1" applyAlignment="1" applyProtection="1">
      <alignment horizontal="left"/>
    </xf>
    <xf numFmtId="0" fontId="41" fillId="2" borderId="2" xfId="60" applyNumberFormat="1" applyFont="1" applyFill="1" applyBorder="1" applyAlignment="1" applyProtection="1">
      <alignment horizontal="center" vertical="center"/>
    </xf>
    <xf numFmtId="0" fontId="47" fillId="2" borderId="59" xfId="60" applyNumberFormat="1" applyFont="1" applyFill="1" applyBorder="1" applyAlignment="1" applyProtection="1"/>
    <xf numFmtId="0" fontId="47" fillId="2" borderId="16" xfId="60" applyNumberFormat="1" applyFont="1" applyFill="1" applyBorder="1" applyAlignment="1" applyProtection="1"/>
    <xf numFmtId="0" fontId="47" fillId="2" borderId="60" xfId="60" applyNumberFormat="1" applyFont="1" applyFill="1" applyBorder="1" applyAlignment="1" applyProtection="1"/>
    <xf numFmtId="0" fontId="41" fillId="2" borderId="14" xfId="60"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6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60" applyNumberFormat="1" applyFont="1" applyFill="1" applyBorder="1" applyAlignment="1" applyProtection="1"/>
    <xf numFmtId="0" fontId="47" fillId="2" borderId="63" xfId="60"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60"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60"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60"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21" applyNumberFormat="1" applyFont="1" applyFill="1" applyAlignment="1" applyProtection="1">
      <alignment horizontal="left" vertical="center"/>
    </xf>
    <xf numFmtId="0" fontId="35" fillId="5" borderId="0" xfId="21" applyNumberFormat="1" applyFont="1" applyFill="1" applyBorder="1" applyAlignment="1" applyProtection="1">
      <alignment horizontal="left" vertical="center"/>
    </xf>
    <xf numFmtId="0" fontId="33" fillId="5" borderId="0" xfId="21" applyNumberFormat="1" applyFont="1" applyFill="1" applyAlignment="1" applyProtection="1">
      <alignment horizontal="left" vertical="center"/>
    </xf>
    <xf numFmtId="0" fontId="28" fillId="0" borderId="24" xfId="21" applyNumberFormat="1" applyFont="1" applyBorder="1" applyAlignment="1" applyProtection="1">
      <alignment horizontal="left" vertical="center"/>
    </xf>
    <xf numFmtId="0" fontId="28" fillId="3" borderId="0" xfId="21" applyNumberFormat="1" applyFont="1" applyFill="1" applyAlignment="1" applyProtection="1">
      <alignment horizontal="left" vertical="center"/>
    </xf>
    <xf numFmtId="0" fontId="57" fillId="0" borderId="0" xfId="21" applyNumberFormat="1" applyFont="1" applyAlignment="1" applyProtection="1">
      <alignment horizontal="left" vertical="center"/>
    </xf>
    <xf numFmtId="0" fontId="28" fillId="0" borderId="38" xfId="21" applyNumberFormat="1" applyFont="1" applyBorder="1" applyAlignment="1" applyProtection="1">
      <alignment horizontal="left" vertical="center"/>
    </xf>
    <xf numFmtId="0" fontId="37" fillId="0" borderId="0" xfId="21" applyNumberFormat="1" applyFont="1" applyAlignment="1" applyProtection="1">
      <alignment horizontal="left" vertical="center"/>
    </xf>
    <xf numFmtId="0" fontId="8" fillId="4" borderId="0" xfId="21" applyNumberFormat="1" applyFont="1" applyFill="1" applyAlignment="1" applyProtection="1">
      <alignment horizontal="left" vertical="center"/>
    </xf>
    <xf numFmtId="0" fontId="58" fillId="4" borderId="0" xfId="37" applyNumberFormat="1" applyFont="1" applyFill="1" applyAlignment="1" applyProtection="1">
      <alignment horizontal="left" vertical="center"/>
    </xf>
    <xf numFmtId="0" fontId="39" fillId="4" borderId="0" xfId="37"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58" fillId="0" borderId="0" xfId="37" applyNumberFormat="1" applyFont="1" applyFill="1" applyAlignment="1" applyProtection="1">
      <alignment horizontal="left" vertical="center"/>
    </xf>
    <xf numFmtId="0" fontId="39" fillId="0" borderId="0" xfId="37" applyNumberFormat="1" applyFont="1" applyFill="1" applyAlignment="1" applyProtection="1">
      <alignment horizontal="left" vertical="center"/>
    </xf>
    <xf numFmtId="177" fontId="28" fillId="0" borderId="0" xfId="21" applyNumberFormat="1" applyFont="1" applyAlignment="1" applyProtection="1">
      <alignment horizontal="left" vertical="center"/>
    </xf>
    <xf numFmtId="0" fontId="43" fillId="2" borderId="2" xfId="21" applyNumberFormat="1" applyFont="1" applyFill="1" applyBorder="1" applyAlignment="1" applyProtection="1">
      <alignment horizontal="left" vertical="center" wrapText="1"/>
    </xf>
    <xf numFmtId="177" fontId="33" fillId="0" borderId="0" xfId="21" applyNumberFormat="1" applyFont="1" applyAlignment="1" applyProtection="1">
      <alignment horizontal="left" vertical="center"/>
    </xf>
    <xf numFmtId="0" fontId="44" fillId="8" borderId="39" xfId="21" applyNumberFormat="1" applyFont="1" applyFill="1" applyBorder="1" applyAlignment="1" applyProtection="1">
      <alignment horizontal="left" vertical="center" wrapText="1"/>
    </xf>
    <xf numFmtId="177" fontId="33" fillId="6" borderId="0" xfId="21" applyNumberFormat="1" applyFont="1" applyFill="1" applyAlignment="1" applyProtection="1">
      <alignment horizontal="left" vertical="center"/>
    </xf>
    <xf numFmtId="177" fontId="28" fillId="7" borderId="36" xfId="21" applyNumberFormat="1" applyFont="1" applyFill="1" applyBorder="1" applyAlignment="1" applyProtection="1">
      <alignment horizontal="left" vertical="center"/>
    </xf>
    <xf numFmtId="0" fontId="43" fillId="2" borderId="17" xfId="21" applyNumberFormat="1" applyFont="1" applyFill="1" applyBorder="1" applyAlignment="1" applyProtection="1">
      <alignment horizontal="left" vertical="center" wrapText="1"/>
    </xf>
    <xf numFmtId="177" fontId="33" fillId="0" borderId="0" xfId="21" applyNumberFormat="1" applyFont="1" applyBorder="1" applyAlignment="1" applyProtection="1">
      <alignment horizontal="left" vertical="center"/>
    </xf>
    <xf numFmtId="0" fontId="42" fillId="8" borderId="92" xfId="21" applyNumberFormat="1" applyFont="1" applyFill="1" applyBorder="1" applyAlignment="1" applyProtection="1">
      <alignment horizontal="left" vertical="center" wrapText="1"/>
    </xf>
    <xf numFmtId="0" fontId="42" fillId="8" borderId="93" xfId="21" applyNumberFormat="1" applyFont="1" applyFill="1" applyBorder="1" applyAlignment="1" applyProtection="1">
      <alignment horizontal="left" vertical="center" wrapText="1"/>
    </xf>
    <xf numFmtId="0" fontId="42" fillId="8" borderId="94" xfId="21" applyNumberFormat="1" applyFont="1" applyFill="1" applyBorder="1" applyAlignment="1" applyProtection="1">
      <alignment horizontal="left" vertical="center" wrapText="1"/>
    </xf>
    <xf numFmtId="0" fontId="42" fillId="8" borderId="95" xfId="21" applyNumberFormat="1" applyFont="1" applyFill="1" applyBorder="1" applyAlignment="1" applyProtection="1">
      <alignment horizontal="left" vertical="center" wrapText="1"/>
    </xf>
    <xf numFmtId="0" fontId="33" fillId="8" borderId="96" xfId="21" applyNumberFormat="1" applyFont="1" applyFill="1" applyBorder="1" applyAlignment="1" applyProtection="1">
      <alignment horizontal="left" vertical="center" wrapText="1"/>
    </xf>
    <xf numFmtId="0" fontId="33" fillId="8" borderId="97" xfId="21" applyNumberFormat="1" applyFont="1" applyFill="1" applyBorder="1" applyAlignment="1" applyProtection="1">
      <alignment horizontal="left" vertical="center" wrapText="1"/>
    </xf>
    <xf numFmtId="0" fontId="28" fillId="8" borderId="95" xfId="21" applyNumberFormat="1" applyFont="1" applyFill="1" applyBorder="1" applyAlignment="1" applyProtection="1">
      <alignment horizontal="left" vertical="center" wrapText="1"/>
    </xf>
    <xf numFmtId="0" fontId="28" fillId="8" borderId="39" xfId="21" applyNumberFormat="1" applyFont="1" applyFill="1" applyBorder="1" applyAlignment="1" applyProtection="1">
      <alignment horizontal="left" vertical="center" wrapText="1"/>
    </xf>
    <xf numFmtId="0" fontId="28" fillId="8" borderId="94" xfId="21" applyNumberFormat="1" applyFont="1" applyFill="1" applyBorder="1" applyAlignment="1" applyProtection="1">
      <alignment horizontal="left" vertical="center" wrapText="1"/>
    </xf>
    <xf numFmtId="0" fontId="33" fillId="8" borderId="98" xfId="21" applyNumberFormat="1" applyFont="1" applyFill="1" applyBorder="1" applyAlignment="1" applyProtection="1">
      <alignment horizontal="left" vertical="center" wrapText="1"/>
    </xf>
    <xf numFmtId="0" fontId="33" fillId="8" borderId="99" xfId="21" applyNumberFormat="1" applyFont="1" applyFill="1" applyBorder="1" applyAlignment="1" applyProtection="1">
      <alignment horizontal="left" vertical="center" wrapText="1"/>
    </xf>
    <xf numFmtId="0" fontId="28" fillId="5" borderId="0" xfId="21" applyNumberFormat="1" applyFont="1" applyFill="1" applyAlignment="1" applyProtection="1">
      <alignment horizontal="left" vertical="center"/>
    </xf>
    <xf numFmtId="0" fontId="33" fillId="4" borderId="0" xfId="21" applyNumberFormat="1" applyFont="1" applyFill="1" applyBorder="1" applyAlignment="1" applyProtection="1">
      <alignment horizontal="left" vertical="center"/>
    </xf>
    <xf numFmtId="0" fontId="35" fillId="4" borderId="0" xfId="21" applyNumberFormat="1" applyFont="1" applyFill="1" applyBorder="1" applyAlignment="1" applyProtection="1">
      <alignment horizontal="left" vertical="center"/>
    </xf>
    <xf numFmtId="0" fontId="44" fillId="9" borderId="40" xfId="21" applyNumberFormat="1" applyFont="1" applyFill="1" applyBorder="1" applyAlignment="1" applyProtection="1">
      <alignment horizontal="left" vertical="center" wrapText="1"/>
    </xf>
    <xf numFmtId="0" fontId="44" fillId="9" borderId="40" xfId="39" applyNumberFormat="1" applyFont="1" applyFill="1" applyBorder="1" applyAlignment="1" applyProtection="1">
      <alignment horizontal="left" vertical="center" wrapText="1"/>
    </xf>
    <xf numFmtId="0" fontId="44" fillId="9" borderId="46" xfId="39" applyNumberFormat="1" applyFont="1" applyFill="1" applyBorder="1" applyAlignment="1" applyProtection="1">
      <alignment horizontal="left" vertical="center" wrapText="1"/>
    </xf>
    <xf numFmtId="0" fontId="33" fillId="0" borderId="38" xfId="21" applyNumberFormat="1" applyFont="1" applyBorder="1" applyAlignment="1" applyProtection="1">
      <alignment horizontal="left" vertical="center"/>
    </xf>
    <xf numFmtId="0" fontId="33" fillId="6" borderId="38" xfId="21" applyNumberFormat="1" applyFont="1" applyFill="1" applyBorder="1" applyAlignment="1" applyProtection="1">
      <alignment horizontal="left" vertical="center"/>
    </xf>
    <xf numFmtId="0" fontId="28" fillId="7" borderId="48" xfId="21" applyNumberFormat="1" applyFont="1" applyFill="1" applyBorder="1" applyAlignment="1" applyProtection="1">
      <alignment horizontal="left" vertical="center"/>
    </xf>
    <xf numFmtId="0" fontId="44" fillId="8" borderId="100" xfId="21" applyNumberFormat="1" applyFont="1" applyFill="1" applyBorder="1" applyAlignment="1" applyProtection="1">
      <alignment horizontal="left" vertical="center" wrapText="1"/>
    </xf>
    <xf numFmtId="0" fontId="44" fillId="8" borderId="101" xfId="21" applyNumberFormat="1" applyFont="1" applyFill="1" applyBorder="1" applyAlignment="1" applyProtection="1">
      <alignment horizontal="left" vertical="center" wrapText="1"/>
    </xf>
    <xf numFmtId="0" fontId="33" fillId="10" borderId="0" xfId="21" applyNumberFormat="1" applyFont="1" applyFill="1" applyBorder="1" applyAlignment="1" applyProtection="1">
      <alignment horizontal="left" vertical="center"/>
    </xf>
    <xf numFmtId="0" fontId="33" fillId="0" borderId="0" xfId="21" applyNumberFormat="1" applyFont="1" applyBorder="1" applyAlignment="1" applyProtection="1">
      <alignment horizontal="left" vertical="center"/>
    </xf>
    <xf numFmtId="0" fontId="44" fillId="8" borderId="96" xfId="21" applyNumberFormat="1" applyFont="1" applyFill="1" applyBorder="1" applyAlignment="1" applyProtection="1">
      <alignment horizontal="left" vertical="center" wrapText="1"/>
    </xf>
    <xf numFmtId="0" fontId="44" fillId="8" borderId="102" xfId="21" applyNumberFormat="1" applyFont="1" applyFill="1" applyBorder="1" applyAlignment="1" applyProtection="1">
      <alignment horizontal="left" vertical="center" wrapText="1"/>
    </xf>
    <xf numFmtId="0" fontId="33" fillId="0" borderId="103" xfId="21" applyNumberFormat="1" applyFont="1" applyBorder="1" applyAlignment="1" applyProtection="1">
      <alignment horizontal="left" vertical="center"/>
    </xf>
    <xf numFmtId="0" fontId="33" fillId="0" borderId="104" xfId="21" applyNumberFormat="1" applyFont="1" applyBorder="1" applyAlignment="1" applyProtection="1">
      <alignment horizontal="left" vertical="center"/>
    </xf>
    <xf numFmtId="0" fontId="28" fillId="0" borderId="0" xfId="21" applyNumberFormat="1" applyFont="1" applyBorder="1" applyAlignment="1" applyProtection="1">
      <alignment horizontal="left" vertical="center"/>
    </xf>
    <xf numFmtId="0" fontId="28" fillId="0" borderId="105" xfId="21" applyNumberFormat="1" applyFont="1" applyBorder="1" applyAlignment="1" applyProtection="1">
      <alignment horizontal="left" vertical="center"/>
    </xf>
    <xf numFmtId="0" fontId="28" fillId="0" borderId="106" xfId="21" applyNumberFormat="1" applyFont="1" applyBorder="1" applyAlignment="1" applyProtection="1">
      <alignment horizontal="left" vertical="center"/>
    </xf>
    <xf numFmtId="0" fontId="28" fillId="8" borderId="98" xfId="21" applyNumberFormat="1" applyFont="1" applyFill="1" applyBorder="1" applyAlignment="1" applyProtection="1">
      <alignment horizontal="left" vertical="center" wrapText="1"/>
    </xf>
    <xf numFmtId="0" fontId="28" fillId="8" borderId="107" xfId="21" applyNumberFormat="1" applyFont="1" applyFill="1" applyBorder="1" applyAlignment="1" applyProtection="1">
      <alignment horizontal="left" vertical="center" wrapText="1"/>
    </xf>
    <xf numFmtId="0" fontId="28" fillId="0" borderId="103" xfId="21" applyNumberFormat="1" applyFont="1" applyBorder="1" applyAlignment="1" applyProtection="1">
      <alignment horizontal="left" vertical="center"/>
    </xf>
    <xf numFmtId="0" fontId="28" fillId="0" borderId="104" xfId="21" applyNumberFormat="1" applyFont="1" applyBorder="1" applyAlignment="1" applyProtection="1">
      <alignment horizontal="left" vertical="center"/>
    </xf>
    <xf numFmtId="0" fontId="42" fillId="9" borderId="96" xfId="21" applyNumberFormat="1" applyFont="1" applyFill="1" applyBorder="1" applyAlignment="1" applyProtection="1">
      <alignment horizontal="left" vertical="center" wrapText="1"/>
    </xf>
    <xf numFmtId="0" fontId="42" fillId="9" borderId="102" xfId="21" applyNumberFormat="1" applyFont="1" applyFill="1" applyBorder="1" applyAlignment="1" applyProtection="1">
      <alignment horizontal="left" vertical="center" wrapText="1"/>
    </xf>
    <xf numFmtId="0" fontId="42" fillId="8" borderId="40" xfId="21" applyNumberFormat="1" applyFont="1" applyFill="1" applyBorder="1" applyAlignment="1" applyProtection="1">
      <alignment horizontal="left" vertical="center" wrapText="1"/>
    </xf>
    <xf numFmtId="0" fontId="42" fillId="8" borderId="46" xfId="21" applyNumberFormat="1" applyFont="1" applyFill="1" applyBorder="1" applyAlignment="1" applyProtection="1">
      <alignment horizontal="left" vertical="center" wrapText="1"/>
    </xf>
    <xf numFmtId="0" fontId="42" fillId="9" borderId="46" xfId="21" applyNumberFormat="1" applyFont="1" applyFill="1" applyBorder="1" applyAlignment="1" applyProtection="1">
      <alignment horizontal="left" vertical="center" wrapText="1"/>
    </xf>
    <xf numFmtId="0" fontId="42" fillId="8" borderId="98" xfId="21" applyNumberFormat="1" applyFont="1" applyFill="1" applyBorder="1" applyAlignment="1" applyProtection="1">
      <alignment horizontal="left" vertical="center" wrapText="1"/>
    </xf>
    <xf numFmtId="0" fontId="42" fillId="8" borderId="107" xfId="21" applyNumberFormat="1" applyFont="1" applyFill="1" applyBorder="1" applyAlignment="1" applyProtection="1">
      <alignment horizontal="left" vertical="center" wrapText="1"/>
    </xf>
    <xf numFmtId="0" fontId="9" fillId="10" borderId="0" xfId="21" applyNumberFormat="1" applyFont="1" applyFill="1" applyAlignment="1" applyProtection="1">
      <alignment horizontal="left" vertical="center"/>
    </xf>
    <xf numFmtId="0" fontId="33" fillId="0" borderId="105" xfId="21" applyNumberFormat="1" applyFont="1" applyFill="1" applyBorder="1" applyAlignment="1" applyProtection="1">
      <alignment horizontal="left" vertical="center"/>
    </xf>
    <xf numFmtId="0" fontId="33" fillId="0" borderId="106" xfId="21" applyNumberFormat="1" applyFont="1" applyFill="1" applyBorder="1" applyAlignment="1" applyProtection="1">
      <alignment horizontal="left" vertical="center"/>
    </xf>
    <xf numFmtId="0" fontId="38" fillId="2" borderId="108" xfId="37" applyNumberFormat="1" applyFont="1" applyFill="1" applyBorder="1" applyAlignment="1" applyProtection="1">
      <alignment horizontal="left" vertical="center"/>
    </xf>
    <xf numFmtId="0" fontId="39" fillId="2" borderId="109" xfId="37" applyNumberFormat="1" applyFont="1" applyFill="1" applyBorder="1" applyAlignment="1" applyProtection="1">
      <alignment horizontal="left" vertical="center"/>
    </xf>
    <xf numFmtId="0" fontId="39" fillId="2" borderId="110"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8" fillId="4" borderId="49" xfId="21" applyNumberFormat="1" applyFont="1" applyFill="1" applyBorder="1" applyAlignment="1" applyProtection="1">
      <alignment horizontal="left" vertical="center"/>
    </xf>
    <xf numFmtId="0" fontId="28" fillId="4" borderId="50" xfId="21" applyNumberFormat="1" applyFont="1" applyFill="1" applyBorder="1" applyAlignment="1" applyProtection="1">
      <alignment horizontal="left" vertical="center"/>
    </xf>
    <xf numFmtId="0" fontId="28" fillId="4" borderId="51" xfId="21" applyNumberFormat="1" applyFont="1" applyFill="1" applyBorder="1" applyAlignment="1" applyProtection="1">
      <alignment horizontal="left" vertical="center"/>
    </xf>
    <xf numFmtId="0" fontId="28" fillId="0" borderId="49" xfId="21" applyNumberFormat="1" applyFont="1" applyFill="1" applyBorder="1" applyAlignment="1" applyProtection="1">
      <alignment horizontal="left" vertical="center"/>
    </xf>
    <xf numFmtId="0" fontId="28" fillId="0" borderId="50" xfId="21" applyNumberFormat="1" applyFont="1" applyFill="1" applyBorder="1" applyAlignment="1" applyProtection="1">
      <alignment horizontal="left" vertical="center"/>
    </xf>
    <xf numFmtId="0" fontId="28" fillId="0" borderId="51" xfId="21" applyNumberFormat="1" applyFont="1" applyFill="1" applyBorder="1" applyAlignment="1" applyProtection="1">
      <alignment horizontal="left" vertical="center"/>
    </xf>
    <xf numFmtId="0" fontId="33" fillId="0" borderId="49" xfId="21" applyNumberFormat="1" applyFont="1" applyFill="1" applyBorder="1" applyAlignment="1" applyProtection="1">
      <alignment horizontal="left" vertical="center"/>
    </xf>
    <xf numFmtId="0" fontId="33" fillId="0" borderId="50" xfId="21" applyNumberFormat="1" applyFont="1" applyFill="1" applyBorder="1" applyAlignment="1" applyProtection="1">
      <alignment horizontal="left" vertical="center"/>
    </xf>
    <xf numFmtId="0" fontId="33" fillId="0" borderId="51" xfId="21" applyNumberFormat="1" applyFont="1" applyFill="1" applyBorder="1" applyAlignment="1" applyProtection="1">
      <alignment horizontal="left" vertical="center"/>
    </xf>
    <xf numFmtId="0" fontId="33" fillId="6" borderId="49" xfId="21" applyNumberFormat="1" applyFont="1" applyFill="1" applyBorder="1" applyAlignment="1" applyProtection="1">
      <alignment horizontal="left" vertical="center"/>
    </xf>
    <xf numFmtId="0" fontId="33" fillId="6" borderId="50" xfId="21" applyNumberFormat="1" applyFont="1" applyFill="1" applyBorder="1" applyAlignment="1" applyProtection="1">
      <alignment horizontal="left" vertical="center"/>
    </xf>
    <xf numFmtId="0" fontId="33" fillId="6" borderId="51" xfId="21" applyNumberFormat="1" applyFont="1" applyFill="1" applyBorder="1" applyAlignment="1" applyProtection="1">
      <alignment horizontal="left" vertical="center"/>
    </xf>
    <xf numFmtId="0" fontId="28" fillId="7" borderId="52" xfId="21" applyNumberFormat="1" applyFont="1" applyFill="1" applyBorder="1" applyAlignment="1" applyProtection="1">
      <alignment horizontal="left" vertical="center"/>
    </xf>
    <xf numFmtId="0" fontId="28" fillId="7" borderId="53" xfId="21" applyNumberFormat="1" applyFont="1" applyFill="1" applyBorder="1" applyAlignment="1" applyProtection="1">
      <alignment horizontal="left" vertical="center"/>
    </xf>
    <xf numFmtId="0" fontId="28" fillId="7" borderId="54"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33" fillId="8" borderId="40" xfId="21" applyNumberFormat="1" applyFont="1" applyFill="1" applyBorder="1" applyAlignment="1" applyProtection="1">
      <alignment horizontal="left" vertical="center" wrapText="1"/>
    </xf>
    <xf numFmtId="0" fontId="33" fillId="8" borderId="41" xfId="21" applyNumberFormat="1" applyFont="1" applyFill="1" applyBorder="1" applyAlignment="1" applyProtection="1">
      <alignment horizontal="left" vertical="center" wrapText="1"/>
    </xf>
    <xf numFmtId="0" fontId="33" fillId="9" borderId="100" xfId="21" applyNumberFormat="1" applyFont="1" applyFill="1" applyBorder="1" applyAlignment="1" applyProtection="1">
      <alignment horizontal="left" vertical="center" wrapText="1"/>
    </xf>
    <xf numFmtId="0" fontId="33" fillId="9" borderId="111" xfId="21" applyNumberFormat="1" applyFont="1" applyFill="1" applyBorder="1" applyAlignment="1" applyProtection="1">
      <alignment horizontal="left" vertical="center" wrapText="1"/>
    </xf>
    <xf numFmtId="0" fontId="28" fillId="15" borderId="0" xfId="21" applyNumberFormat="1" applyFont="1" applyFill="1" applyAlignment="1" applyProtection="1">
      <alignment horizontal="left" vertical="center"/>
    </xf>
    <xf numFmtId="0" fontId="41" fillId="3" borderId="2" xfId="21" applyNumberFormat="1" applyFont="1" applyFill="1" applyBorder="1" applyAlignment="1" applyProtection="1">
      <alignment horizontal="left" vertical="center" wrapText="1"/>
    </xf>
    <xf numFmtId="0" fontId="33" fillId="8" borderId="112" xfId="21" applyNumberFormat="1" applyFont="1" applyFill="1" applyBorder="1" applyAlignment="1" applyProtection="1">
      <alignment horizontal="left" vertical="center" wrapText="1"/>
    </xf>
    <xf numFmtId="0" fontId="33" fillId="8" borderId="113" xfId="21" applyNumberFormat="1" applyFont="1" applyFill="1" applyBorder="1" applyAlignment="1" applyProtection="1">
      <alignment horizontal="left" vertical="center" wrapText="1"/>
    </xf>
    <xf numFmtId="0" fontId="33" fillId="8" borderId="114" xfId="21" applyNumberFormat="1" applyFont="1" applyFill="1" applyBorder="1" applyAlignment="1" applyProtection="1">
      <alignment horizontal="left" vertical="center" wrapText="1"/>
    </xf>
    <xf numFmtId="0" fontId="18" fillId="0" borderId="0" xfId="21" applyNumberFormat="1" applyFont="1" applyAlignment="1" applyProtection="1">
      <alignment horizontal="left" vertical="center"/>
    </xf>
    <xf numFmtId="0" fontId="42" fillId="9" borderId="115" xfId="21" applyNumberFormat="1" applyFont="1" applyFill="1" applyBorder="1" applyAlignment="1" applyProtection="1">
      <alignment horizontal="left" vertical="center" wrapText="1"/>
    </xf>
    <xf numFmtId="0" fontId="42" fillId="9" borderId="116" xfId="21" applyNumberFormat="1" applyFont="1" applyFill="1" applyBorder="1" applyAlignment="1" applyProtection="1">
      <alignment horizontal="left" vertical="center" wrapText="1"/>
    </xf>
    <xf numFmtId="0" fontId="28" fillId="10" borderId="24" xfId="21" applyNumberFormat="1" applyFont="1" applyFill="1" applyBorder="1" applyAlignment="1" applyProtection="1">
      <alignment horizontal="left" vertical="center"/>
    </xf>
    <xf numFmtId="0" fontId="28" fillId="0" borderId="117" xfId="21" applyNumberFormat="1" applyFont="1" applyBorder="1" applyAlignment="1" applyProtection="1">
      <alignment horizontal="left" vertical="center"/>
    </xf>
    <xf numFmtId="0" fontId="42" fillId="8" borderId="118" xfId="21" applyNumberFormat="1" applyFont="1" applyFill="1" applyBorder="1" applyAlignment="1" applyProtection="1">
      <alignment horizontal="left" vertical="center" wrapText="1"/>
    </xf>
    <xf numFmtId="0" fontId="42" fillId="8" borderId="119" xfId="21" applyNumberFormat="1" applyFont="1" applyFill="1" applyBorder="1" applyAlignment="1" applyProtection="1">
      <alignment horizontal="left" vertical="center" wrapText="1"/>
    </xf>
    <xf numFmtId="0" fontId="28" fillId="15" borderId="38" xfId="21" applyNumberFormat="1" applyFont="1" applyFill="1" applyBorder="1" applyAlignment="1" applyProtection="1">
      <alignment horizontal="left" vertical="center"/>
    </xf>
    <xf numFmtId="0" fontId="28" fillId="15" borderId="105" xfId="21" applyNumberFormat="1" applyFont="1" applyFill="1" applyBorder="1" applyAlignment="1" applyProtection="1">
      <alignment horizontal="left" vertical="center"/>
    </xf>
    <xf numFmtId="0" fontId="28" fillId="15" borderId="106" xfId="21" applyNumberFormat="1" applyFont="1" applyFill="1" applyBorder="1" applyAlignment="1" applyProtection="1">
      <alignment horizontal="left" vertical="center"/>
    </xf>
    <xf numFmtId="0" fontId="28" fillId="15" borderId="117" xfId="21" applyNumberFormat="1" applyFont="1" applyFill="1" applyBorder="1" applyAlignment="1" applyProtection="1">
      <alignment horizontal="left" vertical="center"/>
    </xf>
    <xf numFmtId="0" fontId="28" fillId="15" borderId="24" xfId="21" applyNumberFormat="1" applyFont="1" applyFill="1" applyBorder="1" applyAlignment="1" applyProtection="1">
      <alignment horizontal="left" vertical="center"/>
    </xf>
    <xf numFmtId="0" fontId="42" fillId="9" borderId="98" xfId="21" applyNumberFormat="1" applyFont="1" applyFill="1" applyBorder="1" applyAlignment="1" applyProtection="1">
      <alignment horizontal="left" vertical="center" wrapText="1"/>
    </xf>
    <xf numFmtId="0" fontId="42" fillId="3" borderId="40" xfId="21" applyNumberFormat="1" applyFont="1" applyFill="1" applyBorder="1" applyAlignment="1" applyProtection="1">
      <alignment horizontal="left" vertical="center" wrapText="1"/>
    </xf>
    <xf numFmtId="0" fontId="28" fillId="3" borderId="38" xfId="21" applyNumberFormat="1" applyFont="1" applyFill="1" applyBorder="1" applyAlignment="1" applyProtection="1">
      <alignment horizontal="left" vertical="center"/>
    </xf>
    <xf numFmtId="0" fontId="57" fillId="10" borderId="0" xfId="21" applyNumberFormat="1" applyFont="1" applyFill="1" applyAlignment="1" applyProtection="1">
      <alignment horizontal="left" vertical="center"/>
    </xf>
    <xf numFmtId="0" fontId="57" fillId="0" borderId="38" xfId="21"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8" fontId="60" fillId="0" borderId="0" xfId="0" applyNumberFormat="1" applyFont="1" applyAlignment="1" applyProtection="1">
      <alignment horizontal="left" vertical="center"/>
    </xf>
    <xf numFmtId="178" fontId="30" fillId="0" borderId="0" xfId="0" applyNumberFormat="1" applyFont="1" applyAlignment="1" applyProtection="1">
      <alignment horizontal="left" vertical="center"/>
    </xf>
    <xf numFmtId="178" fontId="61" fillId="0" borderId="0" xfId="47" applyNumberFormat="1" applyFont="1" applyBorder="1" applyAlignment="1" applyProtection="1">
      <alignment horizontal="left" vertical="center"/>
    </xf>
    <xf numFmtId="178" fontId="62" fillId="2" borderId="5" xfId="47" applyNumberFormat="1" applyFont="1" applyFill="1" applyBorder="1" applyAlignment="1" applyProtection="1">
      <alignment horizontal="left" vertical="center"/>
    </xf>
    <xf numFmtId="178" fontId="62" fillId="2" borderId="6" xfId="47" applyNumberFormat="1" applyFont="1" applyFill="1" applyBorder="1" applyAlignment="1" applyProtection="1">
      <alignment horizontal="left" vertical="center"/>
    </xf>
    <xf numFmtId="178" fontId="62" fillId="2" borderId="6" xfId="47" applyNumberFormat="1" applyFont="1" applyFill="1" applyBorder="1" applyAlignment="1" applyProtection="1">
      <alignment horizontal="left" vertical="center" wrapText="1"/>
    </xf>
    <xf numFmtId="178" fontId="62" fillId="2" borderId="8" xfId="47" applyNumberFormat="1" applyFont="1" applyFill="1" applyBorder="1" applyAlignment="1" applyProtection="1">
      <alignment horizontal="left" vertical="center"/>
    </xf>
    <xf numFmtId="178" fontId="63" fillId="2" borderId="2" xfId="47" applyNumberFormat="1" applyFont="1" applyFill="1" applyBorder="1" applyAlignment="1" applyProtection="1">
      <alignment horizontal="left" vertical="center"/>
    </xf>
    <xf numFmtId="178" fontId="62" fillId="2" borderId="8" xfId="47" applyNumberFormat="1" applyFont="1" applyFill="1" applyBorder="1" applyAlignment="1" applyProtection="1">
      <alignment horizontal="left" vertical="center" wrapText="1"/>
    </xf>
    <xf numFmtId="178" fontId="61" fillId="0" borderId="106" xfId="47" applyNumberFormat="1" applyFont="1" applyBorder="1" applyAlignment="1" applyProtection="1">
      <alignment horizontal="left" vertical="center"/>
    </xf>
    <xf numFmtId="178" fontId="62" fillId="2" borderId="33" xfId="47" applyNumberFormat="1" applyFont="1" applyFill="1" applyBorder="1" applyAlignment="1" applyProtection="1">
      <alignment horizontal="left" vertical="center"/>
    </xf>
    <xf numFmtId="178" fontId="62" fillId="2" borderId="34" xfId="47" applyNumberFormat="1" applyFont="1" applyFill="1" applyBorder="1" applyAlignment="1" applyProtection="1">
      <alignment horizontal="left" vertical="center"/>
    </xf>
    <xf numFmtId="178" fontId="63" fillId="2" borderId="9" xfId="47" applyNumberFormat="1" applyFont="1" applyFill="1" applyBorder="1" applyAlignment="1" applyProtection="1">
      <alignment horizontal="left" vertical="center"/>
    </xf>
    <xf numFmtId="178" fontId="30" fillId="2" borderId="2" xfId="0" applyNumberFormat="1" applyFont="1" applyFill="1" applyBorder="1" applyAlignment="1" applyProtection="1">
      <alignment horizontal="left" vertical="center"/>
    </xf>
    <xf numFmtId="178" fontId="62" fillId="2" borderId="10" xfId="47" applyNumberFormat="1" applyFont="1" applyFill="1" applyBorder="1" applyAlignment="1" applyProtection="1">
      <alignment horizontal="left" vertical="center" wrapText="1"/>
    </xf>
    <xf numFmtId="178" fontId="63" fillId="2" borderId="11" xfId="47" applyNumberFormat="1" applyFont="1" applyFill="1" applyBorder="1" applyAlignment="1" applyProtection="1">
      <alignment horizontal="left" vertical="center"/>
    </xf>
    <xf numFmtId="178" fontId="63" fillId="2" borderId="12" xfId="47" applyNumberFormat="1" applyFont="1" applyFill="1" applyBorder="1" applyAlignment="1" applyProtection="1">
      <alignment horizontal="left" vertical="center"/>
    </xf>
    <xf numFmtId="178" fontId="64" fillId="0" borderId="106" xfId="47" applyNumberFormat="1" applyFont="1" applyBorder="1" applyAlignment="1" applyProtection="1">
      <alignment horizontal="left" vertical="center"/>
    </xf>
    <xf numFmtId="178" fontId="65" fillId="0" borderId="106" xfId="47"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60" applyNumberFormat="1" applyFont="1" applyFill="1" applyBorder="1" applyAlignment="1" applyProtection="1">
      <alignment horizontal="left" vertical="center"/>
    </xf>
    <xf numFmtId="0" fontId="47" fillId="2" borderId="56" xfId="60" applyNumberFormat="1" applyFont="1" applyFill="1" applyBorder="1" applyAlignment="1" applyProtection="1">
      <alignment horizontal="left" vertical="center"/>
    </xf>
    <xf numFmtId="0" fontId="47" fillId="2" borderId="2" xfId="6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60" applyNumberFormat="1" applyFont="1" applyFill="1" applyBorder="1" applyAlignment="1" applyProtection="1">
      <alignment horizontal="left" vertical="center"/>
    </xf>
    <xf numFmtId="0" fontId="47" fillId="2" borderId="14" xfId="60"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41" fillId="3" borderId="6"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52"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47" fillId="2" borderId="120" xfId="0" applyNumberFormat="1" applyFont="1" applyFill="1" applyBorder="1" applyAlignment="1" applyProtection="1">
      <alignment horizontal="left" vertical="center" wrapText="1"/>
      <protection locked="0"/>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0" fontId="41" fillId="3" borderId="27"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52" applyNumberFormat="1" applyFont="1" applyFill="1" applyBorder="1" applyAlignment="1" applyProtection="1">
      <alignment horizontal="left" vertical="center" wrapText="1"/>
    </xf>
    <xf numFmtId="0" fontId="69" fillId="2" borderId="6" xfId="52" applyNumberFormat="1" applyFont="1" applyFill="1" applyBorder="1" applyAlignment="1" applyProtection="1">
      <alignment horizontal="left" vertical="center" wrapText="1"/>
    </xf>
    <xf numFmtId="0" fontId="69" fillId="2" borderId="79" xfId="52"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52" applyNumberFormat="1" applyFont="1" applyFill="1" applyBorder="1" applyAlignment="1" applyProtection="1">
      <alignment horizontal="left" vertical="center" wrapText="1"/>
    </xf>
    <xf numFmtId="0" fontId="69" fillId="0" borderId="15" xfId="52" applyNumberFormat="1" applyFont="1" applyFill="1" applyBorder="1" applyAlignment="1" applyProtection="1">
      <alignment horizontal="left" vertical="center" wrapText="1"/>
      <protection locked="0"/>
    </xf>
    <xf numFmtId="0" fontId="41" fillId="2" borderId="9" xfId="52"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52" applyNumberFormat="1" applyFont="1" applyFill="1" applyBorder="1" applyAlignment="1" applyProtection="1">
      <alignment horizontal="left" vertical="center" wrapText="1"/>
    </xf>
    <xf numFmtId="0" fontId="69" fillId="0" borderId="80" xfId="52" applyNumberFormat="1" applyFont="1" applyFill="1" applyBorder="1" applyAlignment="1" applyProtection="1">
      <alignment horizontal="left" vertical="center" wrapText="1"/>
      <protection locked="0"/>
    </xf>
    <xf numFmtId="0" fontId="41" fillId="2" borderId="12" xfId="52"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52" applyNumberFormat="1" applyFont="1" applyFill="1" applyBorder="1" applyAlignment="1" applyProtection="1">
      <alignment horizontal="left" vertical="center" wrapText="1"/>
    </xf>
    <xf numFmtId="0" fontId="69" fillId="2" borderId="0" xfId="52" applyNumberFormat="1" applyFont="1" applyFill="1" applyBorder="1" applyAlignment="1" applyProtection="1">
      <alignment horizontal="left" vertical="center" wrapText="1"/>
      <protection locked="0"/>
    </xf>
    <xf numFmtId="0" fontId="41" fillId="2" borderId="21" xfId="52"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52" applyNumberFormat="1" applyFont="1" applyFill="1" applyBorder="1" applyAlignment="1" applyProtection="1">
      <alignment horizontal="left" vertical="center" wrapText="1"/>
    </xf>
    <xf numFmtId="0" fontId="41" fillId="2" borderId="0" xfId="52" applyNumberFormat="1" applyFont="1" applyFill="1" applyAlignment="1" applyProtection="1">
      <alignment horizontal="left" vertical="center" wrapText="1"/>
      <protection locked="0"/>
    </xf>
    <xf numFmtId="0" fontId="46" fillId="0" borderId="2" xfId="52" applyNumberFormat="1" applyFont="1" applyFill="1" applyBorder="1" applyAlignment="1" applyProtection="1">
      <alignment horizontal="left" vertical="center" wrapText="1"/>
      <protection locked="0"/>
    </xf>
    <xf numFmtId="0" fontId="41" fillId="2" borderId="15" xfId="52" applyNumberFormat="1" applyFont="1" applyFill="1" applyBorder="1" applyAlignment="1" applyProtection="1">
      <alignment horizontal="left" vertical="center" wrapText="1"/>
    </xf>
    <xf numFmtId="0" fontId="41" fillId="2" borderId="2" xfId="52" applyNumberFormat="1" applyFont="1" applyFill="1" applyBorder="1" applyAlignment="1" applyProtection="1">
      <alignment horizontal="left" vertical="center" wrapText="1"/>
    </xf>
    <xf numFmtId="0" fontId="41" fillId="2" borderId="16" xfId="52" applyNumberFormat="1" applyFont="1" applyFill="1" applyBorder="1" applyAlignment="1" applyProtection="1">
      <alignment horizontal="left" vertical="center" wrapText="1"/>
    </xf>
    <xf numFmtId="0" fontId="28" fillId="2" borderId="2" xfId="52" applyNumberFormat="1" applyFont="1" applyFill="1" applyBorder="1" applyAlignment="1" applyProtection="1">
      <alignment horizontal="left" vertical="center"/>
    </xf>
    <xf numFmtId="0" fontId="41" fillId="12" borderId="0" xfId="52" applyNumberFormat="1" applyFont="1" applyFill="1" applyAlignment="1" applyProtection="1">
      <alignment horizontal="left" vertical="center" wrapText="1"/>
      <protection locked="0"/>
    </xf>
    <xf numFmtId="0" fontId="69" fillId="2" borderId="0" xfId="52" applyNumberFormat="1" applyFont="1" applyFill="1" applyAlignment="1" applyProtection="1">
      <alignment horizontal="left" vertical="center" wrapText="1"/>
      <protection locked="0"/>
    </xf>
    <xf numFmtId="0" fontId="69" fillId="12" borderId="0" xfId="52" applyNumberFormat="1" applyFont="1" applyFill="1" applyAlignment="1" applyProtection="1">
      <alignment horizontal="left" vertical="center" wrapText="1"/>
      <protection locked="0"/>
    </xf>
    <xf numFmtId="0" fontId="57" fillId="0" borderId="2" xfId="52" applyNumberFormat="1" applyFont="1" applyFill="1" applyBorder="1" applyAlignment="1" applyProtection="1">
      <alignment horizontal="left" vertical="center"/>
      <protection locked="0"/>
    </xf>
    <xf numFmtId="0" fontId="57" fillId="2" borderId="2" xfId="52" applyNumberFormat="1" applyFont="1" applyFill="1" applyBorder="1" applyAlignment="1" applyProtection="1">
      <alignment horizontal="left" vertical="center"/>
    </xf>
    <xf numFmtId="0" fontId="57" fillId="2" borderId="2" xfId="52" applyNumberFormat="1" applyFont="1" applyFill="1" applyBorder="1" applyAlignment="1" applyProtection="1">
      <alignment horizontal="left" vertical="center" wrapText="1"/>
    </xf>
    <xf numFmtId="0" fontId="41" fillId="0" borderId="0" xfId="52" applyNumberFormat="1" applyFont="1" applyAlignment="1" applyProtection="1">
      <alignment horizontal="left" vertical="center" wrapText="1"/>
      <protection locked="0"/>
    </xf>
    <xf numFmtId="0" fontId="69" fillId="0" borderId="0" xfId="52"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47"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47" applyNumberFormat="1" applyFont="1" applyFill="1" applyBorder="1" applyAlignment="1" applyProtection="1">
      <alignment horizontal="left" vertical="center"/>
    </xf>
    <xf numFmtId="0" fontId="41" fillId="2" borderId="34" xfId="47"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60" applyNumberFormat="1" applyFont="1" applyFill="1" applyBorder="1" applyAlignment="1" applyProtection="1">
      <alignment horizontal="center"/>
    </xf>
    <xf numFmtId="0" fontId="69" fillId="2" borderId="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41" fillId="2" borderId="8" xfId="60"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60"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textRotation="255" wrapText="1"/>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2" borderId="31" xfId="0" applyNumberFormat="1" applyFont="1" applyFill="1" applyBorder="1" applyAlignment="1" applyProtection="1">
      <alignment horizontal="center" vertical="center" textRotation="255" wrapText="1"/>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60"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60" applyNumberFormat="1" applyFont="1" applyFill="1" applyBorder="1" applyAlignment="1" applyProtection="1">
      <alignment vertical="center"/>
      <protection locked="0"/>
    </xf>
    <xf numFmtId="0" fontId="47" fillId="2" borderId="127" xfId="60" applyNumberFormat="1" applyFont="1" applyFill="1" applyBorder="1" applyAlignment="1" applyProtection="1">
      <alignment vertical="center"/>
      <protection locked="0"/>
    </xf>
    <xf numFmtId="0" fontId="47" fillId="3" borderId="17" xfId="6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17" xfId="0" applyNumberFormat="1" applyFont="1" applyFill="1" applyBorder="1" applyAlignment="1" applyProtection="1">
      <alignment horizontal="center" vertical="center" textRotation="255" wrapText="1"/>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7" fillId="2" borderId="59" xfId="0" applyNumberFormat="1" applyFont="1" applyFill="1" applyBorder="1" applyAlignment="1" applyProtection="1">
      <alignment horizontal="center" vertical="center"/>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62"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60"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60"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62" applyNumberFormat="1" applyFont="1" applyAlignment="1">
      <alignment horizontal="left"/>
    </xf>
    <xf numFmtId="0" fontId="7" fillId="0" borderId="0" xfId="62" applyNumberFormat="1" applyFont="1" applyAlignment="1">
      <alignment horizontal="right"/>
    </xf>
    <xf numFmtId="0" fontId="96" fillId="0" borderId="0" xfId="62" applyNumberFormat="1" applyFont="1" applyAlignment="1">
      <alignment horizontal="left"/>
    </xf>
    <xf numFmtId="0" fontId="96" fillId="0" borderId="0" xfId="62" applyNumberFormat="1" applyFont="1" applyFill="1" applyAlignment="1" applyProtection="1">
      <alignment horizontal="left"/>
      <protection locked="0"/>
    </xf>
    <xf numFmtId="0" fontId="96" fillId="0" borderId="0" xfId="62" applyNumberFormat="1" applyFont="1" applyAlignment="1" applyProtection="1">
      <alignment horizontal="left"/>
      <protection locked="0"/>
    </xf>
    <xf numFmtId="0" fontId="75" fillId="0" borderId="0" xfId="62" applyNumberFormat="1" applyFont="1" applyAlignment="1" applyProtection="1">
      <alignment horizontal="left"/>
      <protection locked="0"/>
    </xf>
    <xf numFmtId="0" fontId="75" fillId="0" borderId="0" xfId="62" applyNumberFormat="1" applyFont="1" applyAlignment="1" applyProtection="1">
      <alignment horizontal="left" vertical="center"/>
      <protection locked="0"/>
    </xf>
    <xf numFmtId="0" fontId="97" fillId="2" borderId="106" xfId="62" applyNumberFormat="1" applyFont="1" applyFill="1" applyBorder="1" applyAlignment="1" applyProtection="1"/>
    <xf numFmtId="0" fontId="79" fillId="2" borderId="0" xfId="62" applyNumberFormat="1" applyFont="1" applyFill="1" applyAlignment="1" applyProtection="1">
      <alignment horizontal="center" vertical="center"/>
    </xf>
    <xf numFmtId="0" fontId="41" fillId="2" borderId="0" xfId="62" applyNumberFormat="1" applyFont="1" applyFill="1" applyBorder="1" applyAlignment="1" applyProtection="1">
      <alignment vertical="center"/>
    </xf>
    <xf numFmtId="0" fontId="46" fillId="2" borderId="0" xfId="62" applyNumberFormat="1" applyFont="1" applyFill="1" applyBorder="1" applyAlignment="1" applyProtection="1">
      <alignment horizontal="center"/>
    </xf>
    <xf numFmtId="0" fontId="46" fillId="0" borderId="0" xfId="62" applyNumberFormat="1" applyFont="1" applyFill="1" applyBorder="1" applyAlignment="1" applyProtection="1">
      <alignment horizontal="center"/>
      <protection locked="0"/>
    </xf>
    <xf numFmtId="0" fontId="43" fillId="2" borderId="2" xfId="60" applyNumberFormat="1" applyFont="1" applyFill="1" applyBorder="1" applyAlignment="1" applyProtection="1">
      <alignment vertical="center"/>
    </xf>
    <xf numFmtId="0" fontId="55" fillId="2" borderId="2" xfId="62" applyNumberFormat="1" applyFont="1" applyFill="1" applyBorder="1" applyAlignment="1" applyProtection="1">
      <alignment horizontal="right" vertical="center"/>
    </xf>
    <xf numFmtId="0" fontId="41" fillId="2" borderId="0" xfId="62" applyNumberFormat="1" applyFont="1" applyFill="1" applyBorder="1" applyAlignment="1" applyProtection="1"/>
    <xf numFmtId="0" fontId="43" fillId="2" borderId="0" xfId="62" applyNumberFormat="1" applyFont="1" applyFill="1" applyBorder="1" applyAlignment="1" applyProtection="1"/>
    <xf numFmtId="0" fontId="43" fillId="0" borderId="0" xfId="62" applyNumberFormat="1" applyFont="1" applyFill="1" applyBorder="1" applyAlignment="1" applyProtection="1">
      <protection locked="0"/>
    </xf>
    <xf numFmtId="0" fontId="7" fillId="0" borderId="0" xfId="62" applyNumberFormat="1" applyFont="1" applyAlignment="1" applyProtection="1">
      <alignment horizontal="left"/>
      <protection locked="0"/>
    </xf>
    <xf numFmtId="0" fontId="43" fillId="2" borderId="13" xfId="60" applyNumberFormat="1" applyFont="1" applyFill="1" applyBorder="1" applyAlignment="1" applyProtection="1">
      <alignment vertical="center"/>
    </xf>
    <xf numFmtId="0" fontId="55" fillId="2" borderId="13" xfId="62" applyNumberFormat="1" applyFont="1" applyFill="1" applyBorder="1" applyAlignment="1" applyProtection="1">
      <alignment horizontal="right" vertical="center"/>
    </xf>
    <xf numFmtId="0" fontId="7" fillId="2" borderId="2" xfId="62" applyNumberFormat="1" applyFont="1" applyFill="1" applyBorder="1" applyAlignment="1" applyProtection="1">
      <alignment vertical="center"/>
    </xf>
    <xf numFmtId="0" fontId="41" fillId="0" borderId="2" xfId="62" applyNumberFormat="1" applyFont="1" applyFill="1" applyBorder="1" applyAlignment="1" applyProtection="1">
      <alignment horizontal="left" vertical="center"/>
      <protection locked="0"/>
    </xf>
    <xf numFmtId="0" fontId="11" fillId="2" borderId="0" xfId="60" applyNumberFormat="1" applyFont="1" applyFill="1" applyBorder="1" applyAlignment="1" applyProtection="1">
      <alignment vertical="center"/>
    </xf>
    <xf numFmtId="0" fontId="53" fillId="0" borderId="11" xfId="62" applyNumberFormat="1" applyFont="1" applyFill="1" applyBorder="1" applyAlignment="1" applyProtection="1">
      <alignment horizontal="left" vertical="center"/>
      <protection locked="0"/>
    </xf>
    <xf numFmtId="0" fontId="7" fillId="2" borderId="68" xfId="62" applyNumberFormat="1" applyFont="1" applyFill="1" applyBorder="1" applyAlignment="1" applyProtection="1">
      <alignment vertical="center"/>
    </xf>
    <xf numFmtId="0" fontId="33" fillId="2" borderId="133" xfId="62" applyNumberFormat="1" applyFont="1" applyFill="1" applyBorder="1" applyAlignment="1">
      <alignment horizontal="left" vertical="center"/>
    </xf>
    <xf numFmtId="0" fontId="33" fillId="2" borderId="128" xfId="62" applyNumberFormat="1" applyFont="1" applyFill="1" applyBorder="1" applyAlignment="1">
      <alignment horizontal="left" vertical="center"/>
    </xf>
    <xf numFmtId="0" fontId="33" fillId="2" borderId="125" xfId="62" applyNumberFormat="1" applyFont="1" applyFill="1" applyBorder="1" applyAlignment="1">
      <alignment horizontal="left" vertical="center"/>
    </xf>
    <xf numFmtId="0" fontId="43" fillId="0" borderId="124" xfId="62" applyNumberFormat="1" applyFont="1" applyFill="1" applyBorder="1" applyAlignment="1" applyProtection="1">
      <alignment horizontal="left" vertical="center"/>
      <protection locked="0"/>
    </xf>
    <xf numFmtId="0" fontId="43" fillId="2" borderId="128" xfId="62" applyNumberFormat="1" applyFont="1" applyFill="1" applyBorder="1" applyAlignment="1">
      <alignment vertical="center"/>
    </xf>
    <xf numFmtId="0" fontId="43" fillId="2" borderId="131" xfId="62" applyNumberFormat="1" applyFont="1" applyFill="1" applyBorder="1" applyAlignment="1">
      <alignment vertical="center"/>
    </xf>
    <xf numFmtId="0" fontId="43" fillId="0" borderId="0" xfId="62" applyNumberFormat="1" applyFont="1" applyFill="1" applyBorder="1" applyAlignment="1" applyProtection="1">
      <alignment vertical="center"/>
      <protection locked="0"/>
    </xf>
    <xf numFmtId="0" fontId="43" fillId="2" borderId="134" xfId="62" applyNumberFormat="1" applyFont="1" applyFill="1" applyBorder="1" applyAlignment="1">
      <alignment horizontal="left" vertical="center"/>
    </xf>
    <xf numFmtId="0" fontId="43" fillId="2" borderId="106" xfId="62" applyNumberFormat="1" applyFont="1" applyFill="1" applyBorder="1" applyAlignment="1">
      <alignment horizontal="left" vertical="center"/>
    </xf>
    <xf numFmtId="0" fontId="43" fillId="2" borderId="127" xfId="62" applyNumberFormat="1" applyFont="1" applyFill="1" applyBorder="1" applyAlignment="1">
      <alignment horizontal="left" vertical="center"/>
    </xf>
    <xf numFmtId="0" fontId="43" fillId="2" borderId="82" xfId="62" applyNumberFormat="1" applyFont="1" applyFill="1" applyBorder="1" applyAlignment="1">
      <alignment horizontal="left" vertical="center"/>
    </xf>
    <xf numFmtId="0" fontId="43" fillId="2" borderId="132" xfId="62" applyNumberFormat="1" applyFont="1" applyFill="1" applyBorder="1" applyAlignment="1">
      <alignment horizontal="left" vertical="center"/>
    </xf>
    <xf numFmtId="0" fontId="43" fillId="0" borderId="0" xfId="62" applyNumberFormat="1" applyFont="1" applyFill="1" applyBorder="1" applyAlignment="1" applyProtection="1">
      <alignment horizontal="left" vertical="center"/>
      <protection locked="0"/>
    </xf>
    <xf numFmtId="0" fontId="43" fillId="2" borderId="8" xfId="62" applyNumberFormat="1" applyFont="1" applyFill="1" applyBorder="1" applyAlignment="1">
      <alignment horizontal="left" vertical="center"/>
    </xf>
    <xf numFmtId="0" fontId="43" fillId="2" borderId="14" xfId="62" applyNumberFormat="1" applyFont="1" applyFill="1" applyBorder="1" applyAlignment="1">
      <alignment horizontal="left" vertical="center"/>
    </xf>
    <xf numFmtId="0" fontId="43" fillId="2" borderId="15" xfId="62" applyNumberFormat="1" applyFont="1" applyFill="1" applyBorder="1" applyAlignment="1">
      <alignment horizontal="left" vertical="center"/>
    </xf>
    <xf numFmtId="0" fontId="43" fillId="2" borderId="2" xfId="62" applyNumberFormat="1" applyFont="1" applyFill="1" applyBorder="1" applyAlignment="1">
      <alignment horizontal="left" vertical="center"/>
    </xf>
    <xf numFmtId="0" fontId="43" fillId="2" borderId="9" xfId="62" applyNumberFormat="1" applyFont="1" applyFill="1" applyBorder="1" applyAlignment="1">
      <alignment horizontal="left" vertical="center"/>
    </xf>
    <xf numFmtId="0" fontId="43" fillId="0" borderId="2" xfId="62" applyNumberFormat="1" applyFont="1" applyFill="1" applyBorder="1" applyAlignment="1" applyProtection="1">
      <alignment horizontal="left" vertical="center"/>
      <protection locked="0"/>
    </xf>
    <xf numFmtId="0" fontId="43" fillId="2" borderId="9" xfId="62" applyNumberFormat="1" applyFont="1" applyFill="1" applyBorder="1" applyAlignment="1">
      <alignment vertical="center"/>
    </xf>
    <xf numFmtId="0" fontId="41" fillId="2" borderId="8" xfId="62" applyNumberFormat="1" applyFont="1" applyFill="1" applyBorder="1" applyAlignment="1">
      <alignment horizontal="left" vertical="center"/>
    </xf>
    <xf numFmtId="0" fontId="41" fillId="2" borderId="14" xfId="62" applyNumberFormat="1" applyFont="1" applyFill="1" applyBorder="1" applyAlignment="1">
      <alignment horizontal="left" vertical="center"/>
    </xf>
    <xf numFmtId="0" fontId="41" fillId="2" borderId="15" xfId="62" applyNumberFormat="1" applyFont="1" applyFill="1" applyBorder="1" applyAlignment="1">
      <alignment horizontal="left" vertical="center"/>
    </xf>
    <xf numFmtId="0" fontId="41" fillId="2" borderId="2" xfId="62" applyNumberFormat="1" applyFont="1" applyFill="1" applyBorder="1" applyAlignment="1">
      <alignment horizontal="left" vertical="center"/>
    </xf>
    <xf numFmtId="0" fontId="7" fillId="2" borderId="15" xfId="62" applyNumberFormat="1" applyFont="1" applyFill="1" applyBorder="1" applyAlignment="1">
      <alignment horizontal="right" vertical="center"/>
    </xf>
    <xf numFmtId="0" fontId="41" fillId="2" borderId="15" xfId="62" applyNumberFormat="1" applyFont="1" applyFill="1" applyBorder="1" applyAlignment="1">
      <alignment horizontal="right" vertical="center"/>
    </xf>
    <xf numFmtId="0" fontId="43" fillId="2" borderId="10" xfId="62" applyNumberFormat="1" applyFont="1" applyFill="1" applyBorder="1" applyAlignment="1">
      <alignment horizontal="left" vertical="center"/>
    </xf>
    <xf numFmtId="0" fontId="43" fillId="2" borderId="28" xfId="62" applyNumberFormat="1" applyFont="1" applyFill="1" applyBorder="1" applyAlignment="1">
      <alignment horizontal="left" vertical="center"/>
    </xf>
    <xf numFmtId="0" fontId="43" fillId="2" borderId="80" xfId="62" applyNumberFormat="1" applyFont="1" applyFill="1" applyBorder="1" applyAlignment="1">
      <alignment horizontal="left" vertical="center"/>
    </xf>
    <xf numFmtId="0" fontId="43" fillId="2" borderId="11" xfId="62" applyNumberFormat="1" applyFont="1" applyFill="1" applyBorder="1" applyAlignment="1">
      <alignment horizontal="left" vertical="center"/>
    </xf>
    <xf numFmtId="0" fontId="43" fillId="0" borderId="11" xfId="62" applyNumberFormat="1" applyFont="1" applyFill="1" applyBorder="1" applyAlignment="1" applyProtection="1">
      <alignment horizontal="left" vertical="center"/>
      <protection locked="0"/>
    </xf>
    <xf numFmtId="0" fontId="43" fillId="2" borderId="12" xfId="62" applyNumberFormat="1" applyFont="1" applyFill="1" applyBorder="1" applyAlignment="1">
      <alignment vertical="center"/>
    </xf>
    <xf numFmtId="0" fontId="43" fillId="0" borderId="106" xfId="62" applyNumberFormat="1" applyFont="1" applyFill="1" applyBorder="1" applyAlignment="1" applyProtection="1">
      <alignment horizontal="left" vertical="center"/>
      <protection locked="0"/>
    </xf>
    <xf numFmtId="0" fontId="43" fillId="2" borderId="23" xfId="62" applyNumberFormat="1" applyFont="1" applyFill="1" applyBorder="1" applyAlignment="1">
      <alignment vertical="center"/>
    </xf>
    <xf numFmtId="0" fontId="43" fillId="2" borderId="133" xfId="62" applyNumberFormat="1" applyFont="1" applyFill="1" applyBorder="1" applyAlignment="1">
      <alignment vertical="center"/>
    </xf>
    <xf numFmtId="0" fontId="43" fillId="2" borderId="156" xfId="62" applyNumberFormat="1" applyFont="1" applyFill="1" applyBorder="1" applyAlignment="1">
      <alignment horizontal="left" vertical="center"/>
    </xf>
    <xf numFmtId="0" fontId="34" fillId="0" borderId="14" xfId="62" applyNumberFormat="1" applyFont="1" applyFill="1" applyBorder="1" applyAlignment="1" applyProtection="1">
      <alignment horizontal="left" vertical="center"/>
      <protection locked="0"/>
    </xf>
    <xf numFmtId="0" fontId="34" fillId="0" borderId="156" xfId="62" applyNumberFormat="1" applyFont="1" applyFill="1" applyBorder="1" applyAlignment="1" applyProtection="1">
      <alignment horizontal="left" vertical="center"/>
      <protection locked="0"/>
    </xf>
    <xf numFmtId="0" fontId="34" fillId="0" borderId="15"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vertical="center"/>
      <protection locked="0"/>
    </xf>
    <xf numFmtId="0" fontId="41" fillId="2" borderId="59" xfId="62" applyNumberFormat="1" applyFont="1" applyFill="1" applyBorder="1" applyAlignment="1">
      <alignment horizontal="left" vertical="center"/>
    </xf>
    <xf numFmtId="0" fontId="41" fillId="2" borderId="156" xfId="62" applyNumberFormat="1" applyFont="1" applyFill="1" applyBorder="1" applyAlignment="1">
      <alignment horizontal="left" vertical="center"/>
    </xf>
    <xf numFmtId="0" fontId="41" fillId="2" borderId="9" xfId="62" applyNumberFormat="1" applyFont="1" applyFill="1" applyBorder="1" applyAlignment="1">
      <alignment horizontal="left" vertical="center"/>
    </xf>
    <xf numFmtId="0" fontId="41" fillId="0" borderId="0" xfId="62" applyNumberFormat="1" applyFont="1" applyFill="1" applyBorder="1" applyAlignment="1" applyProtection="1">
      <alignment horizontal="right" vertical="center"/>
      <protection locked="0"/>
    </xf>
    <xf numFmtId="0" fontId="41" fillId="2" borderId="59" xfId="62" applyNumberFormat="1" applyFont="1" applyFill="1" applyBorder="1" applyAlignment="1">
      <alignment horizontal="right" vertical="center"/>
    </xf>
    <xf numFmtId="0" fontId="41" fillId="2" borderId="2" xfId="62" applyNumberFormat="1" applyFont="1" applyFill="1" applyBorder="1" applyAlignment="1">
      <alignment horizontal="right" vertical="center"/>
    </xf>
    <xf numFmtId="0" fontId="41" fillId="2" borderId="14" xfId="62" applyNumberFormat="1" applyFont="1" applyFill="1" applyBorder="1" applyAlignment="1">
      <alignment horizontal="right" vertical="center"/>
    </xf>
    <xf numFmtId="0" fontId="41" fillId="0" borderId="156" xfId="62" applyNumberFormat="1" applyFont="1" applyFill="1" applyBorder="1" applyAlignment="1" applyProtection="1">
      <alignment horizontal="right" vertical="center"/>
      <protection locked="0"/>
    </xf>
    <xf numFmtId="0" fontId="41" fillId="0" borderId="15" xfId="62" applyNumberFormat="1" applyFont="1" applyFill="1" applyBorder="1" applyAlignment="1" applyProtection="1">
      <alignment horizontal="right" vertical="center"/>
      <protection locked="0"/>
    </xf>
    <xf numFmtId="0" fontId="41" fillId="2" borderId="9" xfId="62" applyNumberFormat="1" applyFont="1" applyFill="1" applyBorder="1" applyAlignment="1">
      <alignment horizontal="right" vertical="center"/>
    </xf>
    <xf numFmtId="0" fontId="7" fillId="0" borderId="0" xfId="62" applyNumberFormat="1" applyFont="1" applyAlignment="1" applyProtection="1">
      <alignment horizontal="right"/>
      <protection locked="0"/>
    </xf>
    <xf numFmtId="0" fontId="41" fillId="2" borderId="156" xfId="62" applyNumberFormat="1" applyFont="1" applyFill="1" applyBorder="1" applyAlignment="1">
      <alignment horizontal="right" vertical="center"/>
    </xf>
    <xf numFmtId="0" fontId="41" fillId="0" borderId="14" xfId="62" applyNumberFormat="1" applyFont="1" applyFill="1" applyBorder="1" applyAlignment="1" applyProtection="1">
      <alignment horizontal="right" vertical="center"/>
      <protection locked="0"/>
    </xf>
    <xf numFmtId="0" fontId="41" fillId="0" borderId="14" xfId="62" applyNumberFormat="1" applyFont="1" applyFill="1" applyBorder="1" applyAlignment="1" applyProtection="1">
      <alignment horizontal="left" vertical="center"/>
      <protection locked="0"/>
    </xf>
    <xf numFmtId="0" fontId="41" fillId="0" borderId="156" xfId="62" applyNumberFormat="1" applyFont="1" applyFill="1" applyBorder="1" applyAlignment="1" applyProtection="1">
      <alignment horizontal="left" vertical="center"/>
      <protection locked="0"/>
    </xf>
    <xf numFmtId="0" fontId="41" fillId="0" borderId="15" xfId="62" applyNumberFormat="1" applyFont="1" applyFill="1" applyBorder="1" applyAlignment="1" applyProtection="1">
      <alignment horizontal="left" vertical="center"/>
      <protection locked="0"/>
    </xf>
    <xf numFmtId="0" fontId="41" fillId="2" borderId="11" xfId="62" applyNumberFormat="1" applyFont="1" applyFill="1" applyBorder="1" applyAlignment="1">
      <alignment horizontal="left" vertical="center"/>
    </xf>
    <xf numFmtId="0" fontId="41" fillId="0" borderId="28" xfId="62" applyNumberFormat="1" applyFont="1" applyFill="1" applyBorder="1" applyAlignment="1" applyProtection="1">
      <alignment horizontal="left" vertical="center"/>
      <protection locked="0"/>
    </xf>
    <xf numFmtId="0" fontId="41" fillId="0" borderId="157" xfId="62" applyNumberFormat="1" applyFont="1" applyFill="1" applyBorder="1" applyAlignment="1" applyProtection="1">
      <alignment horizontal="left" vertical="center"/>
      <protection locked="0"/>
    </xf>
    <xf numFmtId="0" fontId="41" fillId="0" borderId="80"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protection locked="0"/>
    </xf>
    <xf numFmtId="0" fontId="41" fillId="2" borderId="2" xfId="62" applyNumberFormat="1" applyFont="1" applyFill="1" applyBorder="1" applyAlignment="1">
      <alignment horizontal="left"/>
    </xf>
    <xf numFmtId="0" fontId="41" fillId="2" borderId="9" xfId="62" applyNumberFormat="1" applyFont="1" applyFill="1" applyBorder="1" applyAlignment="1">
      <alignment horizontal="left"/>
    </xf>
    <xf numFmtId="0" fontId="41" fillId="2" borderId="10" xfId="62" applyNumberFormat="1" applyFont="1" applyFill="1" applyBorder="1" applyAlignment="1">
      <alignment horizontal="left" vertical="center"/>
    </xf>
    <xf numFmtId="0" fontId="41" fillId="2" borderId="11" xfId="62" applyNumberFormat="1" applyFont="1" applyFill="1" applyBorder="1" applyAlignment="1">
      <alignment horizontal="left"/>
    </xf>
    <xf numFmtId="0" fontId="41" fillId="2" borderId="12" xfId="62" applyNumberFormat="1" applyFont="1" applyFill="1" applyBorder="1" applyAlignment="1">
      <alignment horizontal="left" vertical="center"/>
    </xf>
    <xf numFmtId="0" fontId="7" fillId="0" borderId="0" xfId="62" applyNumberFormat="1" applyFont="1" applyFill="1" applyAlignment="1" applyProtection="1">
      <alignment horizontal="left"/>
      <protection locked="0"/>
    </xf>
    <xf numFmtId="0" fontId="43" fillId="3" borderId="67" xfId="62" applyNumberFormat="1" applyFont="1" applyFill="1" applyBorder="1" applyAlignment="1" applyProtection="1">
      <alignment vertical="center"/>
      <protection locked="0"/>
    </xf>
    <xf numFmtId="0" fontId="43" fillId="3" borderId="26" xfId="62" applyNumberFormat="1" applyFont="1" applyFill="1" applyBorder="1" applyAlignment="1" applyProtection="1">
      <alignment vertical="center"/>
      <protection locked="0"/>
    </xf>
    <xf numFmtId="0" fontId="41" fillId="0" borderId="0" xfId="62" applyNumberFormat="1" applyFont="1" applyAlignment="1" applyProtection="1">
      <alignment horizontal="left"/>
      <protection locked="0"/>
    </xf>
    <xf numFmtId="0" fontId="43" fillId="16" borderId="134" xfId="62" applyNumberFormat="1" applyFont="1" applyFill="1" applyBorder="1" applyAlignment="1" applyProtection="1">
      <alignment vertical="center"/>
      <protection locked="0"/>
    </xf>
    <xf numFmtId="0" fontId="43" fillId="16" borderId="127" xfId="62" applyNumberFormat="1" applyFont="1" applyFill="1" applyBorder="1" applyAlignment="1" applyProtection="1">
      <alignment vertical="center"/>
      <protection locked="0"/>
    </xf>
    <xf numFmtId="0" fontId="43" fillId="2" borderId="59" xfId="62" applyNumberFormat="1" applyFont="1" applyFill="1" applyBorder="1" applyAlignment="1" applyProtection="1">
      <alignment horizontal="left" vertical="center"/>
      <protection locked="0"/>
    </xf>
    <xf numFmtId="0" fontId="43" fillId="2" borderId="15" xfId="62" applyNumberFormat="1" applyFont="1" applyFill="1" applyBorder="1" applyAlignment="1" applyProtection="1">
      <alignment horizontal="left" vertical="center"/>
      <protection locked="0"/>
    </xf>
    <xf numFmtId="0" fontId="28" fillId="0" borderId="2" xfId="60" applyNumberFormat="1" applyFont="1" applyBorder="1" applyAlignment="1" applyProtection="1">
      <alignment horizontal="left" vertical="center"/>
      <protection locked="0" hidden="1"/>
    </xf>
    <xf numFmtId="0" fontId="41" fillId="0" borderId="13" xfId="62" applyNumberFormat="1" applyFont="1" applyFill="1" applyBorder="1" applyAlignment="1" applyProtection="1">
      <alignment horizontal="left" vertical="center"/>
      <protection locked="0"/>
    </xf>
    <xf numFmtId="0" fontId="33" fillId="2" borderId="59" xfId="62" applyNumberFormat="1" applyFont="1" applyFill="1" applyBorder="1" applyAlignment="1" applyProtection="1">
      <alignment vertical="center"/>
      <protection locked="0"/>
    </xf>
    <xf numFmtId="0" fontId="33" fillId="2" borderId="16" xfId="62" applyNumberFormat="1" applyFont="1" applyFill="1" applyBorder="1" applyAlignment="1" applyProtection="1">
      <alignment vertical="center"/>
      <protection locked="0"/>
    </xf>
    <xf numFmtId="0" fontId="43" fillId="2" borderId="16" xfId="62" applyNumberFormat="1" applyFont="1" applyFill="1" applyBorder="1" applyAlignment="1" applyProtection="1">
      <alignment vertical="center"/>
      <protection locked="0"/>
    </xf>
    <xf numFmtId="0" fontId="43" fillId="2" borderId="8" xfId="62" applyNumberFormat="1" applyFont="1" applyFill="1" applyBorder="1" applyAlignment="1" applyProtection="1">
      <alignment horizontal="left" vertical="center" wrapText="1"/>
      <protection locked="0"/>
    </xf>
    <xf numFmtId="0" fontId="43" fillId="2" borderId="13" xfId="62" applyNumberFormat="1" applyFont="1" applyFill="1" applyBorder="1" applyAlignment="1" applyProtection="1">
      <alignment horizontal="left" vertical="center" wrapText="1"/>
      <protection locked="0"/>
    </xf>
    <xf numFmtId="0" fontId="41" fillId="2" borderId="14" xfId="62" applyNumberFormat="1" applyFont="1" applyFill="1" applyBorder="1" applyAlignment="1" applyProtection="1">
      <alignment vertical="center"/>
      <protection locked="0"/>
    </xf>
    <xf numFmtId="0" fontId="41" fillId="2" borderId="2" xfId="62" applyNumberFormat="1" applyFont="1" applyFill="1" applyBorder="1" applyAlignment="1" applyProtection="1">
      <alignment horizontal="left" vertical="center"/>
      <protection locked="0"/>
    </xf>
    <xf numFmtId="0" fontId="43" fillId="2" borderId="31" xfId="62" applyNumberFormat="1" applyFont="1" applyFill="1" applyBorder="1" applyAlignment="1" applyProtection="1">
      <alignment horizontal="left" vertical="center" wrapText="1"/>
      <protection locked="0"/>
    </xf>
    <xf numFmtId="0" fontId="41" fillId="0" borderId="14" xfId="62" applyNumberFormat="1" applyFont="1" applyFill="1" applyBorder="1" applyAlignment="1" applyProtection="1">
      <alignment vertical="center"/>
      <protection locked="0"/>
    </xf>
    <xf numFmtId="0" fontId="28" fillId="0" borderId="2" xfId="62" applyNumberFormat="1" applyFont="1" applyFill="1" applyBorder="1" applyAlignment="1" applyProtection="1">
      <alignment horizontal="left" vertical="center"/>
      <protection locked="0"/>
    </xf>
    <xf numFmtId="0" fontId="43" fillId="2" borderId="17"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protection locked="0"/>
    </xf>
    <xf numFmtId="0" fontId="33" fillId="2" borderId="2" xfId="62" applyNumberFormat="1" applyFont="1" applyFill="1" applyBorder="1" applyAlignment="1" applyProtection="1">
      <alignment horizontal="left" vertical="center"/>
      <protection locked="0"/>
    </xf>
    <xf numFmtId="0" fontId="43" fillId="2" borderId="2" xfId="62" applyNumberFormat="1" applyFont="1" applyFill="1" applyBorder="1" applyAlignment="1" applyProtection="1">
      <alignment horizontal="left" vertical="center"/>
      <protection locked="0"/>
    </xf>
    <xf numFmtId="0" fontId="41" fillId="3" borderId="2" xfId="62" applyNumberFormat="1" applyFont="1" applyFill="1" applyBorder="1" applyAlignment="1" applyProtection="1">
      <alignment horizontal="left" vertical="center"/>
      <protection locked="0"/>
    </xf>
    <xf numFmtId="0" fontId="28" fillId="0" borderId="2"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wrapText="1"/>
      <protection locked="0"/>
    </xf>
    <xf numFmtId="0" fontId="43" fillId="2" borderId="16" xfId="62" applyNumberFormat="1" applyFont="1" applyFill="1" applyBorder="1" applyAlignment="1" applyProtection="1">
      <alignment vertical="center" wrapText="1"/>
      <protection locked="0"/>
    </xf>
    <xf numFmtId="0" fontId="43" fillId="2" borderId="15" xfId="62" applyNumberFormat="1" applyFont="1" applyFill="1" applyBorder="1" applyAlignment="1" applyProtection="1">
      <alignment vertical="center" wrapText="1"/>
      <protection locked="0"/>
    </xf>
    <xf numFmtId="0" fontId="33" fillId="2" borderId="20" xfId="62" applyNumberFormat="1" applyFont="1" applyFill="1" applyBorder="1" applyAlignment="1" applyProtection="1">
      <alignment horizontal="left" vertical="center"/>
      <protection locked="0"/>
    </xf>
    <xf numFmtId="0" fontId="33" fillId="2" borderId="66" xfId="62" applyNumberFormat="1" applyFont="1" applyFill="1" applyBorder="1" applyAlignment="1" applyProtection="1">
      <alignment vertical="center"/>
      <protection locked="0"/>
    </xf>
    <xf numFmtId="0" fontId="33" fillId="2" borderId="104" xfId="62" applyNumberFormat="1" applyFont="1" applyFill="1" applyBorder="1" applyAlignment="1" applyProtection="1">
      <alignment vertical="center"/>
      <protection locked="0"/>
    </xf>
    <xf numFmtId="0" fontId="33" fillId="2" borderId="120" xfId="62" applyNumberFormat="1" applyFont="1" applyFill="1" applyBorder="1" applyAlignment="1" applyProtection="1">
      <alignment vertical="center"/>
      <protection locked="0"/>
    </xf>
    <xf numFmtId="0" fontId="28" fillId="2" borderId="2" xfId="62" applyNumberFormat="1" applyFont="1" applyFill="1" applyBorder="1" applyAlignment="1" applyProtection="1">
      <alignment horizontal="left" vertical="center"/>
      <protection locked="0"/>
    </xf>
    <xf numFmtId="0" fontId="41" fillId="0" borderId="0" xfId="62" applyNumberFormat="1" applyFont="1" applyAlignment="1" applyProtection="1">
      <alignment horizontal="right"/>
      <protection locked="0"/>
    </xf>
    <xf numFmtId="0" fontId="33" fillId="2" borderId="75" xfId="62" applyNumberFormat="1" applyFont="1" applyFill="1" applyBorder="1" applyAlignment="1" applyProtection="1">
      <alignment horizontal="left" vertical="center"/>
      <protection locked="0"/>
    </xf>
    <xf numFmtId="0" fontId="33" fillId="2" borderId="82" xfId="62" applyNumberFormat="1" applyFont="1" applyFill="1" applyBorder="1" applyAlignment="1" applyProtection="1">
      <alignment vertical="center"/>
      <protection locked="0"/>
    </xf>
    <xf numFmtId="0" fontId="33" fillId="2" borderId="106" xfId="62" applyNumberFormat="1" applyFont="1" applyFill="1" applyBorder="1" applyAlignment="1" applyProtection="1">
      <alignment vertical="center"/>
      <protection locked="0"/>
    </xf>
    <xf numFmtId="0" fontId="33" fillId="2" borderId="127" xfId="62" applyNumberFormat="1" applyFont="1" applyFill="1" applyBorder="1" applyAlignment="1" applyProtection="1">
      <alignment vertical="center"/>
      <protection locked="0"/>
    </xf>
    <xf numFmtId="0" fontId="33" fillId="0" borderId="2" xfId="62" applyNumberFormat="1" applyFont="1" applyFill="1" applyBorder="1" applyAlignment="1" applyProtection="1">
      <alignment horizontal="left" vertical="center"/>
      <protection locked="0"/>
    </xf>
    <xf numFmtId="0" fontId="11" fillId="2" borderId="32" xfId="62" applyNumberFormat="1" applyFont="1" applyFill="1" applyBorder="1" applyAlignment="1" applyProtection="1">
      <alignment horizontal="left" vertical="center" wrapText="1"/>
      <protection locked="0"/>
    </xf>
    <xf numFmtId="0" fontId="9" fillId="2" borderId="30" xfId="62" applyNumberFormat="1" applyFont="1" applyFill="1" applyBorder="1" applyAlignment="1" applyProtection="1">
      <alignment vertical="center"/>
      <protection locked="0"/>
    </xf>
    <xf numFmtId="0" fontId="7" fillId="2" borderId="30" xfId="62" applyNumberFormat="1" applyFont="1" applyFill="1" applyBorder="1" applyAlignment="1" applyProtection="1">
      <alignment vertical="center"/>
      <protection locked="0"/>
    </xf>
    <xf numFmtId="0" fontId="98" fillId="0" borderId="30" xfId="62" applyNumberFormat="1" applyFill="1" applyBorder="1" applyAlignment="1" applyProtection="1">
      <alignment horizontal="left" vertical="center"/>
      <protection locked="0"/>
    </xf>
    <xf numFmtId="0" fontId="41" fillId="0" borderId="11" xfId="62" applyNumberFormat="1" applyFont="1" applyFill="1" applyBorder="1" applyAlignment="1" applyProtection="1">
      <alignment horizontal="left" vertical="center"/>
      <protection locked="0"/>
    </xf>
    <xf numFmtId="0" fontId="41" fillId="0" borderId="0" xfId="62" applyNumberFormat="1" applyFont="1" applyFill="1" applyAlignment="1" applyProtection="1">
      <alignment horizontal="left" vertical="center"/>
      <protection locked="0"/>
    </xf>
    <xf numFmtId="0" fontId="11" fillId="2" borderId="30" xfId="62" applyNumberFormat="1" applyFont="1" applyFill="1" applyBorder="1" applyAlignment="1" applyProtection="1">
      <alignment vertical="center"/>
      <protection locked="0"/>
    </xf>
    <xf numFmtId="0" fontId="43" fillId="3" borderId="79" xfId="62" applyNumberFormat="1" applyFont="1" applyFill="1" applyBorder="1" applyAlignment="1" applyProtection="1">
      <alignment vertical="center"/>
      <protection locked="0"/>
    </xf>
    <xf numFmtId="0" fontId="41" fillId="0" borderId="0" xfId="62" applyNumberFormat="1" applyFont="1" applyAlignment="1" applyProtection="1">
      <alignment horizontal="left" vertical="center"/>
      <protection locked="0"/>
    </xf>
    <xf numFmtId="0" fontId="43" fillId="0" borderId="9" xfId="62" applyNumberFormat="1" applyFont="1" applyFill="1" applyBorder="1" applyAlignment="1" applyProtection="1">
      <alignment horizontal="left" vertical="center"/>
      <protection locked="0"/>
    </xf>
    <xf numFmtId="0" fontId="43" fillId="2" borderId="9" xfId="62" applyNumberFormat="1" applyFont="1" applyFill="1" applyBorder="1" applyAlignment="1" applyProtection="1">
      <alignment horizontal="left" vertical="center"/>
      <protection locked="0"/>
    </xf>
    <xf numFmtId="0" fontId="28" fillId="0" borderId="9" xfId="60" applyNumberFormat="1" applyFont="1" applyBorder="1" applyAlignment="1" applyProtection="1">
      <alignment horizontal="left" vertical="center"/>
      <protection locked="0" hidden="1"/>
    </xf>
    <xf numFmtId="0" fontId="41" fillId="2" borderId="9" xfId="62" applyNumberFormat="1" applyFont="1" applyFill="1" applyBorder="1" applyAlignment="1" applyProtection="1">
      <alignment horizontal="left" vertical="center"/>
      <protection locked="0"/>
    </xf>
    <xf numFmtId="0" fontId="41" fillId="0" borderId="21" xfId="62" applyNumberFormat="1" applyFont="1" applyFill="1" applyBorder="1" applyAlignment="1" applyProtection="1">
      <alignment horizontal="left" vertical="center"/>
      <protection locked="0"/>
    </xf>
    <xf numFmtId="0" fontId="41" fillId="2" borderId="21" xfId="62" applyNumberFormat="1" applyFont="1" applyFill="1" applyBorder="1" applyAlignment="1" applyProtection="1">
      <alignment horizontal="left" vertical="center"/>
      <protection locked="0"/>
    </xf>
    <xf numFmtId="0" fontId="41" fillId="0" borderId="9" xfId="62" applyNumberFormat="1" applyFont="1" applyFill="1" applyBorder="1" applyAlignment="1" applyProtection="1">
      <alignment horizontal="left" vertical="center"/>
      <protection locked="0"/>
    </xf>
    <xf numFmtId="0" fontId="33" fillId="2" borderId="9" xfId="62" applyNumberFormat="1" applyFont="1" applyFill="1" applyBorder="1" applyAlignment="1" applyProtection="1">
      <alignment horizontal="left" vertical="center"/>
      <protection locked="0"/>
    </xf>
    <xf numFmtId="0" fontId="28" fillId="0" borderId="9" xfId="62" applyNumberFormat="1" applyFont="1" applyFill="1" applyBorder="1" applyAlignment="1" applyProtection="1">
      <alignment horizontal="left" vertical="center"/>
      <protection locked="0"/>
    </xf>
    <xf numFmtId="0" fontId="43" fillId="0" borderId="0" xfId="62" applyNumberFormat="1" applyFont="1" applyFill="1" applyAlignment="1" applyProtection="1">
      <alignment horizontal="left" vertical="center"/>
      <protection locked="0"/>
    </xf>
    <xf numFmtId="0" fontId="28" fillId="0" borderId="11" xfId="62" applyNumberFormat="1" applyFont="1" applyFill="1" applyBorder="1" applyAlignment="1" applyProtection="1">
      <alignment horizontal="left" vertical="center"/>
      <protection locked="0"/>
    </xf>
    <xf numFmtId="0" fontId="99" fillId="0" borderId="130" xfId="62" applyNumberFormat="1" applyFont="1" applyFill="1" applyBorder="1" applyAlignment="1" applyProtection="1">
      <alignment horizontal="left" vertical="center"/>
      <protection locked="0"/>
    </xf>
    <xf numFmtId="0" fontId="41" fillId="2" borderId="13" xfId="62" applyNumberFormat="1" applyFont="1" applyFill="1" applyBorder="1" applyAlignment="1" applyProtection="1">
      <alignment horizontal="left" vertical="center"/>
      <protection locked="0"/>
    </xf>
    <xf numFmtId="0" fontId="43" fillId="2" borderId="14" xfId="62" applyNumberFormat="1" applyFont="1" applyFill="1" applyBorder="1" applyAlignment="1" applyProtection="1">
      <alignment horizontal="left" vertical="center"/>
      <protection locked="0"/>
    </xf>
    <xf numFmtId="0" fontId="75" fillId="0" borderId="0" xfId="62"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60"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3" fillId="2" borderId="13" xfId="0" applyNumberFormat="1" applyFont="1" applyFill="1" applyBorder="1" applyAlignment="1" applyProtection="1">
      <alignment vertical="top" wrapText="1"/>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3" fillId="2" borderId="31" xfId="0" applyNumberFormat="1" applyFont="1" applyFill="1" applyBorder="1" applyAlignment="1" applyProtection="1">
      <alignment vertical="top" wrapText="1"/>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vertical="top" wrapText="1"/>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60" applyNumberFormat="1" applyFont="1" applyFill="1" applyBorder="1" applyAlignment="1" applyProtection="1">
      <alignment horizontal="left" vertical="center"/>
      <protection locked="0"/>
    </xf>
    <xf numFmtId="0" fontId="56" fillId="3" borderId="15" xfId="60" applyNumberFormat="1" applyFont="1" applyFill="1" applyBorder="1" applyAlignment="1" applyProtection="1">
      <alignment vertical="center"/>
    </xf>
    <xf numFmtId="0" fontId="56" fillId="9" borderId="0" xfId="60"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60"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60" applyNumberFormat="1" applyFont="1" applyFill="1" applyBorder="1" applyAlignment="1" applyProtection="1">
      <alignment horizontal="right" vertical="center"/>
    </xf>
    <xf numFmtId="0" fontId="53" fillId="2" borderId="14" xfId="60" applyNumberFormat="1" applyFont="1" applyFill="1" applyBorder="1" applyAlignment="1" applyProtection="1">
      <alignment vertical="center"/>
    </xf>
    <xf numFmtId="0" fontId="53" fillId="2" borderId="2" xfId="60" applyNumberFormat="1" applyFont="1" applyFill="1" applyBorder="1" applyAlignment="1" applyProtection="1">
      <alignment horizontal="center" vertical="center"/>
    </xf>
    <xf numFmtId="0" fontId="53" fillId="2" borderId="2" xfId="60"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60"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60" applyNumberFormat="1" applyFont="1" applyFill="1" applyBorder="1" applyAlignment="1" applyProtection="1">
      <alignment vertical="center"/>
    </xf>
    <xf numFmtId="0" fontId="87" fillId="2" borderId="2" xfId="60" applyNumberFormat="1" applyFont="1" applyFill="1" applyBorder="1" applyAlignment="1" applyProtection="1">
      <alignment horizontal="center" vertical="center"/>
    </xf>
    <xf numFmtId="0" fontId="87" fillId="2" borderId="2" xfId="60"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60"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60" applyNumberFormat="1" applyFont="1" applyFill="1" applyBorder="1" applyAlignment="1" applyProtection="1">
      <alignment horizontal="left" vertical="center"/>
    </xf>
    <xf numFmtId="0" fontId="53" fillId="2" borderId="16" xfId="60"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60"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6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60"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60"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horizontal="right" vertical="center"/>
    </xf>
    <xf numFmtId="0" fontId="43" fillId="3" borderId="14" xfId="60" applyNumberFormat="1" applyFont="1" applyFill="1" applyBorder="1" applyAlignment="1" applyProtection="1">
      <alignment vertical="center"/>
      <protection locked="0"/>
    </xf>
    <xf numFmtId="0" fontId="47" fillId="2" borderId="14" xfId="60" applyNumberFormat="1" applyFont="1" applyFill="1" applyBorder="1" applyAlignment="1" applyProtection="1">
      <alignment horizontal="right" vertical="center"/>
    </xf>
    <xf numFmtId="0" fontId="47" fillId="2" borderId="15" xfId="60" applyNumberFormat="1" applyFont="1" applyFill="1" applyBorder="1" applyAlignment="1" applyProtection="1">
      <alignment vertical="center"/>
    </xf>
    <xf numFmtId="0" fontId="47" fillId="3" borderId="2" xfId="60" applyNumberFormat="1" applyFont="1" applyFill="1" applyBorder="1" applyAlignment="1" applyProtection="1">
      <alignment vertical="center"/>
      <protection locked="0"/>
    </xf>
    <xf numFmtId="0" fontId="43" fillId="3" borderId="9" xfId="60" applyNumberFormat="1" applyFont="1" applyFill="1" applyBorder="1" applyAlignment="1" applyProtection="1">
      <alignment horizontal="left" vertical="center"/>
      <protection locked="0"/>
    </xf>
    <xf numFmtId="0" fontId="43" fillId="7" borderId="14" xfId="60" applyNumberFormat="1" applyFont="1" applyFill="1" applyBorder="1" applyAlignment="1" applyProtection="1">
      <alignment horizontal="center"/>
    </xf>
    <xf numFmtId="0" fontId="43" fillId="7" borderId="14" xfId="60" applyNumberFormat="1" applyFont="1" applyFill="1" applyBorder="1" applyAlignment="1" applyProtection="1">
      <alignment horizontal="center" vertical="center"/>
    </xf>
    <xf numFmtId="0" fontId="73" fillId="3" borderId="9" xfId="60"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77" fillId="0" borderId="13" xfId="0" applyNumberFormat="1" applyFont="1" applyBorder="1" applyAlignment="1" applyProtection="1">
      <alignment horizontal="center" vertical="center"/>
      <protection locked="0"/>
    </xf>
    <xf numFmtId="0" fontId="77" fillId="0" borderId="2" xfId="0" applyNumberFormat="1" applyFont="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left" vertical="center" wrapText="1"/>
    </xf>
    <xf numFmtId="0" fontId="77" fillId="2" borderId="57" xfId="0" applyNumberFormat="1" applyFont="1" applyFill="1" applyBorder="1" applyAlignment="1" applyProtection="1">
      <alignment horizontal="center" vertical="center"/>
    </xf>
    <xf numFmtId="0" fontId="87" fillId="2" borderId="75" xfId="0" applyNumberFormat="1" applyFont="1" applyFill="1" applyBorder="1" applyAlignment="1" applyProtection="1">
      <alignment horizontal="left" vertical="center" wrapText="1"/>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87" fillId="2" borderId="19"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87" fillId="2" borderId="29" xfId="0" applyNumberFormat="1" applyFont="1" applyFill="1" applyBorder="1" applyAlignment="1" applyProtection="1">
      <alignment horizontal="center" vertical="center" wrapText="1"/>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87" fillId="2" borderId="32" xfId="0" applyNumberFormat="1" applyFont="1" applyFill="1" applyBorder="1" applyAlignment="1" applyProtection="1">
      <alignment horizontal="center" vertical="center" wrapText="1"/>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53" fillId="2" borderId="21"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94" fillId="2" borderId="131"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wrapText="1"/>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43" fillId="2" borderId="22"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61" applyNumberFormat="1" applyFont="1" applyFill="1" applyBorder="1" applyAlignment="1" applyProtection="1">
      <alignment horizontal="left" vertical="center" wrapText="1"/>
    </xf>
    <xf numFmtId="0" fontId="77" fillId="2" borderId="60" xfId="61" applyNumberFormat="1" applyFont="1" applyFill="1" applyBorder="1" applyAlignment="1" applyProtection="1">
      <alignment horizontal="left" vertical="center" wrapText="1"/>
    </xf>
    <xf numFmtId="0" fontId="77" fillId="2" borderId="2" xfId="61" applyNumberFormat="1" applyFont="1" applyFill="1" applyBorder="1" applyAlignment="1" applyProtection="1">
      <alignment horizontal="left" vertical="center" wrapText="1"/>
    </xf>
    <xf numFmtId="0" fontId="77" fillId="14" borderId="2" xfId="61"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61"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61" applyNumberFormat="1" applyFont="1" applyFill="1" applyAlignment="1" applyProtection="1">
      <alignment horizontal="left"/>
    </xf>
    <xf numFmtId="0" fontId="53" fillId="2" borderId="57" xfId="61" applyNumberFormat="1" applyFont="1" applyFill="1" applyBorder="1" applyAlignment="1" applyProtection="1">
      <alignment horizontal="left" vertical="center" wrapText="1"/>
    </xf>
    <xf numFmtId="0" fontId="53" fillId="2" borderId="60" xfId="61"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101" fillId="2" borderId="2" xfId="0" applyNumberFormat="1" applyFont="1" applyFill="1" applyBorder="1" applyAlignment="1" applyProtection="1">
      <alignment horizontal="left" vertical="center" wrapText="1"/>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53" fillId="2" borderId="64" xfId="61" applyNumberFormat="1" applyFont="1" applyFill="1" applyBorder="1" applyAlignment="1" applyProtection="1">
      <alignment horizontal="left" vertical="center" wrapText="1"/>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8"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77" fillId="3" borderId="13" xfId="0" applyNumberFormat="1" applyFont="1" applyFill="1" applyBorder="1" applyAlignment="1" applyProtection="1">
      <alignment horizontal="left" vertical="center" wrapText="1"/>
      <protection locked="0"/>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77" fillId="2" borderId="2"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xf>
    <xf numFmtId="0" fontId="53" fillId="2" borderId="0" xfId="61"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61"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61"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87" fillId="2" borderId="15" xfId="0" applyNumberFormat="1" applyFont="1" applyFill="1" applyBorder="1" applyAlignment="1" applyProtection="1">
      <alignment horizontal="center"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115" fillId="9" borderId="0" xfId="66" applyNumberFormat="1" applyFill="1" applyBorder="1" applyAlignment="1" applyProtection="1">
      <alignment horizontal="left"/>
      <protection locked="0"/>
    </xf>
    <xf numFmtId="0" fontId="115"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115"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2"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115"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6" fontId="77" fillId="0" borderId="0" xfId="0" applyFont="1" applyAlignment="1" applyProtection="1">
      <alignment vertical="center"/>
    </xf>
    <xf numFmtId="176" fontId="77" fillId="0" borderId="0" xfId="0" applyFont="1" applyAlignment="1" applyProtection="1">
      <alignment vertical="center" wrapText="1"/>
    </xf>
    <xf numFmtId="176" fontId="53" fillId="0" borderId="0" xfId="0" applyFont="1" applyFill="1" applyAlignment="1" applyProtection="1">
      <alignment vertical="center"/>
    </xf>
    <xf numFmtId="176" fontId="53" fillId="12" borderId="0" xfId="0" applyFont="1" applyFill="1" applyAlignment="1" applyProtection="1">
      <alignment vertical="center"/>
      <protection locked="0"/>
    </xf>
    <xf numFmtId="176" fontId="53" fillId="0" borderId="0" xfId="0" applyFont="1" applyAlignment="1" applyProtection="1">
      <alignment vertical="center"/>
      <protection locked="0"/>
    </xf>
    <xf numFmtId="176" fontId="53" fillId="0" borderId="0" xfId="0" applyFont="1" applyAlignment="1" applyProtection="1">
      <alignment vertical="center" wrapText="1"/>
    </xf>
    <xf numFmtId="176" fontId="53" fillId="0" borderId="0" xfId="0" applyFont="1" applyAlignment="1" applyProtection="1">
      <alignment vertical="center"/>
    </xf>
    <xf numFmtId="180" fontId="53" fillId="0" borderId="0" xfId="0" applyNumberFormat="1" applyFont="1" applyAlignment="1" applyProtection="1">
      <alignment vertical="center"/>
    </xf>
    <xf numFmtId="176" fontId="53" fillId="0" borderId="0" xfId="0" applyFont="1" applyAlignment="1" applyProtection="1">
      <alignment horizontal="center" vertical="center"/>
    </xf>
    <xf numFmtId="176" fontId="104" fillId="2" borderId="0" xfId="0" applyFont="1" applyFill="1" applyAlignment="1" applyProtection="1">
      <alignment vertical="center" wrapText="1"/>
    </xf>
    <xf numFmtId="176" fontId="53" fillId="2" borderId="0" xfId="0" applyFont="1" applyFill="1" applyAlignment="1" applyProtection="1">
      <alignment vertical="center"/>
    </xf>
    <xf numFmtId="176"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6"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6"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176" fontId="77" fillId="2" borderId="0" xfId="0" applyFont="1" applyFill="1" applyAlignment="1" applyProtection="1">
      <alignment vertical="center" wrapText="1"/>
    </xf>
    <xf numFmtId="176" fontId="77" fillId="2" borderId="0" xfId="0" applyFont="1" applyFill="1" applyAlignment="1" applyProtection="1">
      <alignment vertical="center"/>
    </xf>
    <xf numFmtId="176" fontId="87" fillId="2" borderId="144" xfId="0" applyFont="1" applyFill="1" applyBorder="1" applyAlignment="1" applyProtection="1">
      <alignment vertical="center" wrapText="1"/>
    </xf>
    <xf numFmtId="176" fontId="77" fillId="2" borderId="133" xfId="0" applyFont="1" applyFill="1" applyBorder="1" applyAlignment="1" applyProtection="1">
      <alignment vertical="center"/>
    </xf>
    <xf numFmtId="176" fontId="77" fillId="2" borderId="128" xfId="0" applyFont="1" applyFill="1" applyBorder="1" applyAlignment="1" applyProtection="1">
      <alignment vertical="center"/>
    </xf>
    <xf numFmtId="180" fontId="77" fillId="2" borderId="128" xfId="0" applyNumberFormat="1" applyFont="1" applyFill="1" applyBorder="1" applyAlignment="1" applyProtection="1">
      <alignment vertical="center"/>
    </xf>
    <xf numFmtId="176" fontId="77" fillId="2" borderId="5" xfId="60" applyFont="1" applyFill="1" applyBorder="1" applyAlignment="1" applyProtection="1">
      <alignment vertical="center" wrapText="1"/>
    </xf>
    <xf numFmtId="176" fontId="77" fillId="2" borderId="6" xfId="60" applyFont="1" applyFill="1" applyBorder="1" applyAlignment="1" applyProtection="1">
      <alignment vertical="center" wrapText="1"/>
    </xf>
    <xf numFmtId="176" fontId="77" fillId="2" borderId="27" xfId="60" applyFont="1" applyFill="1" applyBorder="1" applyAlignment="1" applyProtection="1">
      <alignment vertical="center" wrapText="1"/>
    </xf>
    <xf numFmtId="181" fontId="69" fillId="2" borderId="5" xfId="60" applyNumberFormat="1" applyFont="1" applyFill="1" applyBorder="1" applyAlignment="1" applyProtection="1">
      <alignment horizontal="center" vertical="center" wrapText="1"/>
    </xf>
    <xf numFmtId="176" fontId="77" fillId="2" borderId="6" xfId="0" applyFont="1" applyFill="1" applyBorder="1" applyAlignment="1" applyProtection="1">
      <alignment horizontal="center" vertical="center" wrapText="1"/>
    </xf>
    <xf numFmtId="180" fontId="77" fillId="2" borderId="6" xfId="0" applyNumberFormat="1" applyFont="1" applyFill="1" applyBorder="1" applyAlignment="1" applyProtection="1">
      <alignment horizontal="center" vertical="center" wrapText="1"/>
    </xf>
    <xf numFmtId="177" fontId="53" fillId="2" borderId="8" xfId="60" applyNumberFormat="1" applyFont="1" applyFill="1" applyBorder="1" applyAlignment="1" applyProtection="1">
      <alignment horizontal="left" vertical="center"/>
    </xf>
    <xf numFmtId="177" fontId="77" fillId="2" borderId="2" xfId="60" applyNumberFormat="1" applyFont="1" applyFill="1" applyBorder="1" applyAlignment="1" applyProtection="1">
      <alignment vertical="center"/>
    </xf>
    <xf numFmtId="177" fontId="77" fillId="14" borderId="14" xfId="60" applyNumberFormat="1" applyFont="1" applyFill="1" applyBorder="1" applyAlignment="1" applyProtection="1">
      <alignment vertical="center"/>
      <protection locked="0"/>
    </xf>
    <xf numFmtId="177" fontId="53" fillId="2" borderId="8" xfId="60" applyNumberFormat="1"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80" fontId="69" fillId="2" borderId="2" xfId="60" applyNumberFormat="1" applyFont="1" applyFill="1" applyBorder="1" applyAlignment="1" applyProtection="1">
      <alignment horizontal="center" vertical="center"/>
    </xf>
    <xf numFmtId="181" fontId="69" fillId="2" borderId="2" xfId="60" applyNumberFormat="1" applyFont="1" applyFill="1" applyBorder="1" applyAlignment="1" applyProtection="1">
      <alignment horizontal="center" vertical="center"/>
    </xf>
    <xf numFmtId="183" fontId="28" fillId="0" borderId="2" xfId="0" applyNumberFormat="1" applyFont="1" applyFill="1" applyBorder="1" applyAlignment="1" applyProtection="1">
      <alignment horizontal="center" vertical="center"/>
      <protection locked="0"/>
    </xf>
    <xf numFmtId="183" fontId="77" fillId="0" borderId="2" xfId="0" applyNumberFormat="1" applyFont="1" applyFill="1" applyBorder="1" applyAlignment="1" applyProtection="1">
      <alignment horizontal="center" vertical="center"/>
      <protection locked="0"/>
    </xf>
    <xf numFmtId="177" fontId="77" fillId="2" borderId="8" xfId="60" applyNumberFormat="1" applyFont="1" applyFill="1" applyBorder="1" applyAlignment="1" applyProtection="1">
      <alignment horizontal="left" vertical="center" wrapText="1"/>
      <protection locked="0"/>
    </xf>
    <xf numFmtId="177" fontId="77" fillId="2" borderId="14" xfId="60" applyNumberFormat="1" applyFont="1" applyFill="1" applyBorder="1" applyAlignment="1" applyProtection="1">
      <alignment vertical="center"/>
    </xf>
    <xf numFmtId="183" fontId="81" fillId="2" borderId="2" xfId="0" applyNumberFormat="1" applyFont="1" applyFill="1" applyBorder="1" applyAlignment="1" applyProtection="1">
      <alignment horizontal="center" vertical="center"/>
      <protection locked="0"/>
    </xf>
    <xf numFmtId="176" fontId="87" fillId="2" borderId="10" xfId="60" applyFont="1" applyFill="1" applyBorder="1" applyAlignment="1" applyProtection="1">
      <alignment vertical="center" wrapText="1"/>
    </xf>
    <xf numFmtId="176" fontId="87" fillId="2" borderId="11" xfId="60" applyFont="1" applyFill="1" applyBorder="1" applyAlignment="1" applyProtection="1">
      <alignment vertical="center"/>
    </xf>
    <xf numFmtId="176" fontId="87" fillId="2" borderId="28" xfId="60" applyFont="1" applyFill="1" applyBorder="1" applyAlignment="1" applyProtection="1">
      <alignment vertical="center"/>
    </xf>
    <xf numFmtId="176" fontId="87" fillId="2" borderId="10" xfId="60" applyFont="1" applyFill="1" applyBorder="1" applyAlignment="1" applyProtection="1">
      <alignment vertical="center"/>
    </xf>
    <xf numFmtId="176" fontId="87" fillId="2" borderId="11" xfId="60" applyFont="1" applyFill="1" applyBorder="1" applyAlignment="1" applyProtection="1">
      <alignment horizontal="center" vertical="center"/>
    </xf>
    <xf numFmtId="183" fontId="87" fillId="2" borderId="11" xfId="60" applyNumberFormat="1" applyFont="1" applyFill="1" applyBorder="1" applyAlignment="1" applyProtection="1">
      <alignment vertical="center"/>
    </xf>
    <xf numFmtId="176" fontId="55" fillId="2" borderId="0" xfId="0" applyFont="1" applyFill="1" applyAlignment="1" applyProtection="1">
      <alignment vertical="center" wrapText="1"/>
    </xf>
    <xf numFmtId="176" fontId="53" fillId="9" borderId="0" xfId="0" applyFont="1" applyFill="1" applyAlignment="1" applyProtection="1">
      <alignment vertical="center"/>
    </xf>
    <xf numFmtId="176"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6" fontId="77" fillId="9" borderId="0" xfId="0" applyFont="1" applyFill="1" applyAlignment="1" applyProtection="1">
      <alignment vertical="center"/>
    </xf>
    <xf numFmtId="176" fontId="77" fillId="9" borderId="0" xfId="0" applyFont="1" applyFill="1" applyAlignment="1" applyProtection="1">
      <alignment vertical="center"/>
      <protection locked="0"/>
    </xf>
    <xf numFmtId="180" fontId="77" fillId="9" borderId="0" xfId="0" applyNumberFormat="1" applyFont="1" applyFill="1" applyAlignment="1" applyProtection="1">
      <alignment vertical="center"/>
      <protection locked="0"/>
    </xf>
    <xf numFmtId="178" fontId="69" fillId="2" borderId="5" xfId="60" applyNumberFormat="1" applyFont="1" applyFill="1" applyBorder="1" applyAlignment="1" applyProtection="1">
      <alignment vertical="center" wrapText="1"/>
    </xf>
    <xf numFmtId="178" fontId="69" fillId="0" borderId="7" xfId="60" applyNumberFormat="1" applyFont="1" applyFill="1" applyBorder="1" applyAlignment="1" applyProtection="1">
      <alignment horizontal="center" vertical="center"/>
      <protection locked="0"/>
    </xf>
    <xf numFmtId="176" fontId="114" fillId="9" borderId="0" xfId="0" applyFont="1" applyFill="1" applyAlignment="1" applyProtection="1">
      <alignment vertical="center"/>
    </xf>
    <xf numFmtId="178" fontId="69" fillId="2" borderId="8" xfId="60" applyNumberFormat="1" applyFont="1" applyFill="1" applyBorder="1" applyAlignment="1" applyProtection="1">
      <alignment vertical="center" wrapText="1"/>
    </xf>
    <xf numFmtId="178" fontId="77" fillId="0" borderId="9" xfId="60" applyNumberFormat="1" applyFont="1" applyFill="1" applyBorder="1" applyAlignment="1" applyProtection="1">
      <alignment horizontal="center" vertical="center"/>
      <protection locked="0"/>
    </xf>
    <xf numFmtId="176" fontId="94" fillId="9" borderId="0" xfId="0" applyFont="1" applyFill="1" applyAlignment="1" applyProtection="1">
      <alignment vertical="center"/>
    </xf>
    <xf numFmtId="178" fontId="77" fillId="2" borderId="8" xfId="60" applyNumberFormat="1" applyFont="1" applyFill="1" applyBorder="1" applyAlignment="1" applyProtection="1">
      <alignment vertical="center" wrapText="1"/>
    </xf>
    <xf numFmtId="178" fontId="69" fillId="2" borderId="9" xfId="60" applyNumberFormat="1" applyFont="1" applyFill="1" applyBorder="1" applyAlignment="1" applyProtection="1">
      <alignment horizontal="center" vertical="center"/>
    </xf>
    <xf numFmtId="178" fontId="69" fillId="2" borderId="10" xfId="60" applyNumberFormat="1" applyFont="1" applyFill="1" applyBorder="1" applyAlignment="1" applyProtection="1">
      <alignment vertical="center" wrapText="1"/>
    </xf>
    <xf numFmtId="178" fontId="69" fillId="2" borderId="12" xfId="60" applyNumberFormat="1" applyFont="1" applyFill="1" applyBorder="1" applyAlignment="1" applyProtection="1">
      <alignment horizontal="center" vertical="center"/>
    </xf>
    <xf numFmtId="176" fontId="77" fillId="2" borderId="124" xfId="0" applyFont="1" applyFill="1" applyBorder="1" applyAlignment="1" applyProtection="1">
      <alignment horizontal="center" vertical="center"/>
    </xf>
    <xf numFmtId="176" fontId="77" fillId="9" borderId="126" xfId="0" applyFont="1" applyFill="1" applyBorder="1" applyAlignment="1" applyProtection="1">
      <alignment horizontal="center" vertical="center"/>
      <protection locked="0"/>
    </xf>
    <xf numFmtId="176" fontId="77" fillId="2" borderId="5" xfId="0" applyFont="1" applyFill="1" applyBorder="1" applyAlignment="1" applyProtection="1">
      <alignment vertical="center" wrapText="1"/>
    </xf>
    <xf numFmtId="176" fontId="41"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80" fontId="77" fillId="9" borderId="0" xfId="0" applyNumberFormat="1" applyFont="1" applyFill="1" applyAlignment="1" applyProtection="1">
      <alignment horizontal="center" vertical="center"/>
      <protection locked="0"/>
    </xf>
    <xf numFmtId="176" fontId="77" fillId="9" borderId="0" xfId="0" applyFont="1" applyFill="1" applyAlignment="1" applyProtection="1">
      <alignment horizontal="center" vertical="center"/>
      <protection locked="0"/>
    </xf>
    <xf numFmtId="176" fontId="77" fillId="2" borderId="8" xfId="0" applyFont="1" applyFill="1" applyBorder="1" applyAlignment="1" applyProtection="1">
      <alignment vertical="center" wrapText="1"/>
    </xf>
    <xf numFmtId="176" fontId="41" fillId="0" borderId="9" xfId="60" applyNumberFormat="1" applyFont="1" applyFill="1" applyBorder="1" applyAlignment="1" applyProtection="1">
      <alignment horizontal="center" vertical="center"/>
      <protection locked="0"/>
    </xf>
    <xf numFmtId="176" fontId="94" fillId="9" borderId="0" xfId="0" applyFont="1" applyFill="1" applyAlignment="1" applyProtection="1">
      <alignment horizontal="center" vertical="center"/>
      <protection locked="0"/>
    </xf>
    <xf numFmtId="176" fontId="77" fillId="2" borderId="10" xfId="0" applyFont="1" applyFill="1" applyBorder="1" applyAlignment="1" applyProtection="1">
      <alignment vertical="center" wrapText="1"/>
    </xf>
    <xf numFmtId="176" fontId="41" fillId="0" borderId="12" xfId="60" applyNumberFormat="1" applyFont="1" applyFill="1" applyBorder="1" applyAlignment="1" applyProtection="1">
      <alignment horizontal="center" vertical="center"/>
      <protection locked="0"/>
    </xf>
    <xf numFmtId="176" fontId="94" fillId="9" borderId="0" xfId="0" applyFont="1" applyFill="1" applyAlignment="1" applyProtection="1">
      <alignment horizontal="left" vertical="center"/>
    </xf>
    <xf numFmtId="176" fontId="77" fillId="2" borderId="75" xfId="0" applyFont="1" applyFill="1" applyBorder="1" applyAlignment="1" applyProtection="1">
      <alignment vertical="center" wrapText="1"/>
    </xf>
    <xf numFmtId="176" fontId="41" fillId="0" borderId="58" xfId="60" applyNumberFormat="1" applyFont="1" applyFill="1" applyBorder="1" applyAlignment="1" applyProtection="1">
      <alignment horizontal="center" vertical="center"/>
      <protection locked="0"/>
    </xf>
    <xf numFmtId="0" fontId="69" fillId="2" borderId="9" xfId="60" applyNumberFormat="1" applyFont="1" applyFill="1" applyBorder="1" applyAlignment="1" applyProtection="1">
      <alignment horizontal="center" vertical="center"/>
    </xf>
    <xf numFmtId="176" fontId="94" fillId="9" borderId="0" xfId="0" applyFont="1" applyFill="1" applyAlignment="1" applyProtection="1">
      <alignment horizontal="left" vertical="center"/>
      <protection locked="0"/>
    </xf>
    <xf numFmtId="176" fontId="77" fillId="2" borderId="20" xfId="0" applyFont="1" applyFill="1" applyBorder="1" applyAlignment="1" applyProtection="1">
      <alignment vertical="center" wrapText="1"/>
    </xf>
    <xf numFmtId="176" fontId="41" fillId="0" borderId="21" xfId="60" applyNumberFormat="1" applyFont="1" applyFill="1" applyBorder="1" applyAlignment="1" applyProtection="1">
      <alignment horizontal="center" vertical="center"/>
      <protection locked="0"/>
    </xf>
    <xf numFmtId="183" fontId="53" fillId="0" borderId="7" xfId="0" applyNumberFormat="1" applyFont="1" applyFill="1" applyBorder="1" applyAlignment="1" applyProtection="1">
      <alignment horizontal="center" vertical="center"/>
      <protection locked="0"/>
    </xf>
    <xf numFmtId="176" fontId="57" fillId="9" borderId="0" xfId="0" applyFont="1" applyFill="1" applyAlignment="1" applyProtection="1">
      <alignment vertical="center"/>
    </xf>
    <xf numFmtId="183" fontId="53" fillId="0" borderId="9" xfId="0" applyNumberFormat="1" applyFont="1" applyFill="1" applyBorder="1" applyAlignment="1" applyProtection="1">
      <alignment horizontal="center" vertical="center"/>
      <protection locked="0"/>
    </xf>
    <xf numFmtId="180" fontId="94" fillId="9" borderId="0" xfId="0" applyNumberFormat="1" applyFont="1" applyFill="1" applyAlignment="1" applyProtection="1">
      <alignment vertical="center"/>
      <protection locked="0"/>
    </xf>
    <xf numFmtId="183" fontId="53" fillId="0" borderId="12" xfId="0" applyNumberFormat="1" applyFont="1" applyFill="1" applyBorder="1" applyAlignment="1" applyProtection="1">
      <alignment horizontal="center" vertical="center"/>
      <protection locked="0"/>
    </xf>
    <xf numFmtId="183" fontId="53" fillId="0" borderId="58" xfId="0" applyNumberFormat="1" applyFont="1" applyFill="1" applyBorder="1" applyAlignment="1" applyProtection="1">
      <alignment horizontal="center" vertical="center"/>
      <protection locked="0"/>
    </xf>
    <xf numFmtId="183" fontId="53" fillId="2" borderId="21" xfId="0" applyNumberFormat="1" applyFont="1" applyFill="1" applyBorder="1" applyAlignment="1" applyProtection="1">
      <alignment horizontal="center" vertical="center"/>
    </xf>
    <xf numFmtId="176" fontId="57" fillId="9" borderId="0" xfId="0" applyFont="1" applyFill="1" applyAlignment="1" applyProtection="1">
      <alignment vertical="center"/>
      <protection locked="0"/>
    </xf>
    <xf numFmtId="176"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6"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3" fontId="58" fillId="9" borderId="0" xfId="0" applyNumberFormat="1" applyFont="1" applyFill="1" applyAlignment="1" applyProtection="1">
      <alignment horizontal="center" vertical="center"/>
    </xf>
    <xf numFmtId="179" fontId="77" fillId="2" borderId="21" xfId="0" applyNumberFormat="1" applyFont="1" applyFill="1" applyBorder="1" applyAlignment="1" applyProtection="1">
      <alignment horizontal="center" vertical="center"/>
    </xf>
    <xf numFmtId="176"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6"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6" fontId="114" fillId="9" borderId="0" xfId="0" applyFont="1" applyFill="1" applyAlignment="1" applyProtection="1">
      <alignment horizontal="left" vertical="center"/>
    </xf>
    <xf numFmtId="176"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6"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6" fontId="77"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7" fillId="0" borderId="8" xfId="0" applyFont="1" applyBorder="1" applyAlignment="1" applyProtection="1">
      <alignment horizontal="right" vertical="center" wrapText="1"/>
      <protection locked="0"/>
    </xf>
    <xf numFmtId="176" fontId="77" fillId="0" borderId="9" xfId="0" applyFont="1" applyBorder="1" applyAlignment="1" applyProtection="1">
      <alignment horizontal="center" vertical="center"/>
      <protection locked="0"/>
    </xf>
    <xf numFmtId="176" fontId="77" fillId="0" borderId="10" xfId="0" applyFont="1" applyBorder="1" applyAlignment="1" applyProtection="1">
      <alignment horizontal="right" vertical="center" wrapText="1"/>
      <protection locked="0"/>
    </xf>
    <xf numFmtId="176" fontId="77" fillId="0" borderId="12" xfId="0" applyFont="1" applyBorder="1" applyAlignment="1" applyProtection="1">
      <alignment vertical="center"/>
      <protection locked="0"/>
    </xf>
    <xf numFmtId="176" fontId="53" fillId="9" borderId="0" xfId="0" applyFont="1" applyFill="1" applyAlignment="1" applyProtection="1">
      <alignment vertical="center" wrapText="1"/>
      <protection locked="0"/>
    </xf>
    <xf numFmtId="176" fontId="53" fillId="2" borderId="0" xfId="0"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77" fillId="2" borderId="131" xfId="0" applyFont="1" applyFill="1" applyBorder="1" applyAlignment="1" applyProtection="1">
      <alignment vertical="center"/>
    </xf>
    <xf numFmtId="176" fontId="77" fillId="2" borderId="133" xfId="0" applyFont="1" applyFill="1" applyBorder="1" applyAlignment="1" applyProtection="1">
      <alignment horizontal="center" vertical="center"/>
    </xf>
    <xf numFmtId="176" fontId="77" fillId="2" borderId="128" xfId="0" applyFont="1" applyFill="1" applyBorder="1" applyAlignment="1" applyProtection="1">
      <alignment horizontal="center" vertical="center"/>
    </xf>
    <xf numFmtId="176" fontId="58" fillId="2" borderId="7" xfId="0" applyFont="1" applyFill="1" applyBorder="1" applyAlignment="1" applyProtection="1">
      <alignment horizontal="center" vertical="center" wrapText="1"/>
    </xf>
    <xf numFmtId="177" fontId="77" fillId="2" borderId="5" xfId="60" applyNumberFormat="1" applyFont="1" applyFill="1" applyBorder="1" applyAlignment="1" applyProtection="1">
      <alignment horizontal="center" vertical="center" wrapText="1"/>
    </xf>
    <xf numFmtId="176" fontId="77" fillId="2" borderId="6" xfId="60" applyFont="1" applyFill="1" applyBorder="1" applyAlignment="1" applyProtection="1">
      <alignment horizontal="center" vertical="center" wrapText="1"/>
    </xf>
    <xf numFmtId="180" fontId="77" fillId="2" borderId="6" xfId="60" applyNumberFormat="1" applyFont="1" applyFill="1" applyBorder="1" applyAlignment="1" applyProtection="1">
      <alignment horizontal="center" vertical="center" wrapText="1"/>
    </xf>
    <xf numFmtId="176" fontId="77" fillId="3" borderId="6" xfId="60" applyFont="1" applyFill="1" applyBorder="1" applyAlignment="1" applyProtection="1">
      <alignment horizontal="center" vertical="center" wrapText="1"/>
      <protection locked="0"/>
    </xf>
    <xf numFmtId="176" fontId="77" fillId="2" borderId="27" xfId="60" applyFont="1" applyFill="1" applyBorder="1" applyAlignment="1" applyProtection="1">
      <alignment horizontal="center" vertical="center" wrapText="1"/>
    </xf>
    <xf numFmtId="180" fontId="53" fillId="2" borderId="8" xfId="60" applyNumberFormat="1" applyFont="1" applyFill="1" applyBorder="1" applyAlignment="1" applyProtection="1">
      <alignment horizontal="center" vertical="center"/>
    </xf>
    <xf numFmtId="177" fontId="53" fillId="0" borderId="2" xfId="60" applyNumberFormat="1" applyFont="1" applyFill="1" applyBorder="1" applyAlignment="1" applyProtection="1">
      <alignment horizontal="center" vertical="center"/>
      <protection locked="0"/>
    </xf>
    <xf numFmtId="0" fontId="77" fillId="2" borderId="2" xfId="60" applyNumberFormat="1" applyFont="1" applyFill="1" applyBorder="1" applyAlignment="1" applyProtection="1">
      <alignment horizontal="center" vertical="center"/>
    </xf>
    <xf numFmtId="10" fontId="53" fillId="0" borderId="2" xfId="60" applyNumberFormat="1" applyFont="1" applyFill="1" applyBorder="1" applyAlignment="1" applyProtection="1">
      <alignment horizontal="center" vertical="center"/>
      <protection locked="0"/>
    </xf>
    <xf numFmtId="177" fontId="77" fillId="0" borderId="2" xfId="60" applyNumberFormat="1" applyFont="1" applyFill="1" applyBorder="1" applyAlignment="1" applyProtection="1">
      <alignment horizontal="center" vertical="center"/>
      <protection locked="0"/>
    </xf>
    <xf numFmtId="10" fontId="77" fillId="0" borderId="2" xfId="60" applyNumberFormat="1" applyFont="1" applyFill="1" applyBorder="1" applyAlignment="1" applyProtection="1">
      <alignment horizontal="center" vertical="center"/>
      <protection locked="0"/>
    </xf>
    <xf numFmtId="177" fontId="77" fillId="2" borderId="2" xfId="60" applyNumberFormat="1" applyFont="1" applyFill="1" applyBorder="1" applyAlignment="1" applyProtection="1">
      <alignment horizontal="center" vertical="center"/>
    </xf>
    <xf numFmtId="176" fontId="77" fillId="2" borderId="2" xfId="60" applyNumberFormat="1" applyFont="1" applyFill="1" applyBorder="1" applyAlignment="1" applyProtection="1">
      <alignment horizontal="center" vertical="center"/>
    </xf>
    <xf numFmtId="10" fontId="77" fillId="2" borderId="2" xfId="60" applyNumberFormat="1" applyFont="1" applyFill="1" applyBorder="1" applyAlignment="1" applyProtection="1">
      <alignment horizontal="center" vertical="center"/>
    </xf>
    <xf numFmtId="176" fontId="77" fillId="2" borderId="14" xfId="0" applyNumberFormat="1" applyFont="1" applyFill="1" applyBorder="1" applyAlignment="1" applyProtection="1">
      <alignment horizontal="center" vertical="center"/>
    </xf>
    <xf numFmtId="176" fontId="87" fillId="2" borderId="12" xfId="60"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176" fontId="77" fillId="2" borderId="11" xfId="60" applyNumberFormat="1" applyFont="1" applyFill="1" applyBorder="1" applyAlignment="1" applyProtection="1">
      <alignment horizontal="center" vertical="center"/>
    </xf>
    <xf numFmtId="0" fontId="77" fillId="2" borderId="11" xfId="60" applyNumberFormat="1" applyFont="1" applyFill="1" applyBorder="1" applyAlignment="1" applyProtection="1">
      <alignment horizontal="center" vertical="center"/>
    </xf>
    <xf numFmtId="10" fontId="77" fillId="2" borderId="11" xfId="60" applyNumberFormat="1" applyFont="1" applyFill="1" applyBorder="1" applyAlignment="1" applyProtection="1">
      <alignment horizontal="center" vertical="center"/>
    </xf>
    <xf numFmtId="176" fontId="53" fillId="9" borderId="0" xfId="0" applyFont="1" applyFill="1" applyAlignment="1" applyProtection="1">
      <alignment horizontal="center" vertical="center"/>
      <protection locked="0"/>
    </xf>
    <xf numFmtId="176" fontId="77" fillId="9" borderId="0" xfId="0" applyFont="1" applyFill="1" applyBorder="1" applyAlignment="1" applyProtection="1">
      <alignment vertical="center"/>
      <protection locked="0"/>
    </xf>
    <xf numFmtId="176" fontId="53" fillId="2" borderId="160" xfId="0" applyFont="1" applyFill="1" applyBorder="1" applyAlignment="1" applyProtection="1">
      <alignment horizontal="center" vertical="center"/>
    </xf>
    <xf numFmtId="176" fontId="77" fillId="2" borderId="18" xfId="0" applyFont="1" applyFill="1" applyBorder="1" applyAlignment="1" applyProtection="1">
      <alignment horizontal="center" vertical="center" wrapText="1"/>
    </xf>
    <xf numFmtId="176" fontId="77" fillId="2" borderId="5" xfId="60" applyFont="1" applyFill="1" applyBorder="1" applyAlignment="1" applyProtection="1">
      <alignment horizontal="center" vertical="center" wrapText="1"/>
    </xf>
    <xf numFmtId="176" fontId="77" fillId="2" borderId="26" xfId="60" applyFont="1" applyFill="1" applyBorder="1" applyAlignment="1" applyProtection="1">
      <alignment horizontal="center" vertical="center" wrapText="1"/>
    </xf>
    <xf numFmtId="176" fontId="77" fillId="2" borderId="34" xfId="60" applyFont="1" applyFill="1" applyBorder="1" applyAlignment="1" applyProtection="1">
      <alignment horizontal="center" vertical="center" wrapText="1"/>
    </xf>
    <xf numFmtId="176" fontId="77" fillId="2" borderId="5" xfId="0" applyFont="1" applyFill="1" applyBorder="1" applyAlignment="1" applyProtection="1">
      <alignment horizontal="center" vertical="center" wrapText="1"/>
    </xf>
    <xf numFmtId="176"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7" fillId="2" borderId="8" xfId="60" applyNumberFormat="1"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0" fontId="77" fillId="2" borderId="9" xfId="60" applyNumberFormat="1" applyFont="1" applyFill="1" applyBorder="1" applyAlignment="1" applyProtection="1">
      <alignment horizontal="center" vertical="center"/>
    </xf>
    <xf numFmtId="176" fontId="77" fillId="0" borderId="8" xfId="0" applyFont="1" applyBorder="1" applyAlignment="1" applyProtection="1">
      <alignment vertical="center"/>
      <protection locked="0"/>
    </xf>
    <xf numFmtId="183" fontId="77" fillId="0" borderId="2" xfId="0" applyNumberFormat="1" applyFont="1" applyBorder="1" applyAlignment="1" applyProtection="1">
      <alignment vertical="center"/>
      <protection locked="0"/>
    </xf>
    <xf numFmtId="183" fontId="77" fillId="2" borderId="14" xfId="0" applyNumberFormat="1" applyFont="1" applyFill="1" applyBorder="1" applyAlignment="1" applyProtection="1">
      <alignment horizontal="center" vertical="center"/>
    </xf>
    <xf numFmtId="176" fontId="53" fillId="0" borderId="8" xfId="0" applyFont="1" applyBorder="1" applyAlignment="1" applyProtection="1">
      <alignment vertical="center"/>
      <protection locked="0"/>
    </xf>
    <xf numFmtId="183"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6"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6" fontId="77" fillId="2" borderId="9" xfId="60" applyNumberFormat="1" applyFont="1" applyFill="1" applyBorder="1" applyAlignment="1" applyProtection="1">
      <alignment horizontal="center" vertical="center"/>
    </xf>
    <xf numFmtId="176" fontId="77" fillId="2" borderId="8" xfId="0" applyFont="1" applyFill="1" applyBorder="1" applyAlignment="1" applyProtection="1">
      <alignment vertical="center"/>
    </xf>
    <xf numFmtId="183" fontId="77" fillId="2" borderId="2" xfId="0" applyNumberFormat="1" applyFont="1" applyFill="1" applyBorder="1" applyAlignment="1" applyProtection="1">
      <alignment vertical="center"/>
    </xf>
    <xf numFmtId="183"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0" fontId="77" fillId="2" borderId="10" xfId="60" applyNumberFormat="1" applyFont="1" applyFill="1" applyBorder="1" applyAlignment="1" applyProtection="1">
      <alignment horizontal="center" vertical="center"/>
    </xf>
    <xf numFmtId="180" fontId="77" fillId="2" borderId="80" xfId="60" applyNumberFormat="1" applyFont="1" applyFill="1" applyBorder="1" applyAlignment="1" applyProtection="1">
      <alignment horizontal="center" vertical="center"/>
    </xf>
    <xf numFmtId="0" fontId="77" fillId="2" borderId="64" xfId="60" applyNumberFormat="1" applyFont="1" applyFill="1" applyBorder="1" applyAlignment="1" applyProtection="1">
      <alignment horizontal="center" vertical="center"/>
    </xf>
    <xf numFmtId="176" fontId="77" fillId="2" borderId="10" xfId="0" applyFont="1" applyFill="1" applyBorder="1" applyAlignment="1" applyProtection="1">
      <alignment vertical="center"/>
    </xf>
    <xf numFmtId="176" fontId="77" fillId="2" borderId="11" xfId="0" applyFont="1" applyFill="1" applyBorder="1" applyAlignment="1" applyProtection="1">
      <alignment vertical="center"/>
    </xf>
    <xf numFmtId="176" fontId="77" fillId="2" borderId="28" xfId="0" applyFont="1" applyFill="1" applyBorder="1" applyAlignment="1" applyProtection="1">
      <alignment vertical="center"/>
    </xf>
    <xf numFmtId="176" fontId="77" fillId="2" borderId="26" xfId="0" applyFont="1" applyFill="1" applyBorder="1" applyAlignment="1" applyProtection="1">
      <alignment vertical="center"/>
    </xf>
    <xf numFmtId="176" fontId="77" fillId="2" borderId="67" xfId="0" applyFont="1" applyFill="1" applyBorder="1" applyAlignment="1" applyProtection="1">
      <alignment vertical="center"/>
    </xf>
    <xf numFmtId="176" fontId="77" fillId="2" borderId="7" xfId="0" applyFont="1" applyFill="1" applyBorder="1" applyAlignment="1" applyProtection="1">
      <alignment horizontal="center" vertical="center" wrapText="1"/>
    </xf>
    <xf numFmtId="176" fontId="77" fillId="2" borderId="121" xfId="0" applyFont="1" applyFill="1" applyBorder="1" applyAlignment="1" applyProtection="1">
      <alignment horizontal="center" vertical="center" wrapText="1"/>
    </xf>
    <xf numFmtId="183" fontId="77" fillId="0" borderId="9" xfId="0" applyNumberFormat="1" applyFont="1" applyBorder="1" applyAlignment="1" applyProtection="1">
      <alignment vertical="center"/>
      <protection locked="0"/>
    </xf>
    <xf numFmtId="176" fontId="77" fillId="0" borderId="15" xfId="0" applyFont="1" applyBorder="1" applyAlignment="1" applyProtection="1">
      <alignment vertical="center"/>
      <protection locked="0"/>
    </xf>
    <xf numFmtId="183"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6" fontId="77" fillId="0" borderId="2" xfId="0" applyFont="1" applyBorder="1" applyAlignment="1" applyProtection="1">
      <alignment horizontal="center" vertical="center"/>
      <protection locked="0"/>
    </xf>
    <xf numFmtId="183" fontId="53" fillId="0" borderId="9" xfId="0" applyNumberFormat="1" applyFont="1" applyBorder="1" applyAlignment="1" applyProtection="1">
      <alignment vertical="center"/>
      <protection locked="0"/>
    </xf>
    <xf numFmtId="176" fontId="77" fillId="0" borderId="15" xfId="0" applyFont="1" applyBorder="1" applyAlignment="1" applyProtection="1">
      <alignment horizontal="center" vertical="center"/>
      <protection locked="0"/>
    </xf>
    <xf numFmtId="183" fontId="77" fillId="2" borderId="9" xfId="0" applyNumberFormat="1" applyFont="1" applyFill="1" applyBorder="1" applyAlignment="1" applyProtection="1">
      <alignment vertical="center"/>
    </xf>
    <xf numFmtId="176" fontId="77" fillId="2" borderId="15"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176" fontId="77" fillId="2" borderId="8" xfId="0" applyFont="1" applyFill="1" applyBorder="1" applyAlignment="1" applyProtection="1">
      <alignment horizontal="center" vertical="center"/>
    </xf>
    <xf numFmtId="176" fontId="77" fillId="2" borderId="2" xfId="0" applyFont="1" applyFill="1" applyBorder="1" applyAlignment="1" applyProtection="1">
      <alignment horizontal="center" vertical="center"/>
    </xf>
    <xf numFmtId="176" fontId="77" fillId="2" borderId="12" xfId="0" applyFont="1" applyFill="1" applyBorder="1" applyAlignment="1" applyProtection="1">
      <alignment vertical="center"/>
    </xf>
    <xf numFmtId="176" fontId="77" fillId="2" borderId="80" xfId="0" applyFont="1" applyFill="1" applyBorder="1" applyAlignment="1" applyProtection="1">
      <alignment vertical="center"/>
    </xf>
    <xf numFmtId="176" fontId="77" fillId="2" borderId="79" xfId="0" applyFont="1" applyFill="1" applyBorder="1" applyAlignment="1" applyProtection="1">
      <alignment vertical="center"/>
    </xf>
    <xf numFmtId="176" fontId="77" fillId="2" borderId="15" xfId="0" applyFont="1" applyFill="1" applyBorder="1" applyAlignment="1" applyProtection="1">
      <alignment horizontal="center" vertical="center" wrapText="1"/>
      <protection locked="0"/>
    </xf>
    <xf numFmtId="176" fontId="77" fillId="3" borderId="15" xfId="0" applyFont="1" applyFill="1" applyBorder="1" applyAlignment="1" applyProtection="1">
      <alignment horizontal="center" vertical="center"/>
      <protection locked="0"/>
    </xf>
    <xf numFmtId="176"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79" fontId="77" fillId="0" borderId="2" xfId="0" applyNumberFormat="1" applyFont="1" applyBorder="1" applyAlignment="1" applyProtection="1">
      <alignment horizontal="center" vertical="center"/>
      <protection locked="0"/>
    </xf>
    <xf numFmtId="183" fontId="77" fillId="0" borderId="9" xfId="0" applyNumberFormat="1" applyFont="1" applyBorder="1" applyAlignment="1" applyProtection="1">
      <alignment horizontal="center" vertical="center"/>
      <protection locked="0"/>
    </xf>
    <xf numFmtId="176" fontId="58" fillId="14" borderId="15" xfId="0" applyFont="1" applyFill="1" applyBorder="1" applyAlignment="1" applyProtection="1">
      <alignment horizontal="center" vertical="center"/>
      <protection locked="0"/>
    </xf>
    <xf numFmtId="176"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79" fontId="53" fillId="0" borderId="2" xfId="0" applyNumberFormat="1" applyFont="1" applyBorder="1" applyAlignment="1" applyProtection="1">
      <alignment horizontal="center" vertical="center"/>
      <protection locked="0"/>
    </xf>
    <xf numFmtId="183"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79" fontId="77" fillId="0" borderId="2" xfId="0" applyNumberFormat="1" applyFont="1" applyFill="1" applyBorder="1" applyAlignment="1" applyProtection="1">
      <alignment horizontal="center" vertical="center"/>
      <protection locked="0"/>
    </xf>
    <xf numFmtId="183" fontId="77" fillId="0" borderId="9" xfId="0" applyNumberFormat="1" applyFont="1" applyFill="1" applyBorder="1" applyAlignment="1" applyProtection="1">
      <alignment horizontal="center" vertical="center"/>
      <protection locked="0"/>
    </xf>
    <xf numFmtId="176" fontId="58" fillId="2" borderId="9" xfId="0" applyFont="1" applyFill="1" applyBorder="1" applyAlignment="1" applyProtection="1">
      <alignment horizontal="center" vertical="center"/>
    </xf>
    <xf numFmtId="176" fontId="77" fillId="2" borderId="15" xfId="0" applyFont="1" applyFill="1" applyBorder="1" applyAlignment="1" applyProtection="1">
      <alignment horizontal="center" vertical="center"/>
    </xf>
    <xf numFmtId="176"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79" fontId="77" fillId="2" borderId="2" xfId="0" applyNumberFormat="1" applyFont="1" applyFill="1" applyBorder="1" applyAlignment="1" applyProtection="1">
      <alignment horizontal="center" vertical="center"/>
    </xf>
    <xf numFmtId="183" fontId="77" fillId="2" borderId="9" xfId="0" applyNumberFormat="1" applyFont="1" applyFill="1" applyBorder="1" applyAlignment="1" applyProtection="1">
      <alignment horizontal="center" vertical="center"/>
    </xf>
    <xf numFmtId="176" fontId="77" fillId="0" borderId="0" xfId="0" applyFont="1" applyAlignment="1" applyProtection="1">
      <alignment vertical="center"/>
      <protection locked="0"/>
    </xf>
    <xf numFmtId="176" fontId="77" fillId="2" borderId="2" xfId="0" applyFont="1" applyFill="1" applyBorder="1" applyAlignment="1" applyProtection="1">
      <alignment vertical="center" wrapText="1"/>
    </xf>
    <xf numFmtId="176" fontId="77" fillId="2" borderId="2" xfId="0" applyFont="1" applyFill="1" applyBorder="1" applyAlignment="1" applyProtection="1">
      <alignment horizontal="right" vertical="center" wrapText="1"/>
    </xf>
    <xf numFmtId="176" fontId="77" fillId="2" borderId="2" xfId="60" applyFont="1" applyFill="1" applyBorder="1" applyAlignment="1" applyProtection="1">
      <alignment horizontal="center" vertical="center" wrapText="1"/>
    </xf>
    <xf numFmtId="176"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6" fontId="53" fillId="0" borderId="0" xfId="0" applyFont="1" applyFill="1" applyAlignment="1" applyProtection="1">
      <alignment vertical="center"/>
      <protection locked="0"/>
    </xf>
    <xf numFmtId="176"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6" fontId="53" fillId="12" borderId="0" xfId="0" applyFont="1" applyFill="1" applyAlignment="1" applyProtection="1">
      <alignment horizontal="center" vertical="center"/>
      <protection locked="0"/>
    </xf>
    <xf numFmtId="176"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6"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60"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121" xfId="0" applyNumberFormat="1" applyFont="1" applyFill="1" applyBorder="1" applyAlignment="1" applyProtection="1">
      <alignment horizontal="center" vertical="center"/>
    </xf>
    <xf numFmtId="0" fontId="87" fillId="2" borderId="6" xfId="0" applyNumberFormat="1" applyFont="1" applyFill="1" applyBorder="1" applyAlignment="1" applyProtection="1">
      <alignment horizontal="center" vertical="center"/>
    </xf>
    <xf numFmtId="0" fontId="70" fillId="2" borderId="7" xfId="60"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7" xfId="60"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60" applyNumberFormat="1" applyFont="1" applyFill="1" applyBorder="1" applyAlignment="1" applyProtection="1">
      <alignment horizontal="center" vertical="center"/>
    </xf>
    <xf numFmtId="0" fontId="70" fillId="2" borderId="56" xfId="60" applyNumberFormat="1" applyFont="1" applyFill="1" applyBorder="1" applyAlignment="1" applyProtection="1">
      <alignment horizontal="center" vertical="center"/>
    </xf>
    <xf numFmtId="0" fontId="70" fillId="2" borderId="57" xfId="60"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60"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60"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60" applyNumberFormat="1" applyFont="1" applyFill="1" applyBorder="1" applyAlignment="1" applyProtection="1">
      <alignment vertical="center"/>
      <protection locked="0" hidden="1"/>
    </xf>
    <xf numFmtId="0" fontId="77" fillId="0" borderId="2" xfId="60"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60"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2" borderId="19"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87" fillId="14" borderId="9" xfId="0" applyNumberFormat="1" applyFont="1" applyFill="1" applyBorder="1" applyAlignment="1" applyProtection="1">
      <alignment horizontal="center" vertical="center"/>
      <protection locked="0"/>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6" fontId="53" fillId="0" borderId="0" xfId="0" applyFont="1" applyAlignment="1" applyProtection="1">
      <alignment horizontal="center" vertical="center" wrapText="1"/>
    </xf>
    <xf numFmtId="176" fontId="53" fillId="0" borderId="0" xfId="0" applyFont="1" applyFill="1" applyAlignment="1" applyProtection="1">
      <alignment horizontal="center" vertical="center" wrapText="1"/>
    </xf>
    <xf numFmtId="178" fontId="53" fillId="0" borderId="0" xfId="0" applyNumberFormat="1" applyFont="1" applyAlignment="1" applyProtection="1">
      <alignment horizontal="center" vertical="center" wrapText="1"/>
    </xf>
    <xf numFmtId="176" fontId="77" fillId="0" borderId="0" xfId="0" applyFont="1" applyFill="1" applyAlignment="1" applyProtection="1">
      <alignment horizontal="center" vertical="center" wrapText="1"/>
    </xf>
    <xf numFmtId="176" fontId="81" fillId="0" borderId="0" xfId="0" applyFont="1" applyAlignment="1" applyProtection="1">
      <alignment horizontal="center" vertical="center" wrapText="1"/>
    </xf>
    <xf numFmtId="176" fontId="77" fillId="0" borderId="0" xfId="0" applyFont="1" applyAlignment="1" applyProtection="1">
      <alignment horizontal="center" vertical="center" wrapText="1"/>
    </xf>
    <xf numFmtId="176" fontId="104" fillId="2" borderId="0" xfId="0" applyFont="1" applyFill="1" applyAlignment="1" applyProtection="1">
      <alignment horizontal="left" vertical="center"/>
    </xf>
    <xf numFmtId="176" fontId="77" fillId="2" borderId="0" xfId="0" applyFont="1" applyFill="1" applyAlignment="1" applyProtection="1">
      <alignment horizontal="center" vertical="center" wrapText="1"/>
    </xf>
    <xf numFmtId="176" fontId="53" fillId="2" borderId="2" xfId="0" applyFont="1" applyFill="1" applyBorder="1" applyAlignment="1" applyProtection="1">
      <alignment horizontal="center" vertical="center" wrapText="1"/>
    </xf>
    <xf numFmtId="176" fontId="53" fillId="2" borderId="0" xfId="0" applyFont="1" applyFill="1" applyAlignment="1" applyProtection="1">
      <alignment horizontal="center" vertical="center" wrapText="1"/>
    </xf>
    <xf numFmtId="176" fontId="53" fillId="2" borderId="0" xfId="0" applyFont="1" applyFill="1" applyBorder="1" applyAlignment="1" applyProtection="1">
      <alignment horizontal="center" vertical="center"/>
    </xf>
    <xf numFmtId="176"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6" fontId="53" fillId="14" borderId="2" xfId="0" applyFont="1" applyFill="1" applyBorder="1" applyAlignment="1" applyProtection="1">
      <alignment horizontal="center" vertical="center" wrapText="1"/>
      <protection locked="0"/>
    </xf>
    <xf numFmtId="176"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6" fontId="53" fillId="2" borderId="14" xfId="0" applyFont="1" applyFill="1" applyBorder="1" applyAlignment="1" applyProtection="1">
      <alignment horizontal="left" vertical="center"/>
    </xf>
    <xf numFmtId="176" fontId="53" fillId="2" borderId="16" xfId="0" applyFont="1" applyFill="1" applyBorder="1" applyAlignment="1" applyProtection="1">
      <alignment horizontal="center" vertical="center" wrapText="1"/>
    </xf>
    <xf numFmtId="176" fontId="53" fillId="2" borderId="15" xfId="0" applyFont="1" applyFill="1" applyBorder="1" applyAlignment="1" applyProtection="1">
      <alignment horizontal="center" vertical="center" wrapText="1"/>
    </xf>
    <xf numFmtId="178" fontId="53" fillId="2" borderId="2" xfId="0" applyNumberFormat="1" applyFont="1" applyFill="1" applyBorder="1" applyAlignment="1" applyProtection="1">
      <alignment horizontal="center" vertical="center" wrapText="1"/>
    </xf>
    <xf numFmtId="178" fontId="53" fillId="2" borderId="16" xfId="0" applyNumberFormat="1" applyFont="1" applyFill="1" applyBorder="1" applyAlignment="1" applyProtection="1">
      <alignment horizontal="center" vertical="center" wrapText="1"/>
    </xf>
    <xf numFmtId="178" fontId="53" fillId="2" borderId="15" xfId="0" applyNumberFormat="1" applyFont="1" applyFill="1" applyBorder="1" applyAlignment="1" applyProtection="1">
      <alignment horizontal="center" vertical="center" wrapText="1"/>
    </xf>
    <xf numFmtId="178" fontId="53" fillId="2" borderId="13" xfId="0" applyNumberFormat="1"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wrapText="1"/>
    </xf>
    <xf numFmtId="176" fontId="101" fillId="2" borderId="68" xfId="0" applyFont="1" applyFill="1" applyBorder="1" applyAlignment="1" applyProtection="1">
      <alignment horizontal="center" vertical="center" wrapText="1"/>
    </xf>
    <xf numFmtId="176" fontId="53" fillId="2" borderId="66" xfId="0" applyFont="1" applyFill="1" applyBorder="1" applyAlignment="1" applyProtection="1">
      <alignment horizontal="left" vertical="center"/>
    </xf>
    <xf numFmtId="176" fontId="53" fillId="2" borderId="104" xfId="0"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xf>
    <xf numFmtId="176"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6"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6"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6" fontId="53" fillId="2" borderId="82" xfId="0" applyFont="1" applyFill="1" applyBorder="1" applyAlignment="1" applyProtection="1">
      <alignment horizontal="center" vertical="center" wrapText="1"/>
    </xf>
    <xf numFmtId="176"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6" fontId="53" fillId="0" borderId="2" xfId="0" applyFont="1" applyBorder="1" applyAlignment="1" applyProtection="1">
      <alignment horizontal="center" vertical="center" wrapText="1"/>
      <protection locked="0"/>
    </xf>
    <xf numFmtId="176" fontId="53" fillId="14" borderId="17" xfId="0" applyFont="1" applyFill="1" applyBorder="1" applyAlignment="1" applyProtection="1">
      <alignment horizontal="center" vertical="center" wrapText="1"/>
      <protection locked="0"/>
    </xf>
    <xf numFmtId="178" fontId="53" fillId="0" borderId="17" xfId="0" applyNumberFormat="1" applyFont="1" applyFill="1" applyBorder="1" applyAlignment="1" applyProtection="1">
      <alignment horizontal="center" vertical="center" wrapText="1"/>
      <protection locked="0"/>
    </xf>
    <xf numFmtId="178" fontId="53" fillId="2" borderId="17" xfId="0" applyNumberFormat="1" applyFont="1" applyFill="1" applyBorder="1" applyAlignment="1" applyProtection="1">
      <alignment horizontal="center" vertical="center" wrapText="1"/>
    </xf>
    <xf numFmtId="176" fontId="53" fillId="0" borderId="2" xfId="0" applyFont="1" applyBorder="1" applyAlignment="1" applyProtection="1">
      <alignment vertical="center" wrapText="1"/>
      <protection locked="0"/>
    </xf>
    <xf numFmtId="176" fontId="77" fillId="0" borderId="2" xfId="0" applyFont="1" applyBorder="1" applyAlignment="1" applyProtection="1">
      <alignment horizontal="center" vertical="center" wrapText="1"/>
      <protection locked="0"/>
    </xf>
    <xf numFmtId="176" fontId="77" fillId="0" borderId="17" xfId="0" applyFont="1" applyBorder="1" applyAlignment="1" applyProtection="1">
      <alignment horizontal="center" vertical="center" wrapText="1"/>
      <protection locked="0"/>
    </xf>
    <xf numFmtId="176" fontId="77" fillId="3" borderId="17" xfId="0" applyFont="1" applyFill="1" applyBorder="1" applyAlignment="1" applyProtection="1">
      <alignment horizontal="center" vertical="center" wrapText="1"/>
      <protection locked="0"/>
    </xf>
    <xf numFmtId="178" fontId="77" fillId="2" borderId="2" xfId="0" applyNumberFormat="1" applyFont="1" applyFill="1" applyBorder="1" applyAlignment="1" applyProtection="1">
      <alignment horizontal="center" vertical="center" wrapText="1"/>
    </xf>
    <xf numFmtId="178" fontId="77" fillId="0" borderId="17" xfId="0" applyNumberFormat="1" applyFont="1" applyFill="1" applyBorder="1" applyAlignment="1" applyProtection="1">
      <alignment horizontal="center" vertical="center" wrapText="1"/>
      <protection locked="0"/>
    </xf>
    <xf numFmtId="178" fontId="77" fillId="2" borderId="17" xfId="0" applyNumberFormat="1" applyFont="1" applyFill="1" applyBorder="1" applyAlignment="1" applyProtection="1">
      <alignment horizontal="center" vertical="center" wrapText="1"/>
    </xf>
    <xf numFmtId="178" fontId="77" fillId="2" borderId="13" xfId="0" applyNumberFormat="1" applyFont="1" applyFill="1" applyBorder="1" applyAlignment="1" applyProtection="1">
      <alignment horizontal="center" vertical="center" wrapText="1"/>
    </xf>
    <xf numFmtId="176" fontId="54" fillId="2" borderId="16" xfId="0" applyFont="1" applyFill="1" applyBorder="1" applyAlignment="1" applyProtection="1">
      <alignment horizontal="center" vertical="center"/>
    </xf>
    <xf numFmtId="176" fontId="53" fillId="2" borderId="16" xfId="0" applyFont="1" applyFill="1" applyBorder="1" applyAlignment="1" applyProtection="1">
      <alignment horizontal="center" vertical="center"/>
    </xf>
    <xf numFmtId="176" fontId="53" fillId="14" borderId="82" xfId="0" applyFont="1" applyFill="1" applyBorder="1" applyAlignment="1" applyProtection="1">
      <alignment horizontal="left" vertical="center"/>
      <protection locked="0"/>
    </xf>
    <xf numFmtId="176" fontId="53" fillId="2" borderId="16" xfId="0" applyFont="1" applyFill="1" applyBorder="1" applyAlignment="1" applyProtection="1">
      <alignment horizontal="left" vertical="center"/>
    </xf>
    <xf numFmtId="176" fontId="53" fillId="14" borderId="14" xfId="0" applyFont="1" applyFill="1" applyBorder="1" applyAlignment="1" applyProtection="1">
      <alignment horizontal="left" vertical="center"/>
      <protection locked="0"/>
    </xf>
    <xf numFmtId="176" fontId="53" fillId="14" borderId="16" xfId="0" applyFont="1" applyFill="1" applyBorder="1" applyAlignment="1" applyProtection="1">
      <alignment horizontal="left" vertical="center"/>
      <protection locked="0"/>
    </xf>
    <xf numFmtId="176" fontId="54" fillId="2" borderId="15" xfId="0" applyFont="1" applyFill="1" applyBorder="1" applyAlignment="1" applyProtection="1">
      <alignment horizontal="left" vertical="center"/>
    </xf>
    <xf numFmtId="178" fontId="53" fillId="0" borderId="2" xfId="0" applyNumberFormat="1" applyFont="1" applyBorder="1" applyAlignment="1" applyProtection="1">
      <alignment vertical="center" wrapText="1"/>
      <protection locked="0"/>
    </xf>
    <xf numFmtId="178" fontId="77"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6" fontId="54" fillId="2" borderId="16" xfId="0" applyFont="1" applyFill="1" applyBorder="1" applyAlignment="1" applyProtection="1">
      <alignment horizontal="left" vertical="center"/>
    </xf>
    <xf numFmtId="176"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6" fontId="54" fillId="2" borderId="104" xfId="0"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3" fillId="2" borderId="15" xfId="0" applyFont="1" applyFill="1" applyBorder="1" applyAlignment="1" applyProtection="1">
      <alignment horizontal="left" vertical="center"/>
    </xf>
    <xf numFmtId="176" fontId="53" fillId="2" borderId="15" xfId="0" applyFont="1" applyFill="1" applyBorder="1" applyAlignment="1" applyProtection="1">
      <alignment horizontal="right" vertical="center"/>
    </xf>
    <xf numFmtId="176" fontId="57" fillId="2" borderId="14" xfId="0" applyFont="1" applyFill="1" applyBorder="1" applyAlignment="1" applyProtection="1">
      <alignment horizontal="left" vertical="center"/>
    </xf>
    <xf numFmtId="176"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8" fontId="53" fillId="0" borderId="2" xfId="0" applyNumberFormat="1" applyFont="1" applyBorder="1" applyAlignment="1" applyProtection="1">
      <alignment horizontal="center" vertical="center" wrapText="1"/>
      <protection locked="0"/>
    </xf>
    <xf numFmtId="178" fontId="77"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3" fillId="2" borderId="14" xfId="0" applyFont="1" applyFill="1" applyBorder="1" applyAlignment="1" applyProtection="1">
      <alignment horizontal="center" vertical="center"/>
    </xf>
    <xf numFmtId="176" fontId="48" fillId="2" borderId="0" xfId="0" applyFont="1" applyFill="1" applyAlignment="1" applyProtection="1">
      <alignment horizontal="left" vertical="center"/>
    </xf>
    <xf numFmtId="178" fontId="53" fillId="2" borderId="14" xfId="0" applyNumberFormat="1" applyFont="1" applyFill="1" applyBorder="1" applyAlignment="1" applyProtection="1">
      <alignment horizontal="center" vertical="center" wrapText="1"/>
    </xf>
    <xf numFmtId="176" fontId="53" fillId="2" borderId="13" xfId="0" applyFont="1" applyFill="1" applyBorder="1" applyAlignment="1" applyProtection="1">
      <alignment horizontal="center" vertical="center" wrapText="1"/>
    </xf>
    <xf numFmtId="176"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6" fontId="53" fillId="2" borderId="31" xfId="0" applyFont="1" applyFill="1" applyBorder="1" applyAlignment="1" applyProtection="1">
      <alignment horizontal="center" vertical="center" wrapText="1"/>
    </xf>
    <xf numFmtId="178" fontId="53" fillId="0" borderId="17" xfId="0" applyNumberFormat="1" applyFont="1" applyBorder="1" applyAlignment="1" applyProtection="1">
      <alignment horizontal="center" vertical="center" wrapText="1"/>
      <protection locked="0"/>
    </xf>
    <xf numFmtId="176" fontId="53" fillId="0" borderId="82" xfId="0" applyFont="1" applyBorder="1" applyAlignment="1" applyProtection="1">
      <alignment horizontal="center" vertical="center" wrapText="1"/>
      <protection locked="0"/>
    </xf>
    <xf numFmtId="178" fontId="77" fillId="0" borderId="17" xfId="0" applyNumberFormat="1" applyFont="1" applyBorder="1" applyAlignment="1" applyProtection="1">
      <alignment horizontal="center" vertical="center" wrapText="1"/>
      <protection locked="0"/>
    </xf>
    <xf numFmtId="176" fontId="77" fillId="0" borderId="82" xfId="0" applyFont="1" applyBorder="1" applyAlignment="1" applyProtection="1">
      <alignment horizontal="center" vertical="center" wrapText="1"/>
      <protection locked="0"/>
    </xf>
    <xf numFmtId="176" fontId="77" fillId="2" borderId="2" xfId="0" applyFont="1" applyFill="1" applyBorder="1" applyAlignment="1" applyProtection="1">
      <alignment horizontal="center" vertical="center" wrapText="1"/>
    </xf>
    <xf numFmtId="176" fontId="53" fillId="2" borderId="66" xfId="0" applyFont="1" applyFill="1" applyBorder="1" applyAlignment="1" applyProtection="1">
      <alignment horizontal="center" vertical="center" wrapText="1"/>
    </xf>
    <xf numFmtId="176" fontId="28" fillId="2" borderId="2" xfId="0" applyFont="1" applyFill="1" applyBorder="1" applyAlignment="1" applyProtection="1">
      <alignment horizontal="left" vertical="center" wrapText="1"/>
      <protection locked="0"/>
    </xf>
    <xf numFmtId="176" fontId="53" fillId="11" borderId="14" xfId="0" applyFont="1" applyFill="1" applyBorder="1" applyAlignment="1" applyProtection="1">
      <alignment horizontal="center" vertical="center" wrapText="1"/>
      <protection locked="0"/>
    </xf>
    <xf numFmtId="178" fontId="53" fillId="0" borderId="2" xfId="0" applyNumberFormat="1" applyFont="1" applyFill="1" applyBorder="1" applyAlignment="1" applyProtection="1">
      <alignment horizontal="center" vertical="center" wrapText="1"/>
      <protection locked="0"/>
    </xf>
    <xf numFmtId="178" fontId="53" fillId="2" borderId="0" xfId="0" applyNumberFormat="1" applyFont="1" applyFill="1" applyAlignment="1" applyProtection="1">
      <alignment horizontal="center" vertical="center" wrapText="1"/>
    </xf>
    <xf numFmtId="176" fontId="53" fillId="2" borderId="5" xfId="0" applyFont="1" applyFill="1" applyBorder="1" applyAlignment="1" applyProtection="1">
      <alignment horizontal="center" vertical="center" wrapText="1"/>
    </xf>
    <xf numFmtId="178" fontId="53" fillId="2" borderId="6" xfId="0" applyNumberFormat="1" applyFont="1" applyFill="1" applyBorder="1" applyAlignment="1" applyProtection="1">
      <alignment horizontal="center" vertical="center" wrapText="1"/>
    </xf>
    <xf numFmtId="178"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6" fontId="54" fillId="2" borderId="106" xfId="0"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3" fillId="2" borderId="127" xfId="0" applyFont="1" applyFill="1" applyBorder="1" applyAlignment="1" applyProtection="1">
      <alignment horizontal="center" vertical="center"/>
    </xf>
    <xf numFmtId="176" fontId="53" fillId="2" borderId="17" xfId="0" applyFont="1" applyFill="1" applyBorder="1" applyAlignment="1" applyProtection="1">
      <alignment horizontal="center" vertical="center"/>
    </xf>
    <xf numFmtId="176" fontId="53" fillId="2" borderId="1" xfId="0" applyFont="1" applyFill="1" applyBorder="1" applyAlignment="1" applyProtection="1">
      <alignment horizontal="center" vertical="center" wrapText="1"/>
    </xf>
    <xf numFmtId="176"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6" fontId="77"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6" fontId="53" fillId="2" borderId="13" xfId="0" applyFont="1" applyFill="1" applyBorder="1" applyAlignment="1" applyProtection="1">
      <alignment horizontal="center" vertical="center"/>
    </xf>
    <xf numFmtId="178" fontId="53" fillId="2" borderId="7" xfId="0" applyNumberFormat="1" applyFont="1" applyFill="1" applyBorder="1" applyAlignment="1" applyProtection="1">
      <alignment horizontal="center" vertical="center" wrapText="1"/>
    </xf>
    <xf numFmtId="178" fontId="53" fillId="2" borderId="9" xfId="0" applyNumberFormat="1" applyFont="1" applyFill="1" applyBorder="1" applyAlignment="1" applyProtection="1">
      <alignment horizontal="center" vertical="center" wrapText="1"/>
    </xf>
    <xf numFmtId="176" fontId="53" fillId="2" borderId="87" xfId="0" applyFont="1" applyFill="1" applyBorder="1" applyAlignment="1" applyProtection="1">
      <alignment horizontal="center" vertical="center" wrapText="1"/>
    </xf>
    <xf numFmtId="176" fontId="53" fillId="2" borderId="60" xfId="0" applyFont="1" applyFill="1" applyBorder="1" applyAlignment="1" applyProtection="1">
      <alignment horizontal="center" vertical="center"/>
    </xf>
    <xf numFmtId="176" fontId="53" fillId="2" borderId="58" xfId="0" applyFont="1" applyFill="1" applyBorder="1" applyAlignment="1" applyProtection="1">
      <alignment horizontal="center" vertical="center"/>
    </xf>
    <xf numFmtId="176" fontId="53" fillId="2" borderId="21" xfId="0" applyFont="1" applyFill="1" applyBorder="1" applyAlignment="1" applyProtection="1">
      <alignment horizontal="center" vertical="center"/>
    </xf>
    <xf numFmtId="178" fontId="77" fillId="2" borderId="9" xfId="0" applyNumberFormat="1"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176" fontId="77" fillId="0" borderId="2" xfId="0" applyFont="1" applyBorder="1" applyAlignment="1" applyProtection="1">
      <alignment vertical="center" wrapText="1"/>
      <protection locked="0"/>
    </xf>
    <xf numFmtId="176" fontId="77" fillId="0" borderId="14" xfId="0" applyFont="1" applyBorder="1" applyAlignment="1" applyProtection="1">
      <alignment horizontal="center" vertical="center" wrapText="1"/>
      <protection locked="0"/>
    </xf>
    <xf numFmtId="176" fontId="77" fillId="0" borderId="0" xfId="0" applyFont="1" applyFill="1" applyBorder="1" applyAlignment="1" applyProtection="1">
      <alignment horizontal="center" vertical="center" wrapText="1"/>
    </xf>
    <xf numFmtId="178" fontId="77" fillId="0" borderId="0" xfId="0" applyNumberFormat="1" applyFont="1" applyFill="1" applyBorder="1" applyAlignment="1" applyProtection="1">
      <alignment horizontal="center" vertical="center" wrapText="1"/>
    </xf>
    <xf numFmtId="176"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17" borderId="13" xfId="0" applyNumberFormat="1" applyFont="1" applyFill="1" applyBorder="1" applyAlignment="1" applyProtection="1">
      <alignment horizontal="center"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17" borderId="147" xfId="0" applyNumberFormat="1" applyFont="1" applyFill="1" applyBorder="1" applyAlignment="1" applyProtection="1">
      <alignment horizontal="center"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0" fontId="53" fillId="3" borderId="2" xfId="60"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120"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131"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45" fillId="0" borderId="15" xfId="0" applyNumberFormat="1" applyFont="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68" xfId="0" applyNumberFormat="1" applyFont="1" applyFill="1" applyBorder="1" applyAlignment="1" applyProtection="1">
      <alignment horizontal="center"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NumberFormat="1" applyFont="1" applyFill="1" applyAlignment="1">
      <alignment horizontal="left" vertical="center"/>
    </xf>
    <xf numFmtId="0" fontId="122" fillId="0" borderId="0" xfId="63" applyNumberFormat="1" applyFont="1" applyAlignment="1">
      <alignment horizontal="left" vertical="center"/>
    </xf>
    <xf numFmtId="0" fontId="121"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3" borderId="13" xfId="63" applyNumberFormat="1" applyFont="1" applyFill="1" applyBorder="1" applyAlignment="1">
      <alignment horizontal="left" vertical="center"/>
    </xf>
    <xf numFmtId="0" fontId="127" fillId="0" borderId="2" xfId="63" applyNumberFormat="1" applyFont="1" applyBorder="1" applyAlignment="1">
      <alignment horizontal="left" vertical="center"/>
    </xf>
    <xf numFmtId="0" fontId="127" fillId="0" borderId="14" xfId="63" applyNumberFormat="1" applyFont="1" applyBorder="1" applyAlignment="1">
      <alignment horizontal="left" vertical="center"/>
    </xf>
    <xf numFmtId="0" fontId="126" fillId="3" borderId="171" xfId="63" applyNumberFormat="1" applyFont="1" applyFill="1" applyBorder="1" applyAlignment="1">
      <alignment horizontal="left" vertical="center"/>
    </xf>
    <xf numFmtId="0" fontId="127" fillId="0" borderId="2" xfId="63" applyNumberFormat="1" applyFont="1" applyFill="1" applyBorder="1" applyAlignment="1">
      <alignment horizontal="left" vertical="center"/>
    </xf>
    <xf numFmtId="185" fontId="127" fillId="0" borderId="2" xfId="63" applyNumberFormat="1" applyFont="1" applyFill="1" applyBorder="1" applyAlignment="1">
      <alignment horizontal="left" vertical="center"/>
    </xf>
    <xf numFmtId="0" fontId="128" fillId="0" borderId="14" xfId="63" applyNumberFormat="1" applyFont="1" applyFill="1" applyBorder="1" applyAlignment="1">
      <alignment horizontal="left" vertical="center"/>
    </xf>
    <xf numFmtId="0" fontId="127" fillId="0" borderId="172"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7" fillId="0" borderId="14" xfId="63" applyNumberFormat="1" applyFont="1" applyFill="1" applyBorder="1" applyAlignment="1">
      <alignment horizontal="left" vertical="center"/>
    </xf>
    <xf numFmtId="0" fontId="128" fillId="0" borderId="0" xfId="63" applyNumberFormat="1" applyFont="1" applyFill="1" applyAlignment="1">
      <alignment horizontal="left" vertical="center"/>
    </xf>
    <xf numFmtId="0" fontId="126" fillId="3" borderId="2" xfId="63" applyNumberFormat="1" applyFont="1" applyFill="1" applyBorder="1" applyAlignment="1">
      <alignment horizontal="left" vertical="center"/>
    </xf>
    <xf numFmtId="0" fontId="127" fillId="0" borderId="172" xfId="63" applyNumberFormat="1" applyFont="1" applyBorder="1" applyAlignment="1">
      <alignment horizontal="left" vertical="center"/>
    </xf>
    <xf numFmtId="0" fontId="126" fillId="0" borderId="2" xfId="63" applyNumberFormat="1" applyFont="1" applyFill="1" applyBorder="1" applyAlignment="1">
      <alignment horizontal="left" vertical="center"/>
    </xf>
    <xf numFmtId="0" fontId="124" fillId="0" borderId="2" xfId="63" applyNumberFormat="1" applyFont="1" applyBorder="1" applyAlignment="1">
      <alignment horizontal="left" vertical="center"/>
    </xf>
    <xf numFmtId="0" fontId="127" fillId="0" borderId="14" xfId="63" applyNumberFormat="1" applyFont="1" applyFill="1" applyBorder="1" applyAlignment="1">
      <alignment horizontal="left" vertical="center"/>
    </xf>
    <xf numFmtId="0" fontId="124" fillId="0" borderId="17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185" fontId="124" fillId="0" borderId="2" xfId="63" applyNumberFormat="1" applyFont="1" applyBorder="1" applyAlignment="1">
      <alignment horizontal="left" vertical="center"/>
    </xf>
    <xf numFmtId="0" fontId="124" fillId="0" borderId="14" xfId="63" applyNumberFormat="1" applyFont="1" applyBorder="1" applyAlignment="1">
      <alignment horizontal="left" vertical="center"/>
    </xf>
    <xf numFmtId="0" fontId="129" fillId="0" borderId="2" xfId="63" applyNumberFormat="1" applyFont="1" applyBorder="1" applyAlignment="1">
      <alignment horizontal="left" vertical="center"/>
    </xf>
    <xf numFmtId="185" fontId="129" fillId="0" borderId="2" xfId="0" applyNumberFormat="1" applyFont="1" applyFill="1" applyBorder="1" applyAlignment="1">
      <alignment horizontal="left" vertical="center"/>
    </xf>
    <xf numFmtId="0" fontId="121" fillId="0" borderId="173" xfId="63" applyNumberFormat="1" applyFont="1" applyBorder="1" applyAlignment="1">
      <alignment horizontal="left" vertical="center"/>
    </xf>
    <xf numFmtId="0" fontId="121" fillId="0" borderId="0" xfId="63" applyNumberFormat="1" applyFont="1" applyBorder="1" applyAlignment="1">
      <alignment horizontal="left" vertical="center"/>
    </xf>
    <xf numFmtId="0" fontId="130" fillId="0" borderId="0" xfId="63" applyNumberFormat="1" applyFont="1" applyBorder="1" applyAlignment="1">
      <alignment horizontal="left" vertical="center"/>
    </xf>
    <xf numFmtId="176" fontId="131" fillId="0" borderId="0" xfId="0" applyFont="1" applyProtection="1">
      <alignment vertical="center"/>
    </xf>
    <xf numFmtId="176" fontId="132" fillId="0" borderId="0" xfId="0" applyFont="1" applyProtection="1">
      <alignment vertical="center"/>
    </xf>
    <xf numFmtId="176" fontId="2" fillId="0" borderId="0" xfId="0" applyFont="1" applyProtection="1">
      <alignment vertical="center"/>
    </xf>
    <xf numFmtId="176" fontId="130" fillId="0" borderId="0" xfId="0" applyFont="1" applyProtection="1">
      <alignment vertical="center"/>
    </xf>
    <xf numFmtId="176" fontId="132" fillId="0" borderId="2" xfId="0" applyFont="1" applyBorder="1" applyAlignment="1" applyProtection="1">
      <alignment horizontal="center" vertical="center" wrapText="1"/>
    </xf>
    <xf numFmtId="176" fontId="2" fillId="0" borderId="0" xfId="0" applyFont="1" applyAlignment="1" applyProtection="1">
      <alignment horizontal="left" vertical="center"/>
    </xf>
    <xf numFmtId="176" fontId="132" fillId="14" borderId="2" xfId="0" applyFont="1" applyFill="1" applyBorder="1" applyAlignment="1" applyProtection="1">
      <alignment horizontal="center" vertical="center" wrapText="1"/>
    </xf>
    <xf numFmtId="176" fontId="132" fillId="2" borderId="2" xfId="0" applyFont="1" applyFill="1" applyBorder="1" applyAlignment="1" applyProtection="1">
      <alignment horizontal="center" vertical="center" wrapText="1"/>
    </xf>
    <xf numFmtId="176" fontId="133" fillId="18" borderId="2" xfId="0" applyFont="1" applyFill="1" applyBorder="1" applyAlignment="1" applyProtection="1">
      <alignment horizontal="center" vertical="center"/>
    </xf>
    <xf numFmtId="176" fontId="134" fillId="0" borderId="2" xfId="0" applyFont="1" applyFill="1" applyBorder="1" applyAlignment="1" applyProtection="1">
      <alignment horizontal="center" vertical="center"/>
    </xf>
    <xf numFmtId="176" fontId="120" fillId="0" borderId="0" xfId="0" applyFont="1" applyProtection="1">
      <alignment vertical="center"/>
    </xf>
    <xf numFmtId="176" fontId="122" fillId="0" borderId="2" xfId="0" applyFont="1" applyBorder="1" applyAlignment="1" applyProtection="1">
      <alignment horizontal="center" vertical="center"/>
    </xf>
    <xf numFmtId="176" fontId="2" fillId="3" borderId="13" xfId="0" applyFont="1" applyFill="1" applyBorder="1" applyAlignment="1" applyProtection="1">
      <alignment horizontal="left" vertical="center"/>
    </xf>
    <xf numFmtId="176" fontId="120" fillId="0" borderId="14" xfId="0" applyFont="1" applyBorder="1" applyAlignment="1" applyProtection="1">
      <alignment horizontal="left" vertical="center"/>
    </xf>
    <xf numFmtId="176" fontId="2" fillId="0" borderId="15" xfId="0" applyFont="1" applyBorder="1" applyAlignment="1" applyProtection="1">
      <alignment horizontal="left" vertical="center"/>
    </xf>
    <xf numFmtId="176" fontId="2" fillId="3" borderId="31" xfId="0" applyFont="1" applyFill="1" applyBorder="1" applyAlignment="1" applyProtection="1">
      <alignment horizontal="left" vertical="center"/>
    </xf>
    <xf numFmtId="176" fontId="2" fillId="0" borderId="2" xfId="0" applyFont="1" applyBorder="1" applyAlignment="1" applyProtection="1">
      <alignment horizontal="left" vertical="center"/>
    </xf>
    <xf numFmtId="176" fontId="2" fillId="3" borderId="17" xfId="0" applyFont="1" applyFill="1" applyBorder="1" applyAlignment="1" applyProtection="1">
      <alignment horizontal="left" vertical="center"/>
    </xf>
    <xf numFmtId="176" fontId="2" fillId="0" borderId="14" xfId="0" applyFont="1" applyBorder="1" applyAlignment="1" applyProtection="1">
      <alignment horizontal="left" vertical="center"/>
    </xf>
    <xf numFmtId="176" fontId="2" fillId="19" borderId="14" xfId="0" applyFont="1" applyFill="1" applyBorder="1" applyAlignment="1" applyProtection="1">
      <alignment vertical="center"/>
    </xf>
    <xf numFmtId="176" fontId="2" fillId="12" borderId="16" xfId="0" applyFont="1" applyFill="1" applyBorder="1" applyAlignment="1" applyProtection="1">
      <alignment vertical="center"/>
    </xf>
    <xf numFmtId="176" fontId="2" fillId="12" borderId="15" xfId="0" applyFont="1" applyFill="1" applyBorder="1" applyAlignment="1" applyProtection="1">
      <alignment vertical="center"/>
    </xf>
    <xf numFmtId="176" fontId="2" fillId="20" borderId="2" xfId="0" applyFont="1" applyFill="1" applyBorder="1" applyAlignment="1" applyProtection="1">
      <alignment horizontal="left" vertical="center"/>
    </xf>
    <xf numFmtId="176" fontId="67" fillId="0" borderId="0" xfId="0" applyFont="1" applyProtection="1">
      <alignment vertical="center"/>
    </xf>
    <xf numFmtId="176"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176" fontId="2" fillId="0" borderId="0" xfId="0" applyFont="1" applyProtection="1">
      <alignment vertical="center"/>
      <protection locked="0"/>
    </xf>
    <xf numFmtId="176" fontId="135" fillId="0" borderId="0" xfId="0" applyFont="1" applyBorder="1" applyAlignment="1" applyProtection="1">
      <alignment horizontal="left" vertical="center"/>
    </xf>
    <xf numFmtId="176" fontId="2" fillId="0" borderId="0" xfId="0" applyFont="1" applyBorder="1" applyProtection="1">
      <alignment vertical="center"/>
      <protection locked="0"/>
    </xf>
    <xf numFmtId="176"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141" fillId="0" borderId="0" xfId="0" applyNumberFormat="1" applyFont="1" applyAlignment="1" applyProtection="1">
      <alignment horizontal="right" vertical="center"/>
      <protection locked="0"/>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8" fillId="0" borderId="0" xfId="0" applyNumberFormat="1" applyFont="1" applyProtection="1">
      <alignment vertical="center"/>
      <protection locked="0"/>
    </xf>
    <xf numFmtId="0" fontId="92" fillId="0" borderId="15" xfId="0" applyNumberFormat="1" applyFont="1" applyFill="1" applyBorder="1" applyAlignment="1" applyProtection="1">
      <alignment horizontal="center" vertical="center" wrapText="1"/>
    </xf>
    <xf numFmtId="0" fontId="58" fillId="0" borderId="0" xfId="64" applyNumberFormat="1" applyFont="1">
      <alignment vertical="center"/>
    </xf>
    <xf numFmtId="0" fontId="136" fillId="0" borderId="0" xfId="64" applyNumberFormat="1" applyFont="1" applyProtection="1">
      <alignment vertical="center"/>
    </xf>
    <xf numFmtId="0" fontId="58" fillId="0" borderId="0" xfId="64" applyNumberFormat="1" applyFont="1" applyProtection="1">
      <alignment vertical="center"/>
    </xf>
    <xf numFmtId="0" fontId="138" fillId="0" borderId="0" xfId="64" applyNumberFormat="1" applyFont="1" applyAlignment="1" applyProtection="1">
      <alignment horizontal="left" vertical="center" wrapText="1"/>
    </xf>
    <xf numFmtId="0" fontId="136" fillId="0" borderId="0" xfId="64" applyNumberFormat="1" applyFont="1" applyAlignment="1" applyProtection="1">
      <alignment horizontal="center" vertical="center"/>
    </xf>
    <xf numFmtId="0" fontId="136" fillId="0" borderId="3" xfId="64" applyNumberFormat="1" applyFont="1" applyBorder="1" applyAlignment="1" applyProtection="1">
      <alignment horizontal="center" vertical="center"/>
    </xf>
    <xf numFmtId="0" fontId="56" fillId="0" borderId="31" xfId="64" applyNumberFormat="1" applyFont="1" applyFill="1" applyBorder="1" applyAlignment="1" applyProtection="1">
      <alignment horizontal="left" vertical="center" wrapText="1"/>
    </xf>
    <xf numFmtId="0" fontId="59" fillId="0" borderId="17"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horizontal="center" vertical="center" wrapText="1"/>
    </xf>
    <xf numFmtId="0" fontId="56" fillId="0" borderId="17" xfId="64" applyNumberFormat="1" applyFont="1" applyFill="1" applyBorder="1" applyAlignment="1" applyProtection="1">
      <alignment horizontal="left" vertical="center" wrapText="1"/>
    </xf>
    <xf numFmtId="0" fontId="113" fillId="0" borderId="2" xfId="64" applyNumberFormat="1" applyFont="1" applyFill="1" applyBorder="1" applyAlignment="1" applyProtection="1">
      <alignment horizontal="left" vertical="center" wrapText="1"/>
    </xf>
    <xf numFmtId="0" fontId="56"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vertical="center" wrapText="1"/>
    </xf>
    <xf numFmtId="0" fontId="142" fillId="0" borderId="2"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vertical="center" wrapText="1"/>
    </xf>
    <xf numFmtId="0" fontId="92" fillId="0" borderId="14" xfId="64" applyNumberFormat="1" applyFont="1" applyFill="1" applyBorder="1" applyAlignment="1" applyProtection="1">
      <alignment vertical="center" wrapText="1"/>
    </xf>
    <xf numFmtId="0" fontId="112" fillId="0" borderId="2" xfId="64" applyNumberFormat="1" applyFont="1" applyFill="1" applyBorder="1" applyAlignment="1" applyProtection="1">
      <alignment horizontal="left" vertical="center" wrapText="1"/>
    </xf>
    <xf numFmtId="0" fontId="92"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horizontal="left" vertical="center" wrapText="1"/>
    </xf>
    <xf numFmtId="0" fontId="59" fillId="0" borderId="2" xfId="64" applyNumberFormat="1" applyFont="1" applyFill="1" applyBorder="1" applyAlignment="1" applyProtection="1">
      <alignment horizontal="left" vertical="center" wrapText="1"/>
    </xf>
    <xf numFmtId="0" fontId="56" fillId="0" borderId="15" xfId="64" applyNumberFormat="1" applyFont="1" applyFill="1" applyBorder="1" applyAlignment="1" applyProtection="1">
      <alignment horizontal="center" vertical="center" wrapText="1"/>
    </xf>
    <xf numFmtId="0" fontId="92" fillId="0" borderId="15" xfId="64" applyNumberFormat="1" applyFont="1" applyFill="1" applyBorder="1" applyAlignment="1" applyProtection="1">
      <alignment horizontal="center" vertical="center" wrapText="1"/>
    </xf>
    <xf numFmtId="0" fontId="72" fillId="0" borderId="2" xfId="64" applyNumberFormat="1" applyFont="1" applyBorder="1" applyAlignment="1">
      <alignment horizontal="center" vertical="center"/>
    </xf>
    <xf numFmtId="0" fontId="56" fillId="0" borderId="31" xfId="64" applyNumberFormat="1" applyFont="1" applyFill="1" applyBorder="1" applyAlignment="1" applyProtection="1">
      <alignment vertical="center" wrapText="1"/>
    </xf>
    <xf numFmtId="0" fontId="56" fillId="0" borderId="135" xfId="64" applyNumberFormat="1" applyFont="1" applyFill="1" applyBorder="1" applyAlignment="1" applyProtection="1">
      <alignment horizontal="left" vertical="center" wrapText="1"/>
    </xf>
    <xf numFmtId="0" fontId="113" fillId="0" borderId="4" xfId="64" applyNumberFormat="1" applyFont="1" applyFill="1" applyBorder="1" applyAlignment="1" applyProtection="1">
      <alignment horizontal="left" vertical="center" wrapText="1"/>
    </xf>
    <xf numFmtId="0" fontId="92" fillId="0" borderId="4" xfId="64" applyNumberFormat="1" applyFont="1" applyFill="1" applyBorder="1" applyAlignment="1" applyProtection="1">
      <alignment horizontal="center" vertical="center" wrapText="1"/>
    </xf>
    <xf numFmtId="0" fontId="28" fillId="0" borderId="0" xfId="64" applyNumberFormat="1" applyFont="1" applyProtection="1">
      <alignment vertical="center"/>
    </xf>
    <xf numFmtId="0" fontId="58" fillId="0" borderId="0" xfId="64" applyNumberFormat="1" applyFont="1" applyProtection="1">
      <alignment vertical="center"/>
      <protection locked="0"/>
    </xf>
    <xf numFmtId="0" fontId="138" fillId="0" borderId="0" xfId="64" applyNumberFormat="1" applyFont="1" applyProtection="1">
      <alignment vertical="center"/>
      <protection locked="0"/>
    </xf>
    <xf numFmtId="176" fontId="58" fillId="0" borderId="0" xfId="0" applyFont="1">
      <alignment vertical="center"/>
    </xf>
    <xf numFmtId="176" fontId="143" fillId="0" borderId="0" xfId="0" applyFont="1" applyBorder="1" applyAlignment="1">
      <alignment horizontal="center" vertical="center"/>
    </xf>
    <xf numFmtId="176" fontId="58" fillId="0" borderId="0" xfId="0" applyFont="1" applyBorder="1">
      <alignment vertical="center"/>
    </xf>
    <xf numFmtId="176" fontId="136" fillId="0" borderId="0" xfId="0" applyFont="1" applyAlignment="1">
      <alignment vertical="center"/>
    </xf>
    <xf numFmtId="176" fontId="138" fillId="0" borderId="0" xfId="0" applyFont="1" applyAlignment="1">
      <alignment vertical="center" wrapText="1"/>
    </xf>
    <xf numFmtId="176" fontId="144" fillId="0" borderId="0" xfId="0" applyFont="1">
      <alignment vertical="center"/>
    </xf>
    <xf numFmtId="176" fontId="145" fillId="0" borderId="0" xfId="0" applyFont="1">
      <alignment vertical="center"/>
    </xf>
    <xf numFmtId="176" fontId="146" fillId="0" borderId="0" xfId="0" applyFont="1" applyAlignment="1" applyProtection="1">
      <alignment vertical="center" wrapText="1"/>
      <protection locked="0"/>
    </xf>
    <xf numFmtId="176" fontId="138" fillId="0" borderId="0" xfId="0" applyFont="1" applyFill="1" applyAlignment="1">
      <alignment vertical="center" wrapText="1"/>
    </xf>
    <xf numFmtId="176" fontId="136" fillId="0" borderId="0" xfId="0" applyFont="1">
      <alignment vertical="center"/>
    </xf>
    <xf numFmtId="182" fontId="138" fillId="0" borderId="0" xfId="0" applyNumberFormat="1" applyFont="1" applyAlignment="1">
      <alignment horizontal="left" vertical="center"/>
    </xf>
    <xf numFmtId="176" fontId="138" fillId="0" borderId="0" xfId="0" applyFont="1">
      <alignment vertical="center"/>
    </xf>
    <xf numFmtId="176" fontId="141" fillId="3" borderId="0" xfId="0" applyFont="1" applyFill="1" applyProtection="1">
      <alignment vertical="center"/>
      <protection locked="0"/>
    </xf>
    <xf numFmtId="176" fontId="58" fillId="0" borderId="0" xfId="0" applyFont="1" applyProtection="1">
      <alignment vertical="center"/>
      <protection locked="0"/>
    </xf>
    <xf numFmtId="176" fontId="147" fillId="0" borderId="0" xfId="63" applyFont="1">
      <alignment vertical="center"/>
    </xf>
    <xf numFmtId="176" fontId="2" fillId="0" borderId="0" xfId="63">
      <alignment vertical="center"/>
    </xf>
    <xf numFmtId="176" fontId="148" fillId="0" borderId="0" xfId="63" applyFont="1" applyAlignment="1" applyProtection="1">
      <alignment horizontal="left" vertical="top" wrapText="1"/>
    </xf>
    <xf numFmtId="176" fontId="147" fillId="0" borderId="0" xfId="63" applyFont="1" applyAlignment="1">
      <alignment vertical="top" wrapText="1"/>
    </xf>
    <xf numFmtId="176" fontId="148" fillId="0" borderId="0" xfId="63"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65"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65"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65"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65"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65"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65"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2022年8月10日</v>
      </c>
    </row>
    <row r="13" s="3219" customFormat="1" spans="1:2">
      <c r="A13" s="3227" t="s">
        <v>13</v>
      </c>
      <c r="B13" s="3228"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222222222222"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房地产</v>
      </c>
      <c r="T2" s="2919"/>
      <c r="U2" s="2919"/>
      <c r="V2" s="2919"/>
      <c r="W2" s="2919"/>
      <c r="X2" s="2919"/>
      <c r="Y2" s="2919"/>
      <c r="Z2" s="2919"/>
      <c r="AA2" s="2919"/>
      <c r="AB2" s="2919"/>
    </row>
    <row r="3" spans="1:28">
      <c r="A3" s="1768" t="s">
        <v>337</v>
      </c>
      <c r="B3" s="2931"/>
      <c r="C3" s="2932" t="s">
        <v>338</v>
      </c>
      <c r="D3" s="2931">
        <v>44783</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c r="C8" s="2947"/>
      <c r="D8" s="2948" t="s">
        <v>344</v>
      </c>
      <c r="E8" s="2949"/>
      <c r="F8" s="2950"/>
      <c r="G8" s="2930"/>
      <c r="H8" s="2930"/>
      <c r="I8" s="2930"/>
      <c r="J8" s="2476"/>
      <c r="K8" s="3040"/>
      <c r="L8" s="3039"/>
      <c r="M8" s="3039"/>
      <c r="N8" s="2476"/>
      <c r="O8" s="3039"/>
      <c r="P8" s="2476"/>
      <c r="Q8" s="2476"/>
      <c r="R8" s="2476"/>
    </row>
    <row r="9" ht="13.95" spans="1:18">
      <c r="A9" s="2951" t="s">
        <v>345</v>
      </c>
      <c r="B9" s="2952"/>
      <c r="C9" s="2953"/>
      <c r="D9" s="2954"/>
      <c r="E9" s="2952"/>
      <c r="F9" s="2955"/>
      <c r="G9" s="2956"/>
      <c r="H9" s="2956"/>
      <c r="I9" s="2956"/>
      <c r="J9" s="2476"/>
      <c r="K9" s="3038"/>
      <c r="L9" s="3039"/>
      <c r="M9" s="3039"/>
      <c r="N9" s="2476"/>
      <c r="O9" s="3039"/>
      <c r="P9" s="2476"/>
      <c r="Q9" s="2476"/>
      <c r="R9" s="2476"/>
    </row>
    <row r="10" ht="13.95" spans="1:18">
      <c r="A10" s="2957" t="s">
        <v>346</v>
      </c>
      <c r="B10" s="2958"/>
      <c r="C10" s="2959"/>
      <c r="D10" s="2938"/>
      <c r="E10" s="703" t="s">
        <v>347</v>
      </c>
      <c r="F10" s="2960"/>
      <c r="G10" s="2961"/>
      <c r="H10" s="2962"/>
      <c r="I10" s="3041"/>
      <c r="J10" s="2476"/>
      <c r="K10" s="3038"/>
      <c r="L10" s="3039"/>
      <c r="M10" s="3039"/>
      <c r="N10" s="2476"/>
      <c r="O10" s="3039"/>
      <c r="P10" s="2476"/>
      <c r="Q10" s="2476"/>
      <c r="R10" s="2476"/>
    </row>
    <row r="11" spans="1:18">
      <c r="A11" s="2963" t="s">
        <v>348</v>
      </c>
      <c r="B11" s="2964"/>
      <c r="C11" s="2965"/>
      <c r="D11" s="2966"/>
      <c r="E11" s="2967"/>
      <c r="F11" s="2967"/>
      <c r="G11" s="2967"/>
      <c r="H11" s="2967"/>
      <c r="I11" s="2967"/>
      <c r="J11" s="2476"/>
      <c r="K11" s="3038"/>
      <c r="L11" s="3039"/>
      <c r="M11" s="3039"/>
      <c r="N11" s="2476"/>
      <c r="O11" s="3039"/>
      <c r="P11" s="2476"/>
      <c r="Q11" s="2476"/>
      <c r="R11" s="2476"/>
    </row>
    <row r="12" spans="1:18">
      <c r="A12" s="2968" t="s">
        <v>349</v>
      </c>
      <c r="B12" s="2964" t="s">
        <v>350</v>
      </c>
      <c r="C12" s="1810" t="s">
        <v>351</v>
      </c>
      <c r="D12" s="378" t="s">
        <v>352</v>
      </c>
      <c r="E12" s="378" t="s">
        <v>353</v>
      </c>
      <c r="F12" s="378" t="s">
        <v>354</v>
      </c>
      <c r="G12" s="378" t="s">
        <v>355</v>
      </c>
      <c r="H12" s="378" t="s">
        <v>356</v>
      </c>
      <c r="I12" s="378" t="s">
        <v>357</v>
      </c>
      <c r="J12" s="2476"/>
      <c r="K12" s="3038"/>
      <c r="L12" s="3039"/>
      <c r="M12" s="3039"/>
      <c r="N12" s="2476"/>
      <c r="O12" s="3039"/>
      <c r="P12" s="2476"/>
      <c r="Q12" s="2476"/>
      <c r="R12" s="2476"/>
    </row>
    <row r="13" spans="1:18">
      <c r="A13" s="1796"/>
      <c r="B13" s="2969"/>
      <c r="C13" s="2970" t="s">
        <v>358</v>
      </c>
      <c r="D13" s="2971"/>
      <c r="E13" s="2972">
        <v>48937</v>
      </c>
      <c r="F13" s="2971"/>
      <c r="G13" s="2971"/>
      <c r="H13" s="2971"/>
      <c r="I13" s="2971"/>
      <c r="J13" s="2476"/>
      <c r="K13" s="3038"/>
      <c r="L13" s="3039"/>
      <c r="M13" s="3039"/>
      <c r="N13" s="2476"/>
      <c r="O13" s="3039"/>
      <c r="P13" s="2476"/>
      <c r="Q13" s="2476"/>
      <c r="R13" s="2476"/>
    </row>
    <row r="14" spans="1:18">
      <c r="A14" s="1796"/>
      <c r="B14" s="2969"/>
      <c r="C14" s="2970" t="s">
        <v>359</v>
      </c>
      <c r="D14" s="2973"/>
      <c r="E14" s="2973">
        <v>40</v>
      </c>
      <c r="F14" s="2973"/>
      <c r="G14" s="2973"/>
      <c r="H14" s="2973"/>
      <c r="I14" s="2973"/>
      <c r="J14" s="2476"/>
      <c r="K14" s="3038"/>
      <c r="L14" s="3039"/>
      <c r="M14" s="3039"/>
      <c r="N14" s="2476"/>
      <c r="O14" s="3039"/>
      <c r="P14" s="2476"/>
      <c r="Q14" s="2476"/>
      <c r="R14" s="2476"/>
    </row>
    <row r="15" spans="1:18">
      <c r="A15" s="1803"/>
      <c r="B15" s="2974"/>
      <c r="C15" s="2975" t="s">
        <v>360</v>
      </c>
      <c r="D15" s="378" t="str">
        <f>IF(B12="出让",IF(D13="","",ROUNDDOWN(MIN((D13-$D$3)/365,D14),2)),D14)</f>
        <v/>
      </c>
      <c r="E15" s="378">
        <f>IF(B12="出让",IF(E13="","",ROUNDDOWN(MIN((E13-$D$3)/365,E14),2)),E14)</f>
        <v>11.38</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361</v>
      </c>
      <c r="B16" s="2976"/>
      <c r="C16" s="2977"/>
      <c r="D16" s="2978"/>
      <c r="E16" s="1838" t="s">
        <v>362</v>
      </c>
      <c r="F16" s="2979"/>
      <c r="G16" s="2980"/>
      <c r="H16" s="2980"/>
      <c r="I16" s="3042"/>
      <c r="J16" s="2476"/>
      <c r="K16" s="3038"/>
      <c r="L16" s="3039"/>
      <c r="M16" s="3039"/>
      <c r="N16" s="2476"/>
      <c r="O16" s="3039"/>
      <c r="P16" s="2476"/>
      <c r="Q16" s="2476"/>
      <c r="R16" s="2476"/>
    </row>
    <row r="17" spans="1:22">
      <c r="A17" s="1780" t="s">
        <v>363</v>
      </c>
      <c r="B17" s="1768" t="s">
        <v>364</v>
      </c>
      <c r="C17" s="378">
        <f>'数据-汇总表'!E3</f>
        <v>0</v>
      </c>
      <c r="D17" s="1821" t="s">
        <v>365</v>
      </c>
      <c r="E17" s="2981" t="s">
        <v>366</v>
      </c>
      <c r="F17" s="2982"/>
      <c r="G17" s="2982"/>
      <c r="H17" s="2982"/>
      <c r="I17" s="3043"/>
      <c r="J17" s="2476"/>
      <c r="K17" s="3040"/>
      <c r="L17" s="3039"/>
      <c r="M17" s="3039"/>
      <c r="N17" s="2476"/>
      <c r="O17" s="3039"/>
      <c r="P17" s="2476"/>
      <c r="Q17" s="2476"/>
      <c r="R17" s="2476"/>
      <c r="S17" s="2476"/>
      <c r="T17" s="2476"/>
      <c r="U17" s="2476"/>
      <c r="V17" s="2476"/>
    </row>
    <row r="18" ht="24.75" spans="1:22">
      <c r="A18" s="2983" t="s">
        <v>367</v>
      </c>
      <c r="B18" s="1791" t="s">
        <v>368</v>
      </c>
      <c r="C18" s="2984" t="e">
        <f>'数据-汇总表'!D3</f>
        <v>#DIV/0!</v>
      </c>
      <c r="D18" s="1814" t="s">
        <v>365</v>
      </c>
      <c r="E18" s="2985" t="s">
        <v>369</v>
      </c>
      <c r="F18" s="2986"/>
      <c r="G18" s="2986"/>
      <c r="H18" s="2986"/>
      <c r="I18" s="3044"/>
      <c r="J18" s="2476"/>
      <c r="K18" s="3040"/>
      <c r="L18" s="3039"/>
      <c r="M18" s="3039"/>
      <c r="N18" s="2476"/>
      <c r="O18" s="3039"/>
      <c r="P18" s="2476"/>
      <c r="Q18" s="2476"/>
      <c r="R18" s="2476"/>
      <c r="S18" s="2476"/>
      <c r="T18" s="2476"/>
      <c r="U18" s="2476"/>
      <c r="V18" s="2476"/>
    </row>
    <row r="19" ht="25.5" spans="1:22">
      <c r="A19" s="703" t="s">
        <v>370</v>
      </c>
      <c r="B19" s="1773" t="s">
        <v>371</v>
      </c>
      <c r="C19" s="2987"/>
      <c r="D19" s="2988" t="s">
        <v>372</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373</v>
      </c>
      <c r="B20" s="2993" t="s">
        <v>374</v>
      </c>
      <c r="C20" s="2994"/>
      <c r="D20" s="2995" t="s">
        <v>375</v>
      </c>
      <c r="E20" s="2996"/>
      <c r="F20" s="2997" t="s">
        <v>376</v>
      </c>
      <c r="G20" s="2939"/>
      <c r="H20" s="2939"/>
      <c r="I20" s="2939"/>
      <c r="J20" s="2476"/>
      <c r="K20" s="3045" t="s">
        <v>377</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378</v>
      </c>
      <c r="C21" s="2471" t="s">
        <v>379</v>
      </c>
      <c r="D21" s="2999" t="s">
        <v>380</v>
      </c>
      <c r="E21" s="3000" t="s">
        <v>379</v>
      </c>
      <c r="F21" s="3001"/>
      <c r="G21" s="2939"/>
      <c r="H21" s="2939"/>
      <c r="I21" s="2939"/>
      <c r="J21" s="2476"/>
      <c r="K21" s="3045"/>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381</v>
      </c>
      <c r="C22" s="2471" t="s">
        <v>382</v>
      </c>
      <c r="D22" s="2930"/>
      <c r="E22" s="2930"/>
      <c r="F22" s="2930"/>
      <c r="G22" s="2939"/>
      <c r="H22" s="2939"/>
      <c r="I22" s="2939"/>
      <c r="J22" s="2476"/>
      <c r="K22" s="3045"/>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383</v>
      </c>
      <c r="B23" s="2469" t="s">
        <v>384</v>
      </c>
      <c r="C23" s="3004"/>
      <c r="D23" s="3005" t="s">
        <v>384</v>
      </c>
      <c r="E23" s="3006"/>
      <c r="F23" s="2930"/>
      <c r="G23" s="2939"/>
      <c r="H23" s="2939"/>
      <c r="I23" s="2939"/>
      <c r="J23" s="2476"/>
      <c r="K23" s="3038"/>
      <c r="L23" s="1922"/>
      <c r="M23" s="3039"/>
      <c r="N23" s="2476"/>
      <c r="O23" s="3039"/>
      <c r="P23" s="2476"/>
      <c r="Q23" s="2476"/>
      <c r="R23" s="2476"/>
      <c r="S23" s="2476"/>
      <c r="T23" s="2476"/>
      <c r="U23" s="2476"/>
      <c r="V23" s="2476"/>
    </row>
    <row r="24" spans="1:22">
      <c r="A24" s="3003"/>
      <c r="B24" s="2469" t="s">
        <v>385</v>
      </c>
      <c r="C24" s="2445"/>
      <c r="D24" s="3003" t="s">
        <v>385</v>
      </c>
      <c r="E24" s="3007"/>
      <c r="F24" s="2930"/>
      <c r="G24" s="2939"/>
      <c r="H24" s="2939"/>
      <c r="I24" s="2939"/>
      <c r="J24" s="2476"/>
      <c r="K24" s="3038"/>
      <c r="L24" s="1922"/>
      <c r="M24" s="3039"/>
      <c r="N24" s="2476"/>
      <c r="O24" s="3039"/>
      <c r="P24" s="2476"/>
      <c r="Q24" s="2476"/>
      <c r="R24" s="2476"/>
      <c r="S24" s="2476"/>
      <c r="T24" s="2476"/>
      <c r="U24" s="2476"/>
      <c r="V24" s="2476"/>
    </row>
    <row r="25" spans="1:22">
      <c r="A25" s="3003"/>
      <c r="B25" s="2469" t="s">
        <v>386</v>
      </c>
      <c r="C25" s="2445"/>
      <c r="D25" s="3003" t="s">
        <v>386</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387</v>
      </c>
      <c r="C26" s="3010"/>
      <c r="D26" s="3008" t="s">
        <v>387</v>
      </c>
      <c r="E26" s="3011"/>
      <c r="F26" s="2956"/>
      <c r="G26" s="2956"/>
      <c r="H26" s="2956"/>
      <c r="I26" s="2956"/>
      <c r="J26" s="2476"/>
      <c r="K26" s="3038"/>
      <c r="L26" s="3039"/>
      <c r="M26" s="3039"/>
      <c r="N26" s="2476"/>
      <c r="O26" s="3039"/>
      <c r="P26" s="2476"/>
      <c r="Q26" s="2476"/>
      <c r="R26" s="2476"/>
      <c r="S26" s="2476"/>
      <c r="T26" s="2476"/>
      <c r="U26" s="2476"/>
      <c r="V26" s="2476"/>
    </row>
    <row r="27" ht="13.95" spans="1:22">
      <c r="A27" s="1796" t="s">
        <v>388</v>
      </c>
      <c r="B27" s="1803" t="s">
        <v>389</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6"/>
      <c r="B28" s="1768" t="s">
        <v>390</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6"/>
      <c r="B29" s="1768" t="s">
        <v>391</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3"/>
      <c r="B30" s="1768" t="s">
        <v>392</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393</v>
      </c>
      <c r="B31" s="3021"/>
      <c r="C31" s="1914" t="str">
        <f>IF(B31="现房","成新及维护状况正常否",IF(B31="在建","工程状态是否正常",IF(B31="土地","是否闲置","-")))</f>
        <v>-</v>
      </c>
      <c r="D31" s="2003"/>
      <c r="E31" s="3022"/>
      <c r="F31" s="2939"/>
      <c r="G31" s="2939"/>
      <c r="H31" s="2939"/>
      <c r="I31" s="2939"/>
      <c r="J31" s="2476"/>
      <c r="K31" s="3038"/>
      <c r="L31" s="3039"/>
      <c r="M31" s="3039"/>
      <c r="N31" s="2476"/>
      <c r="O31" s="3039"/>
      <c r="P31" s="2476"/>
      <c r="Q31" s="2476"/>
      <c r="R31" s="2476"/>
      <c r="S31" s="2476"/>
      <c r="T31" s="2476"/>
      <c r="U31" s="2476"/>
      <c r="V31" s="2476"/>
    </row>
    <row r="32" spans="1:22">
      <c r="A32" s="1770"/>
      <c r="B32" s="3021"/>
      <c r="C32" s="1914" t="str">
        <f>IF(B32="现房","成新及维护状况是否正常",IF(B32="在建","工程状态是否正常",IF(B32="土地","是否闲置","-")))</f>
        <v>-</v>
      </c>
      <c r="D32" s="2003"/>
      <c r="E32" s="3022"/>
      <c r="F32" s="2939"/>
      <c r="G32" s="2939"/>
      <c r="H32" s="2939"/>
      <c r="I32" s="2939"/>
      <c r="J32" s="2476"/>
      <c r="K32" s="3038"/>
      <c r="L32" s="3039"/>
      <c r="M32" s="3039"/>
      <c r="N32" s="2476"/>
      <c r="O32" s="3039"/>
      <c r="P32" s="2476"/>
      <c r="Q32" s="2476"/>
      <c r="R32" s="2476"/>
      <c r="S32" s="2476"/>
      <c r="T32" s="2476"/>
      <c r="U32" s="2476"/>
      <c r="V32" s="2476"/>
    </row>
    <row r="33" spans="1:22">
      <c r="A33" s="1770"/>
      <c r="B33" s="3023"/>
      <c r="C33" s="2219" t="str">
        <f>IF(B33="现房","成新及维护状况是否正常",IF(B33="在建","工程状态是否正常",IF(B33="土地","是否闲置","-")))</f>
        <v>-</v>
      </c>
      <c r="D33" s="1778"/>
      <c r="E33" s="3024"/>
      <c r="F33" s="2939"/>
      <c r="G33" s="2939"/>
      <c r="H33" s="2939"/>
      <c r="I33" s="2939"/>
      <c r="J33" s="2476"/>
      <c r="K33" s="3038"/>
      <c r="L33" s="3039"/>
      <c r="M33" s="3039"/>
      <c r="N33" s="2476"/>
      <c r="O33" s="3039"/>
      <c r="P33" s="2476"/>
      <c r="Q33" s="2476"/>
      <c r="R33" s="2476"/>
      <c r="S33" s="2476"/>
      <c r="T33" s="2476"/>
      <c r="U33" s="2476"/>
      <c r="V33" s="2476"/>
    </row>
    <row r="34" spans="1:22">
      <c r="A34" s="1768" t="s">
        <v>394</v>
      </c>
      <c r="B34" s="3025"/>
      <c r="C34" s="3025"/>
      <c r="D34" s="3025"/>
      <c r="E34" s="3025"/>
      <c r="F34" s="3025"/>
      <c r="G34" s="3025"/>
      <c r="H34" s="3025"/>
      <c r="I34" s="2939"/>
      <c r="J34" s="2476"/>
      <c r="K34" s="378">
        <f>COUNTIF(B34:H34,"——")</f>
        <v>0</v>
      </c>
      <c r="L34" s="1810" t="s">
        <v>395</v>
      </c>
      <c r="M34" s="1810" t="s">
        <v>396</v>
      </c>
      <c r="N34" s="1810" t="s">
        <v>397</v>
      </c>
      <c r="O34" s="1810" t="s">
        <v>398</v>
      </c>
      <c r="P34" s="1810" t="s">
        <v>399</v>
      </c>
      <c r="Q34" s="1810" t="s">
        <v>400</v>
      </c>
      <c r="R34" s="1810" t="s">
        <v>401</v>
      </c>
      <c r="S34" s="378" t="s">
        <v>402</v>
      </c>
      <c r="T34" s="1810" t="str">
        <f>NUMBERSTRING(7-K34,1)&amp;"通"</f>
        <v>七通</v>
      </c>
      <c r="U34" s="2476"/>
      <c r="V34" s="2476"/>
    </row>
    <row r="35" spans="1:22">
      <c r="A35" s="3026"/>
      <c r="B35" s="378" t="s">
        <v>403</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7"/>
      <c r="B36" s="378" t="s">
        <v>353</v>
      </c>
      <c r="C36" s="378" t="s">
        <v>354</v>
      </c>
      <c r="D36" s="378" t="s">
        <v>352</v>
      </c>
      <c r="E36" s="378" t="s">
        <v>357</v>
      </c>
      <c r="F36" s="378" t="s">
        <v>288</v>
      </c>
      <c r="G36" s="2939"/>
      <c r="H36" s="2939"/>
      <c r="I36" s="2939"/>
      <c r="J36" s="2476"/>
      <c r="K36" s="3038"/>
      <c r="L36" s="3039"/>
      <c r="M36" s="3039"/>
      <c r="N36" s="2476"/>
      <c r="O36" s="3039"/>
      <c r="P36" s="2476"/>
      <c r="Q36" s="2476"/>
      <c r="R36" s="2476"/>
      <c r="S36" s="2476"/>
      <c r="T36" s="2476"/>
      <c r="U36" s="2476"/>
      <c r="V36" s="2476"/>
    </row>
    <row r="37" spans="1:22">
      <c r="A37" s="3028" t="s">
        <v>404</v>
      </c>
      <c r="B37" s="2027" t="s">
        <v>232</v>
      </c>
      <c r="C37" s="2027" t="s">
        <v>232</v>
      </c>
      <c r="D37" s="2027"/>
      <c r="E37" s="2027"/>
      <c r="F37" s="2027"/>
      <c r="G37" s="2939"/>
      <c r="H37" s="2939"/>
      <c r="I37" s="2939"/>
      <c r="J37" s="2476"/>
      <c r="K37" s="3038"/>
      <c r="L37" s="3039"/>
      <c r="M37" s="3039"/>
      <c r="N37" s="2476"/>
      <c r="O37" s="3039"/>
      <c r="P37" s="2476"/>
      <c r="Q37" s="2476"/>
      <c r="R37" s="2476"/>
      <c r="S37" s="2476"/>
      <c r="T37" s="2476"/>
      <c r="U37" s="2476"/>
      <c r="V37" s="2476"/>
    </row>
    <row r="38" ht="13.95" spans="1:22">
      <c r="A38" s="3029" t="s">
        <v>405</v>
      </c>
      <c r="B38" s="3030" t="s">
        <v>406</v>
      </c>
      <c r="C38" s="3030" t="s">
        <v>406</v>
      </c>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407</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2"/>
      <c r="J40" s="2476"/>
      <c r="K40" s="3038"/>
      <c r="L40" s="3039"/>
      <c r="M40" s="3039"/>
      <c r="N40" s="2476"/>
      <c r="O40" s="3039"/>
      <c r="P40" s="2476"/>
      <c r="Q40" s="2476"/>
      <c r="R40" s="2476"/>
      <c r="S40" s="2476"/>
      <c r="T40" s="2476"/>
      <c r="U40" s="2476"/>
      <c r="V40" s="2476"/>
    </row>
    <row r="41" spans="1:22">
      <c r="A41" s="3033" t="s">
        <v>408</v>
      </c>
      <c r="B41" s="2116"/>
      <c r="C41" s="2003"/>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0" t="s">
        <v>409</v>
      </c>
      <c r="B42" s="378" t="s">
        <v>410</v>
      </c>
      <c r="C42" s="378" t="s">
        <v>411</v>
      </c>
      <c r="D42" s="378" t="s">
        <v>412</v>
      </c>
      <c r="E42" s="378" t="s">
        <v>413</v>
      </c>
      <c r="F42" s="378" t="s">
        <v>414</v>
      </c>
      <c r="G42" s="378" t="s">
        <v>415</v>
      </c>
      <c r="H42" s="378" t="s">
        <v>416</v>
      </c>
      <c r="I42" s="378" t="s">
        <v>417</v>
      </c>
      <c r="J42" s="3049" t="s">
        <v>418</v>
      </c>
      <c r="K42" s="3050" t="s">
        <v>419</v>
      </c>
      <c r="L42" s="3050" t="s">
        <v>420</v>
      </c>
      <c r="M42" s="3050" t="s">
        <v>421</v>
      </c>
      <c r="N42" s="3050" t="s">
        <v>422</v>
      </c>
      <c r="O42" s="3050" t="s">
        <v>423</v>
      </c>
      <c r="P42" s="3050" t="s">
        <v>424</v>
      </c>
      <c r="Q42" s="3055" t="s">
        <v>425</v>
      </c>
      <c r="R42" s="3055" t="s">
        <v>426</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7:F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428</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368</v>
      </c>
      <c r="B2" s="2807" t="s">
        <v>364</v>
      </c>
      <c r="C2" s="2807" t="s">
        <v>429</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430</v>
      </c>
      <c r="AZ2" s="2886" t="s">
        <v>431</v>
      </c>
      <c r="BA2" s="2807" t="s">
        <v>432</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433</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434</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434</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435</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435</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436</v>
      </c>
      <c r="B7" s="2824" t="s">
        <v>437</v>
      </c>
      <c r="C7" s="2824" t="s">
        <v>410</v>
      </c>
      <c r="D7" s="2825" t="s">
        <v>438</v>
      </c>
      <c r="E7" s="2824" t="s">
        <v>435</v>
      </c>
      <c r="F7" s="2824" t="s">
        <v>439</v>
      </c>
      <c r="G7" s="2826" t="s">
        <v>440</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441</v>
      </c>
      <c r="AV7" s="2876" t="s">
        <v>436</v>
      </c>
      <c r="AW7" s="2810" t="s">
        <v>437</v>
      </c>
      <c r="AX7" s="2876" t="s">
        <v>410</v>
      </c>
      <c r="AY7" s="2818" t="s">
        <v>442</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443</v>
      </c>
      <c r="H8" s="2830" t="s">
        <v>444</v>
      </c>
      <c r="I8" s="2850"/>
      <c r="J8" s="2851"/>
      <c r="K8" s="2851"/>
      <c r="L8" s="2851"/>
      <c r="M8" s="2851"/>
      <c r="N8" s="2851"/>
      <c r="O8" s="2851"/>
      <c r="P8" s="2851"/>
      <c r="Q8" s="2851"/>
      <c r="R8" s="2851"/>
      <c r="S8" s="2851"/>
      <c r="T8" s="2851"/>
      <c r="U8" s="2851"/>
      <c r="V8" s="2859"/>
      <c r="W8" s="2851"/>
      <c r="X8" s="2851"/>
      <c r="Y8" s="2851"/>
      <c r="Z8" s="2851"/>
      <c r="AA8" s="2859"/>
      <c r="AB8" s="2862"/>
      <c r="AC8" s="2853" t="s">
        <v>445</v>
      </c>
      <c r="AD8" s="2863"/>
      <c r="AE8" s="2864"/>
      <c r="AF8" s="2851"/>
      <c r="AG8" s="2851"/>
      <c r="AH8" s="2851"/>
      <c r="AI8" s="2851"/>
      <c r="AJ8" s="2851"/>
      <c r="AK8" s="2851"/>
      <c r="AL8" s="2851"/>
      <c r="AM8" s="2851"/>
      <c r="AN8" s="2851"/>
      <c r="AO8" s="2851"/>
      <c r="AP8" s="2851"/>
      <c r="AQ8" s="2851"/>
      <c r="AR8" s="2851"/>
      <c r="AS8" s="2851"/>
      <c r="AT8" s="2831" t="s">
        <v>446</v>
      </c>
      <c r="AU8" s="2828" t="s">
        <v>447</v>
      </c>
      <c r="AV8" s="2831"/>
      <c r="AW8" s="2809"/>
      <c r="AX8" s="2831"/>
      <c r="AY8" s="2810" t="s">
        <v>435</v>
      </c>
      <c r="AZ8" s="2873" t="s">
        <v>364</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448</v>
      </c>
      <c r="I9" s="2852"/>
      <c r="J9" s="2853"/>
      <c r="K9" s="2852"/>
      <c r="L9" s="2853"/>
      <c r="M9" s="2852"/>
      <c r="N9" s="2853"/>
      <c r="O9" s="2852"/>
      <c r="P9" s="2853"/>
      <c r="Q9" s="2852"/>
      <c r="R9" s="2853"/>
      <c r="S9" s="2852"/>
      <c r="T9" s="2853"/>
      <c r="U9" s="2852"/>
      <c r="V9" s="2853"/>
      <c r="W9" s="2852"/>
      <c r="X9" s="2860"/>
      <c r="Y9" s="2852"/>
      <c r="Z9" s="2853"/>
      <c r="AA9" s="2852"/>
      <c r="AB9" s="2853"/>
      <c r="AC9" s="2829" t="s">
        <v>448</v>
      </c>
      <c r="AD9" s="2817" t="s">
        <v>449</v>
      </c>
      <c r="AE9" s="2865"/>
      <c r="AF9" s="2817" t="s">
        <v>450</v>
      </c>
      <c r="AG9" s="2865"/>
      <c r="AH9" s="2817" t="s">
        <v>449</v>
      </c>
      <c r="AI9" s="2865"/>
      <c r="AJ9" s="2817" t="s">
        <v>450</v>
      </c>
      <c r="AK9" s="2865"/>
      <c r="AL9" s="2817" t="s">
        <v>449</v>
      </c>
      <c r="AM9" s="2865"/>
      <c r="AN9" s="2817" t="s">
        <v>450</v>
      </c>
      <c r="AO9" s="2865"/>
      <c r="AP9" s="2817" t="s">
        <v>449</v>
      </c>
      <c r="AQ9" s="2865"/>
      <c r="AR9" s="2817" t="s">
        <v>450</v>
      </c>
      <c r="AS9" s="2877"/>
      <c r="AT9" s="2828"/>
      <c r="AU9" s="2828" t="s">
        <v>451</v>
      </c>
      <c r="AV9" s="2831"/>
      <c r="AW9" s="2809"/>
      <c r="AX9" s="2831"/>
      <c r="AY9" s="2833"/>
      <c r="AZ9" s="2833" t="s">
        <v>443</v>
      </c>
      <c r="BA9" s="2893" t="s">
        <v>452</v>
      </c>
      <c r="BB9" s="2894"/>
      <c r="BC9" s="2895"/>
      <c r="BD9" s="2895"/>
      <c r="BE9" s="2895"/>
      <c r="BF9" s="2895"/>
      <c r="BG9" s="2895"/>
      <c r="BH9" s="2895"/>
      <c r="BI9" s="2895"/>
      <c r="BJ9" s="2895"/>
      <c r="BK9" s="2902"/>
      <c r="BL9" s="2817" t="s">
        <v>453</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454</v>
      </c>
      <c r="AE10" s="2866"/>
      <c r="AF10" s="2817" t="s">
        <v>454</v>
      </c>
      <c r="AG10" s="2866"/>
      <c r="AH10" s="2817" t="s">
        <v>455</v>
      </c>
      <c r="AI10" s="2866"/>
      <c r="AJ10" s="2817" t="s">
        <v>455</v>
      </c>
      <c r="AK10" s="2866"/>
      <c r="AL10" s="2817" t="s">
        <v>456</v>
      </c>
      <c r="AM10" s="2865"/>
      <c r="AN10" s="2817" t="s">
        <v>456</v>
      </c>
      <c r="AO10" s="2865"/>
      <c r="AP10" s="2817" t="s">
        <v>457</v>
      </c>
      <c r="AQ10" s="2865"/>
      <c r="AR10" s="2817" t="s">
        <v>457</v>
      </c>
      <c r="AS10" s="2865"/>
      <c r="AT10" s="2828"/>
      <c r="AU10" s="2828"/>
      <c r="AV10" s="2831"/>
      <c r="AW10" s="2809"/>
      <c r="AX10" s="2831"/>
      <c r="AY10" s="2833"/>
      <c r="AZ10" s="2833"/>
      <c r="BA10" s="2834" t="s">
        <v>448</v>
      </c>
      <c r="BB10" s="2896">
        <f>I9</f>
        <v>0</v>
      </c>
      <c r="BC10" s="2897">
        <f>K9</f>
        <v>0</v>
      </c>
      <c r="BD10" s="2897">
        <f>M9</f>
        <v>0</v>
      </c>
      <c r="BE10" s="2897">
        <f>O9</f>
        <v>0</v>
      </c>
      <c r="BF10" s="2897">
        <f>Q9</f>
        <v>0</v>
      </c>
      <c r="BG10" s="2897">
        <f>S9</f>
        <v>0</v>
      </c>
      <c r="BH10" s="2897">
        <f>U9</f>
        <v>0</v>
      </c>
      <c r="BI10" s="2897">
        <f>W9</f>
        <v>0</v>
      </c>
      <c r="BJ10" s="2897">
        <f>Y9</f>
        <v>0</v>
      </c>
      <c r="BK10" s="2897">
        <f>AA9</f>
        <v>0</v>
      </c>
      <c r="BL10" s="2903" t="s">
        <v>448</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458</v>
      </c>
      <c r="AE11" s="2868"/>
      <c r="AF11" s="2867" t="s">
        <v>458</v>
      </c>
      <c r="AG11" s="2868"/>
      <c r="AH11" s="2867" t="s">
        <v>459</v>
      </c>
      <c r="AI11" s="2872"/>
      <c r="AJ11" s="2867" t="s">
        <v>459</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460</v>
      </c>
      <c r="J12" s="2807" t="s">
        <v>461</v>
      </c>
      <c r="K12" s="2807" t="s">
        <v>460</v>
      </c>
      <c r="L12" s="2807" t="s">
        <v>461</v>
      </c>
      <c r="M12" s="2807" t="s">
        <v>460</v>
      </c>
      <c r="N12" s="2807" t="s">
        <v>461</v>
      </c>
      <c r="O12" s="2807" t="s">
        <v>460</v>
      </c>
      <c r="P12" s="2807" t="s">
        <v>461</v>
      </c>
      <c r="Q12" s="2807" t="s">
        <v>460</v>
      </c>
      <c r="R12" s="2807" t="s">
        <v>461</v>
      </c>
      <c r="S12" s="2807" t="s">
        <v>460</v>
      </c>
      <c r="T12" s="2807" t="s">
        <v>461</v>
      </c>
      <c r="U12" s="2807" t="s">
        <v>460</v>
      </c>
      <c r="V12" s="2861" t="s">
        <v>461</v>
      </c>
      <c r="W12" s="2807" t="s">
        <v>460</v>
      </c>
      <c r="X12" s="2807" t="s">
        <v>461</v>
      </c>
      <c r="Y12" s="2807" t="s">
        <v>460</v>
      </c>
      <c r="Z12" s="2807" t="s">
        <v>461</v>
      </c>
      <c r="AA12" s="2807" t="s">
        <v>460</v>
      </c>
      <c r="AB12" s="2807" t="s">
        <v>461</v>
      </c>
      <c r="AC12" s="2869"/>
      <c r="AD12" s="2819" t="s">
        <v>460</v>
      </c>
      <c r="AE12" s="2807" t="s">
        <v>461</v>
      </c>
      <c r="AF12" s="2807" t="s">
        <v>460</v>
      </c>
      <c r="AG12" s="2807" t="s">
        <v>461</v>
      </c>
      <c r="AH12" s="2807" t="s">
        <v>460</v>
      </c>
      <c r="AI12" s="2807" t="s">
        <v>461</v>
      </c>
      <c r="AJ12" s="2807" t="s">
        <v>460</v>
      </c>
      <c r="AK12" s="2807" t="s">
        <v>461</v>
      </c>
      <c r="AL12" s="2807" t="s">
        <v>460</v>
      </c>
      <c r="AM12" s="2807" t="s">
        <v>461</v>
      </c>
      <c r="AN12" s="2807" t="s">
        <v>460</v>
      </c>
      <c r="AO12" s="2807" t="s">
        <v>461</v>
      </c>
      <c r="AP12" s="2807" t="s">
        <v>460</v>
      </c>
      <c r="AQ12" s="2807" t="s">
        <v>461</v>
      </c>
      <c r="AR12" s="2836" t="s">
        <v>460</v>
      </c>
      <c r="AS12" s="2835" t="s">
        <v>461</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1" t="s">
        <v>462</v>
      </c>
      <c r="B1" s="2184"/>
      <c r="C1" s="2184"/>
      <c r="D1" s="2184"/>
      <c r="E1" s="2184"/>
      <c r="F1" s="2184"/>
      <c r="G1" s="2184"/>
      <c r="H1" s="2184"/>
      <c r="I1" s="2184"/>
      <c r="J1" s="2184"/>
      <c r="K1" s="2184"/>
      <c r="L1" s="2184"/>
      <c r="M1" s="2184"/>
      <c r="N1" s="2184"/>
      <c r="O1" s="2184"/>
      <c r="P1" s="2184"/>
    </row>
    <row r="2" ht="14.4" spans="1:16">
      <c r="A2" s="2035" t="s">
        <v>463</v>
      </c>
      <c r="B2" s="2035"/>
      <c r="C2" s="2035"/>
      <c r="D2" s="2035" t="s">
        <v>464</v>
      </c>
      <c r="E2" s="2711" t="s">
        <v>465</v>
      </c>
      <c r="F2" s="2712"/>
      <c r="G2" s="2713"/>
      <c r="H2" s="2714"/>
      <c r="I2" s="2327" t="s">
        <v>466</v>
      </c>
      <c r="J2" s="2712"/>
      <c r="K2" s="2712"/>
      <c r="L2" s="2712"/>
      <c r="M2" s="2712"/>
      <c r="N2" s="1277"/>
      <c r="O2" s="2712"/>
      <c r="P2" s="2712"/>
    </row>
    <row r="3" ht="15.15" spans="1:16">
      <c r="A3" s="2053" t="s">
        <v>467</v>
      </c>
      <c r="B3" s="2053"/>
      <c r="C3" s="2053"/>
      <c r="D3" s="2715" t="e">
        <f>'数据-基础表'!AY6</f>
        <v>#DIV/0!</v>
      </c>
      <c r="E3" s="2715">
        <f>'数据-基础表'!AZ5</f>
        <v>0</v>
      </c>
      <c r="F3" s="2712"/>
      <c r="G3" s="2716"/>
      <c r="H3" s="2132" t="s">
        <v>468</v>
      </c>
      <c r="I3" s="1454" t="e">
        <f>ROUND('数据-基础表'!B3/'数据-基础表'!A3,2)</f>
        <v>#DIV/0!</v>
      </c>
      <c r="J3" s="2712"/>
      <c r="K3" s="2712"/>
      <c r="L3" s="2712"/>
      <c r="M3" s="2712"/>
      <c r="N3" s="1277"/>
      <c r="O3" s="2712"/>
      <c r="P3" s="2712"/>
    </row>
    <row r="4" ht="14.4" spans="1:16">
      <c r="A4" s="2325"/>
      <c r="B4" s="2326"/>
      <c r="C4" s="2717"/>
      <c r="D4" s="2718" t="s">
        <v>464</v>
      </c>
      <c r="E4" s="2719" t="s">
        <v>465</v>
      </c>
      <c r="F4" s="2712"/>
      <c r="G4" s="2720" t="s">
        <v>469</v>
      </c>
      <c r="H4" s="2132" t="s">
        <v>470</v>
      </c>
      <c r="I4" s="1454" t="e">
        <f>ROUND(SUMIF('数据-基础表'!I9:AS9,"地上",'数据-基础表'!I5:AS5)/'数据-基础表'!A3,2)</f>
        <v>#DIV/0!</v>
      </c>
      <c r="J4" s="2712"/>
      <c r="K4" s="2712"/>
      <c r="L4" s="2712"/>
      <c r="M4" s="2712"/>
      <c r="N4" s="1277"/>
      <c r="O4" s="2712"/>
      <c r="P4" s="2712"/>
    </row>
    <row r="5" ht="14.4" spans="1:16">
      <c r="A5" s="2721" t="s">
        <v>471</v>
      </c>
      <c r="B5" s="1180" t="s">
        <v>472</v>
      </c>
      <c r="C5" s="1180"/>
      <c r="D5" s="2722" t="e">
        <f>ROUND($D$3*E5/$E$3,2)</f>
        <v>#DIV/0!</v>
      </c>
      <c r="E5" s="2723">
        <f>SUMIF('数据-基础表'!$11:$11,"住宅",'数据-基础表'!$5:$5)</f>
        <v>0</v>
      </c>
      <c r="F5" s="2712"/>
      <c r="G5" s="2716"/>
      <c r="H5" s="2132" t="s">
        <v>468</v>
      </c>
      <c r="I5" s="1454" t="e">
        <f>ROUND(E31/D31,2)</f>
        <v>#DIV/0!</v>
      </c>
      <c r="J5" s="2712"/>
      <c r="K5" s="2712"/>
      <c r="L5" s="2712"/>
      <c r="M5" s="2712"/>
      <c r="N5" s="2712"/>
      <c r="O5" s="2712"/>
      <c r="P5" s="2712"/>
    </row>
    <row r="6" ht="15.15" spans="1:16">
      <c r="A6" s="2724"/>
      <c r="B6" s="1180" t="s">
        <v>473</v>
      </c>
      <c r="C6" s="1180"/>
      <c r="D6" s="2722" t="e">
        <f>ROUND($D$3*E6/$E$3,2)</f>
        <v>#DIV/0!</v>
      </c>
      <c r="E6" s="2723">
        <f>E3-E5</f>
        <v>0</v>
      </c>
      <c r="F6" s="2712"/>
      <c r="G6" s="2725" t="s">
        <v>474</v>
      </c>
      <c r="H6" s="2726" t="s">
        <v>470</v>
      </c>
      <c r="I6" s="2778" t="e">
        <f>ROUND(F31/D31,2)</f>
        <v>#DIV/0!</v>
      </c>
      <c r="J6" s="2712"/>
      <c r="K6" s="2712"/>
      <c r="L6" s="2712"/>
      <c r="M6" s="2712"/>
      <c r="N6" s="2712"/>
      <c r="O6" s="2712"/>
      <c r="P6" s="2712"/>
    </row>
    <row r="7" ht="15.15" spans="1:16">
      <c r="A7" s="2727"/>
      <c r="B7" s="2728"/>
      <c r="C7" s="2729"/>
      <c r="D7" s="2718" t="s">
        <v>464</v>
      </c>
      <c r="E7" s="2730" t="s">
        <v>475</v>
      </c>
      <c r="F7" s="2712"/>
      <c r="G7" s="2731" t="s">
        <v>476</v>
      </c>
      <c r="H7" s="2732"/>
      <c r="I7" s="2779"/>
      <c r="J7" s="2712"/>
      <c r="K7" s="2712"/>
      <c r="L7" s="2712"/>
      <c r="M7" s="2712"/>
      <c r="N7" s="2712"/>
      <c r="O7" s="2712"/>
      <c r="P7" s="2712"/>
    </row>
    <row r="8" ht="14.4" spans="1:16">
      <c r="A8" s="2721" t="s">
        <v>477</v>
      </c>
      <c r="B8" s="2733" t="s">
        <v>478</v>
      </c>
      <c r="C8" s="2722" t="s">
        <v>479</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480</v>
      </c>
      <c r="D9" s="2722" t="e">
        <f t="shared" si="0"/>
        <v>#DIV/0!</v>
      </c>
      <c r="E9" s="2737">
        <v>0</v>
      </c>
      <c r="F9" s="2712"/>
      <c r="G9" s="2734"/>
      <c r="H9" s="2734"/>
      <c r="I9" s="2712"/>
      <c r="J9" s="2712"/>
      <c r="K9" s="2712"/>
      <c r="L9" s="2712"/>
      <c r="M9" s="2712"/>
      <c r="N9" s="2712"/>
      <c r="O9" s="2712"/>
      <c r="P9" s="2712"/>
    </row>
    <row r="10" ht="14.4" spans="1:16">
      <c r="A10" s="2735"/>
      <c r="B10" s="2736"/>
      <c r="C10" s="2722" t="s">
        <v>481</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482</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483</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484</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485</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486</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487</v>
      </c>
      <c r="D16" s="2733" t="e">
        <f>SUM(D8:D15)</f>
        <v>#DIV/0!</v>
      </c>
      <c r="E16" s="2738">
        <f>SUM(E8:E15)</f>
        <v>0</v>
      </c>
      <c r="F16" s="2712"/>
      <c r="G16" s="2734"/>
      <c r="H16" s="2739" t="s">
        <v>488</v>
      </c>
      <c r="I16" s="2780"/>
      <c r="J16" s="2184"/>
      <c r="K16" s="2781" t="s">
        <v>488</v>
      </c>
      <c r="L16" s="2743"/>
      <c r="M16" s="2743"/>
      <c r="N16" s="2743"/>
      <c r="O16" s="2743"/>
      <c r="P16" s="2782"/>
    </row>
    <row r="17" ht="14.4" spans="1:19">
      <c r="A17" s="2740" t="s">
        <v>489</v>
      </c>
      <c r="B17" s="2741" t="s">
        <v>490</v>
      </c>
      <c r="C17" s="2742" t="s">
        <v>491</v>
      </c>
      <c r="D17" s="2743" t="s">
        <v>464</v>
      </c>
      <c r="E17" s="2744" t="s">
        <v>465</v>
      </c>
      <c r="F17" s="2745"/>
      <c r="G17" s="2746"/>
      <c r="H17" s="2747" t="s">
        <v>492</v>
      </c>
      <c r="I17" s="2783" t="s">
        <v>493</v>
      </c>
      <c r="J17" s="2184"/>
      <c r="K17" s="2784" t="s">
        <v>494</v>
      </c>
      <c r="L17" s="2785"/>
      <c r="M17" s="2786"/>
      <c r="N17" s="2784" t="s">
        <v>495</v>
      </c>
      <c r="O17" s="2785"/>
      <c r="P17" s="2786"/>
      <c r="R17" s="2797" t="s">
        <v>496</v>
      </c>
      <c r="S17" s="2120"/>
    </row>
    <row r="18" ht="14.4" spans="1:19">
      <c r="A18" s="2735"/>
      <c r="B18" s="2748"/>
      <c r="C18" s="2749"/>
      <c r="D18" s="2750"/>
      <c r="E18" s="2751" t="s">
        <v>497</v>
      </c>
      <c r="F18" s="2752" t="s">
        <v>470</v>
      </c>
      <c r="G18" s="2753" t="s">
        <v>498</v>
      </c>
      <c r="H18" s="2663" t="s">
        <v>499</v>
      </c>
      <c r="I18" s="1454" t="s">
        <v>500</v>
      </c>
      <c r="J18" s="2184"/>
      <c r="K18" s="2663" t="s">
        <v>501</v>
      </c>
      <c r="L18" s="2346" t="s">
        <v>502</v>
      </c>
      <c r="M18" s="1454" t="s">
        <v>503</v>
      </c>
      <c r="N18" s="2663" t="s">
        <v>501</v>
      </c>
      <c r="O18" s="2346" t="s">
        <v>502</v>
      </c>
      <c r="P18" s="1454" t="s">
        <v>503</v>
      </c>
      <c r="R18" s="2132" t="s">
        <v>499</v>
      </c>
      <c r="S18" s="2132" t="s">
        <v>500</v>
      </c>
    </row>
    <row r="19" ht="14.4" spans="1:19">
      <c r="A19" s="2754"/>
      <c r="B19" s="2733" t="s">
        <v>504</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504</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504</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504</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504</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504</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504</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504</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505</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506</v>
      </c>
      <c r="C28" s="2768" t="s">
        <v>507</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506</v>
      </c>
      <c r="C29" s="2182" t="s">
        <v>508</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505</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509</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510</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511</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512</v>
      </c>
      <c r="B2" s="2495">
        <f>项目基本情况!D3</f>
        <v>44783</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513</v>
      </c>
      <c r="B4" s="2501"/>
      <c r="C4" s="2502"/>
      <c r="D4" s="2503"/>
      <c r="E4" s="2502" t="s">
        <v>514</v>
      </c>
      <c r="F4" s="2502"/>
      <c r="G4" s="2502"/>
      <c r="H4" s="2502"/>
      <c r="I4" s="2502"/>
      <c r="J4" s="2600"/>
      <c r="K4" s="2601"/>
      <c r="L4" s="2602"/>
      <c r="M4" s="2502"/>
      <c r="N4" s="2502" t="s">
        <v>515</v>
      </c>
      <c r="O4" s="2502"/>
      <c r="P4" s="2502"/>
      <c r="Q4" s="2502"/>
      <c r="R4" s="2502"/>
      <c r="S4" s="2600"/>
      <c r="T4" s="2626" t="str">
        <f>'数据-汇总表'!I17</f>
        <v>按面积比例</v>
      </c>
      <c r="U4" s="2501" t="s">
        <v>516</v>
      </c>
      <c r="V4" s="2502"/>
      <c r="W4" s="2502"/>
      <c r="X4" s="2502"/>
      <c r="Y4" s="2600"/>
      <c r="Z4" s="2656" t="s">
        <v>517</v>
      </c>
      <c r="AA4" s="2656"/>
      <c r="AB4" s="2656"/>
      <c r="AC4" s="2656"/>
      <c r="AD4" s="2656"/>
      <c r="AE4" s="2657" t="s">
        <v>518</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491</v>
      </c>
      <c r="B5" s="2505" t="s">
        <v>490</v>
      </c>
      <c r="C5" s="2506" t="s">
        <v>519</v>
      </c>
      <c r="D5" s="2507" t="s">
        <v>520</v>
      </c>
      <c r="E5" s="2508" t="s">
        <v>521</v>
      </c>
      <c r="F5" s="2509" t="s">
        <v>522</v>
      </c>
      <c r="G5" s="2508" t="s">
        <v>523</v>
      </c>
      <c r="H5" s="2508" t="s">
        <v>524</v>
      </c>
      <c r="I5" s="2508" t="s">
        <v>525</v>
      </c>
      <c r="J5" s="2603" t="s">
        <v>526</v>
      </c>
      <c r="K5" s="2604" t="s">
        <v>500</v>
      </c>
      <c r="L5" s="2605" t="s">
        <v>527</v>
      </c>
      <c r="M5" s="2606" t="s">
        <v>528</v>
      </c>
      <c r="N5" s="2607" t="s">
        <v>529</v>
      </c>
      <c r="O5" s="2605" t="s">
        <v>530</v>
      </c>
      <c r="P5" s="2608" t="s">
        <v>531</v>
      </c>
      <c r="Q5" s="2627" t="s">
        <v>532</v>
      </c>
      <c r="R5" s="2628" t="s">
        <v>533</v>
      </c>
      <c r="S5" s="2629" t="s">
        <v>534</v>
      </c>
      <c r="T5" s="2630" t="s">
        <v>535</v>
      </c>
      <c r="U5" s="2631" t="s">
        <v>536</v>
      </c>
      <c r="V5" s="2508" t="s">
        <v>537</v>
      </c>
      <c r="W5" s="2508" t="s">
        <v>538</v>
      </c>
      <c r="X5" s="2632"/>
      <c r="Y5" s="2658" t="s">
        <v>539</v>
      </c>
      <c r="Z5" s="2659" t="s">
        <v>536</v>
      </c>
      <c r="AA5" s="2508" t="s">
        <v>537</v>
      </c>
      <c r="AB5" s="2508" t="s">
        <v>538</v>
      </c>
      <c r="AC5" s="2632"/>
      <c r="AD5" s="2632" t="s">
        <v>539</v>
      </c>
      <c r="AE5" s="2631" t="s">
        <v>540</v>
      </c>
      <c r="AF5" s="2508" t="s">
        <v>541</v>
      </c>
      <c r="AG5" s="2658" t="s">
        <v>542</v>
      </c>
      <c r="AH5" s="2631" t="s">
        <v>543</v>
      </c>
      <c r="AI5" s="2659" t="s">
        <v>544</v>
      </c>
      <c r="AJ5" s="2659" t="s">
        <v>545</v>
      </c>
      <c r="AK5" s="2508" t="s">
        <v>546</v>
      </c>
      <c r="AL5" s="2508" t="s">
        <v>547</v>
      </c>
      <c r="AM5" s="2658" t="s">
        <v>548</v>
      </c>
      <c r="AN5" s="2675" t="s">
        <v>549</v>
      </c>
      <c r="AO5" s="2696" t="s">
        <v>550</v>
      </c>
      <c r="AP5" s="2697" t="s">
        <v>551</v>
      </c>
      <c r="AQ5" s="2698" t="s">
        <v>552</v>
      </c>
      <c r="AR5" s="2698" t="s">
        <v>553</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507</v>
      </c>
      <c r="B14" s="2511" t="s">
        <v>506</v>
      </c>
      <c r="C14" s="2520" t="s">
        <v>507</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508</v>
      </c>
      <c r="B15" s="2511" t="s">
        <v>506</v>
      </c>
      <c r="C15" s="2520" t="s">
        <v>554</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509</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555</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556</v>
      </c>
      <c r="B19" s="2536"/>
      <c r="C19" s="2537" t="s">
        <v>557</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558</v>
      </c>
      <c r="B20" s="2539"/>
      <c r="C20" s="2540" t="s">
        <v>559</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560</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561</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562</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563</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564</v>
      </c>
      <c r="B26" s="2545" t="s">
        <v>565</v>
      </c>
      <c r="C26" s="2546" t="s">
        <v>566</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567</v>
      </c>
      <c r="B27" s="2548"/>
      <c r="C27" s="2549" t="s">
        <v>568</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569</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570</v>
      </c>
      <c r="B29" s="2556"/>
      <c r="C29" s="2557" t="s">
        <v>571</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572</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573</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574</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575</v>
      </c>
      <c r="B33" s="2564"/>
      <c r="C33" s="2565" t="s">
        <v>576</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577</v>
      </c>
      <c r="B34" s="2566"/>
      <c r="C34" s="2565" t="s">
        <v>578</v>
      </c>
      <c r="D34" s="2567" t="s">
        <v>579</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580</v>
      </c>
      <c r="B35" s="2553"/>
      <c r="C35" s="2565" t="s">
        <v>581</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582</v>
      </c>
      <c r="B36" s="2568"/>
      <c r="C36" s="2565" t="s">
        <v>583</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584</v>
      </c>
      <c r="B37" s="2569"/>
      <c r="C37" s="2565" t="s">
        <v>585</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586</v>
      </c>
      <c r="B38" s="2566"/>
      <c r="C38" s="2565" t="s">
        <v>585</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587</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588</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589</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590</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591</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592</v>
      </c>
      <c r="B44" s="2581"/>
      <c r="C44" s="2565" t="s">
        <v>593</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594</v>
      </c>
      <c r="B45" s="2577"/>
      <c r="C45" s="2557" t="s">
        <v>595</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596</v>
      </c>
      <c r="B46" s="2577"/>
      <c r="C46" s="2557" t="s">
        <v>597</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598</v>
      </c>
      <c r="B47" s="2583"/>
      <c r="C47" s="2584" t="s">
        <v>599</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600</v>
      </c>
      <c r="B48" s="2586"/>
      <c r="C48" s="2557" t="s">
        <v>595</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601</v>
      </c>
      <c r="B49" s="2577"/>
      <c r="C49" s="2557" t="s">
        <v>602</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603</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604</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605</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606</v>
      </c>
      <c r="B53" s="2591"/>
      <c r="C53" s="2551" t="s">
        <v>607</v>
      </c>
      <c r="D53" s="2592" t="s">
        <v>608</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609</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610</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611</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612</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613</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614</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615</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616</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617</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618</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09" customWidth="1"/>
    <col min="19" max="29" width="9" style="2009"/>
    <col min="30" max="16384" width="9" style="2426"/>
  </cols>
  <sheetData>
    <row r="1" s="2424" customFormat="1" ht="18.15" spans="1:29">
      <c r="A1" s="2430" t="s">
        <v>619</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620</v>
      </c>
      <c r="D2" s="2436"/>
      <c r="E2" s="2433"/>
      <c r="F2" s="2437"/>
      <c r="G2" s="2435" t="s">
        <v>621</v>
      </c>
      <c r="H2" s="2009"/>
      <c r="I2" s="2009"/>
      <c r="J2" s="2009"/>
      <c r="K2" s="2009"/>
      <c r="L2" s="2009"/>
      <c r="M2" s="2009"/>
      <c r="N2" s="2009"/>
      <c r="O2" s="2009"/>
      <c r="P2" s="2009"/>
      <c r="Q2" s="2009"/>
    </row>
    <row r="3" ht="48" spans="1:17">
      <c r="A3" s="2438" t="s">
        <v>622</v>
      </c>
      <c r="B3" s="2439" t="s">
        <v>623</v>
      </c>
      <c r="C3" s="2440" t="s">
        <v>624</v>
      </c>
      <c r="D3" s="2441"/>
      <c r="E3" s="2442" t="s">
        <v>622</v>
      </c>
      <c r="F3" s="2443" t="s">
        <v>625</v>
      </c>
      <c r="G3" s="2444" t="s">
        <v>626</v>
      </c>
      <c r="H3" s="2009"/>
      <c r="I3" s="2009"/>
      <c r="J3" s="2009"/>
      <c r="K3" s="2009"/>
      <c r="L3" s="2009"/>
      <c r="M3" s="2009"/>
      <c r="N3" s="2009"/>
      <c r="O3" s="2009"/>
      <c r="P3" s="2009"/>
      <c r="Q3" s="2009"/>
    </row>
    <row r="4" ht="37.2" spans="1:17">
      <c r="A4" s="2442"/>
      <c r="B4" s="1810" t="s">
        <v>627</v>
      </c>
      <c r="C4" s="2445" t="s">
        <v>628</v>
      </c>
      <c r="D4" s="2441"/>
      <c r="E4" s="2446"/>
      <c r="F4" s="2003" t="s">
        <v>629</v>
      </c>
      <c r="G4" s="2447" t="s">
        <v>630</v>
      </c>
      <c r="H4" s="2009"/>
      <c r="I4" s="2009"/>
      <c r="J4" s="2009"/>
      <c r="K4" s="2009"/>
      <c r="L4" s="2009"/>
      <c r="M4" s="2009"/>
      <c r="N4" s="2009"/>
      <c r="O4" s="2009"/>
      <c r="P4" s="2009"/>
      <c r="Q4" s="2009"/>
    </row>
    <row r="5" ht="37.2" spans="1:17">
      <c r="A5" s="2442"/>
      <c r="B5" s="1810" t="s">
        <v>631</v>
      </c>
      <c r="C5" s="2445" t="s">
        <v>632</v>
      </c>
      <c r="D5" s="2441"/>
      <c r="E5" s="2446"/>
      <c r="F5" s="1810" t="s">
        <v>454</v>
      </c>
      <c r="G5" s="2447" t="s">
        <v>633</v>
      </c>
      <c r="H5" s="2009"/>
      <c r="I5" s="2009"/>
      <c r="J5" s="2009"/>
      <c r="K5" s="2009"/>
      <c r="L5" s="2009"/>
      <c r="M5" s="2009"/>
      <c r="N5" s="2009"/>
      <c r="O5" s="2009"/>
      <c r="P5" s="2009"/>
      <c r="Q5" s="2009"/>
    </row>
    <row r="6" ht="48" spans="1:17">
      <c r="A6" s="2442"/>
      <c r="B6" s="1810" t="s">
        <v>629</v>
      </c>
      <c r="C6" s="2447" t="s">
        <v>630</v>
      </c>
      <c r="D6" s="2441"/>
      <c r="E6" s="2446"/>
      <c r="F6" s="1810" t="s">
        <v>634</v>
      </c>
      <c r="G6" s="2447" t="s">
        <v>635</v>
      </c>
      <c r="H6" s="2009"/>
      <c r="I6" s="2009"/>
      <c r="J6" s="2009"/>
      <c r="K6" s="2009"/>
      <c r="L6" s="2009"/>
      <c r="M6" s="2009"/>
      <c r="N6" s="2009"/>
      <c r="O6" s="2009"/>
      <c r="P6" s="2009"/>
      <c r="Q6" s="2009"/>
    </row>
    <row r="7" ht="36.75" spans="1:17">
      <c r="A7" s="2442"/>
      <c r="B7" s="1810" t="s">
        <v>454</v>
      </c>
      <c r="C7" s="2447" t="s">
        <v>633</v>
      </c>
      <c r="D7" s="2441"/>
      <c r="E7" s="2448"/>
      <c r="F7" s="2449" t="s">
        <v>636</v>
      </c>
      <c r="G7" s="2450" t="s">
        <v>637</v>
      </c>
      <c r="H7" s="2009"/>
      <c r="I7" s="2009"/>
      <c r="J7" s="2009"/>
      <c r="K7" s="2009"/>
      <c r="L7" s="2009"/>
      <c r="M7" s="2009"/>
      <c r="N7" s="2009"/>
      <c r="O7" s="2009"/>
      <c r="P7" s="2009"/>
      <c r="Q7" s="2009"/>
    </row>
    <row r="8" ht="24" spans="1:17">
      <c r="A8" s="2442"/>
      <c r="B8" s="1810" t="s">
        <v>634</v>
      </c>
      <c r="C8" s="2447" t="s">
        <v>635</v>
      </c>
      <c r="D8" s="2441"/>
      <c r="E8" s="2441"/>
      <c r="F8" s="1922"/>
      <c r="G8" s="1922"/>
      <c r="H8" s="2009"/>
      <c r="I8" s="2009"/>
      <c r="J8" s="2009"/>
      <c r="K8" s="2009"/>
      <c r="L8" s="2009"/>
      <c r="M8" s="2009"/>
      <c r="N8" s="2009"/>
      <c r="O8" s="2009"/>
      <c r="P8" s="2009"/>
      <c r="Q8" s="2009"/>
    </row>
    <row r="9" ht="24" spans="1:17">
      <c r="A9" s="2442"/>
      <c r="B9" s="1810" t="s">
        <v>638</v>
      </c>
      <c r="C9" s="2445" t="s">
        <v>639</v>
      </c>
      <c r="D9" s="2441"/>
      <c r="E9" s="2441"/>
      <c r="F9" s="1922"/>
      <c r="G9" s="1922"/>
      <c r="H9" s="2009"/>
      <c r="I9" s="2009"/>
      <c r="J9" s="2009"/>
      <c r="K9" s="2009"/>
      <c r="L9" s="2009"/>
      <c r="M9" s="2009"/>
      <c r="N9" s="2009"/>
      <c r="O9" s="2009"/>
      <c r="P9" s="2009"/>
      <c r="Q9" s="2009"/>
    </row>
    <row r="10" s="2425" customFormat="1" ht="14.55" spans="1:29">
      <c r="A10" s="2451"/>
      <c r="B10" s="2452" t="s">
        <v>640</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641</v>
      </c>
      <c r="B13" s="2456"/>
      <c r="C13" s="2456"/>
      <c r="D13" s="2455"/>
      <c r="E13" s="2456"/>
      <c r="F13" s="2456"/>
      <c r="G13" s="2456"/>
    </row>
    <row r="14" ht="14.55" spans="1:7">
      <c r="A14" s="2459"/>
      <c r="B14" s="2459"/>
      <c r="C14" s="2460" t="s">
        <v>620</v>
      </c>
      <c r="D14" s="2441"/>
      <c r="E14" s="2461"/>
      <c r="F14" s="2461"/>
      <c r="G14" s="2435" t="s">
        <v>621</v>
      </c>
    </row>
    <row r="15" ht="48" spans="1:7">
      <c r="A15" s="2462" t="s">
        <v>622</v>
      </c>
      <c r="B15" s="2463" t="s">
        <v>623</v>
      </c>
      <c r="C15" s="2464" t="str">
        <f>C3</f>
        <v>估价对象周边居住用地比例、居住小区规模和社区发展完善程度，综合评价居住社区成熟度一般</v>
      </c>
      <c r="D15" s="2441"/>
      <c r="E15" s="2462" t="s">
        <v>622</v>
      </c>
      <c r="F15" s="2463" t="s">
        <v>625</v>
      </c>
      <c r="G15" s="2465" t="str">
        <f>G3</f>
        <v>估价对象位于XX开发区，园区建设成熟度XX，产业集聚程度XX</v>
      </c>
    </row>
    <row r="16" ht="37.2" spans="1:7">
      <c r="A16" s="2466"/>
      <c r="B16" s="2467" t="s">
        <v>627</v>
      </c>
      <c r="C16" s="2468" t="str">
        <f>C4</f>
        <v>估价对象位于XX商圈，周边商业氛围成熟，人流量大，商业繁华度好</v>
      </c>
      <c r="D16" s="2441"/>
      <c r="E16" s="2466"/>
      <c r="F16" s="2469" t="s">
        <v>629</v>
      </c>
      <c r="G16" s="2468" t="str">
        <f>G4</f>
        <v>估价对象周边道路状况、公共交通通达情况、停车便捷程度，综合评价交通便捷度较好</v>
      </c>
    </row>
    <row r="17" ht="37.2" spans="1:7">
      <c r="A17" s="2466"/>
      <c r="B17" s="2467" t="s">
        <v>631</v>
      </c>
      <c r="C17" s="2468" t="str">
        <f>C5</f>
        <v>估价对象位于XX商圈，周边办公楼项目较多，入驻率高，办公集聚程度较好</v>
      </c>
      <c r="D17" s="2441"/>
      <c r="E17" s="2466"/>
      <c r="F17" s="2469" t="s">
        <v>642</v>
      </c>
      <c r="G17" s="2470"/>
    </row>
    <row r="18" ht="48" spans="1:7">
      <c r="A18" s="2466"/>
      <c r="B18" s="2469" t="s">
        <v>629</v>
      </c>
      <c r="C18" s="2468" t="str">
        <f>C6</f>
        <v>估价对象周边道路状况、公共交通通达情况、停车便捷程度，综合评价交通便捷度较好</v>
      </c>
      <c r="D18" s="2441"/>
      <c r="E18" s="2466"/>
      <c r="F18" s="2469" t="s">
        <v>636</v>
      </c>
      <c r="G18" s="2468" t="str">
        <f>G7</f>
        <v>该园区内是否有污染型企业，绿化情况，卫生条件，整体环境状况判断</v>
      </c>
    </row>
    <row r="19" ht="24" spans="1:7">
      <c r="A19" s="2466"/>
      <c r="B19" s="2469" t="s">
        <v>642</v>
      </c>
      <c r="C19" s="2470"/>
      <c r="D19" s="2441"/>
      <c r="E19" s="2466"/>
      <c r="F19" s="1810" t="s">
        <v>454</v>
      </c>
      <c r="G19" s="2468" t="str">
        <f>G5</f>
        <v>估价对象所在区域公共配套设施齐备情况</v>
      </c>
    </row>
    <row r="20" ht="24" spans="1:7">
      <c r="A20" s="2466"/>
      <c r="B20" s="2469" t="s">
        <v>643</v>
      </c>
      <c r="C20" s="2468" t="str">
        <f>C9</f>
        <v>区域自然环境：；人文环境；综合评价环境状况一般</v>
      </c>
      <c r="D20" s="2441"/>
      <c r="E20" s="2466"/>
      <c r="F20" s="1810" t="s">
        <v>634</v>
      </c>
      <c r="G20" s="2468" t="str">
        <f>G6</f>
        <v>估价对象所在区域基础设施水平</v>
      </c>
    </row>
    <row r="21" ht="24" spans="1:7">
      <c r="A21" s="2466"/>
      <c r="B21" s="1810" t="s">
        <v>454</v>
      </c>
      <c r="C21" s="2468" t="str">
        <f>C7</f>
        <v>估价对象所在区域公共配套设施齐备情况</v>
      </c>
      <c r="D21" s="2441"/>
      <c r="E21" s="2466"/>
      <c r="F21" s="2469" t="s">
        <v>644</v>
      </c>
      <c r="G21" s="2471"/>
    </row>
    <row r="22" ht="13.5" customHeight="1" spans="1:7">
      <c r="A22" s="2466"/>
      <c r="B22" s="1810" t="s">
        <v>634</v>
      </c>
      <c r="C22" s="2468" t="str">
        <f>C8</f>
        <v>估价对象所在区域基础设施水平</v>
      </c>
      <c r="D22" s="2441"/>
      <c r="E22" s="2466"/>
      <c r="F22" s="2469" t="s">
        <v>640</v>
      </c>
      <c r="G22" s="2470"/>
    </row>
    <row r="23" s="2009" customFormat="1" ht="14.55" spans="1:17">
      <c r="A23" s="2466"/>
      <c r="B23" s="2469" t="s">
        <v>644</v>
      </c>
      <c r="C23" s="2471"/>
      <c r="D23" s="2405"/>
      <c r="E23" s="2472"/>
      <c r="F23" s="2473" t="s">
        <v>404</v>
      </c>
      <c r="G23" s="2474"/>
      <c r="H23" s="2429"/>
      <c r="I23" s="2429"/>
      <c r="J23" s="2429"/>
      <c r="K23" s="2429"/>
      <c r="L23" s="2429"/>
      <c r="M23" s="2429"/>
      <c r="N23" s="2429"/>
      <c r="O23" s="2429"/>
      <c r="P23" s="2429"/>
      <c r="Q23" s="2429"/>
    </row>
    <row r="24" s="2009" customFormat="1" ht="14.55" spans="1:17">
      <c r="A24" s="2472"/>
      <c r="B24" s="2473" t="s">
        <v>640</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645</v>
      </c>
      <c r="B1" s="2412">
        <f>SUM(B14:B23)</f>
        <v>0</v>
      </c>
      <c r="C1" s="2413"/>
      <c r="D1" s="2413"/>
      <c r="E1" s="2413"/>
      <c r="F1" s="2413"/>
      <c r="G1" s="2414"/>
      <c r="H1" s="2415"/>
      <c r="I1" s="2415"/>
      <c r="J1" s="2415"/>
      <c r="K1" s="2415"/>
    </row>
    <row r="2" ht="16.2" spans="1:11">
      <c r="A2" s="2412" t="s">
        <v>646</v>
      </c>
      <c r="B2" s="2412" t="e">
        <f>SUM(C14:C23)</f>
        <v>#DIV/0!</v>
      </c>
      <c r="C2" s="2413"/>
      <c r="D2" s="2413"/>
      <c r="E2" s="2413"/>
      <c r="F2" s="2413"/>
      <c r="G2" s="2414"/>
      <c r="H2" s="2415"/>
      <c r="I2" s="2415"/>
      <c r="J2" s="2415"/>
      <c r="K2" s="2415"/>
    </row>
    <row r="3" ht="15.6" spans="1:11">
      <c r="A3" s="2412" t="s">
        <v>647</v>
      </c>
      <c r="B3" s="2416">
        <f>项目基本情况!D3</f>
        <v>44783</v>
      </c>
      <c r="C3" s="2413"/>
      <c r="D3" s="2413"/>
      <c r="E3" s="2413"/>
      <c r="F3" s="2413"/>
      <c r="G3" s="2414"/>
      <c r="H3" s="2415"/>
      <c r="I3" s="2415"/>
      <c r="J3" s="2415"/>
      <c r="K3" s="2415"/>
    </row>
    <row r="4" ht="31.2" spans="1:11">
      <c r="A4" s="2412" t="s">
        <v>648</v>
      </c>
      <c r="B4" s="2412" t="s">
        <v>649</v>
      </c>
      <c r="C4" s="2412" t="s">
        <v>650</v>
      </c>
      <c r="D4" s="2412" t="s">
        <v>651</v>
      </c>
      <c r="E4" s="2413"/>
      <c r="F4" s="2414"/>
      <c r="G4" s="2414"/>
      <c r="H4" s="2415"/>
      <c r="I4" s="2415"/>
      <c r="J4" s="2415"/>
      <c r="K4" s="2415"/>
    </row>
    <row r="5" ht="15.6" spans="1:11">
      <c r="A5" s="2412" t="s">
        <v>652</v>
      </c>
      <c r="B5" s="2412" t="e">
        <f ca="1">SUM(D14:D23)</f>
        <v>#REF!</v>
      </c>
      <c r="C5" s="2412" t="e">
        <f ca="1">ROUND(B5*10000/$B$1,0)</f>
        <v>#REF!</v>
      </c>
      <c r="D5" s="2412" t="e">
        <f ca="1">ROUND(B5*10000/$B$2,0)</f>
        <v>#REF!</v>
      </c>
      <c r="E5" s="2413"/>
      <c r="F5" s="2414"/>
      <c r="G5" s="2414"/>
      <c r="H5" s="2415"/>
      <c r="I5" s="2415"/>
      <c r="J5" s="2415"/>
      <c r="K5" s="2415"/>
    </row>
    <row r="6" ht="15.6" spans="1:11">
      <c r="A6" s="2412" t="s">
        <v>653</v>
      </c>
      <c r="B6" s="2412" t="e">
        <f ca="1">SUM(G14:G23)</f>
        <v>#REF!</v>
      </c>
      <c r="C6" s="2412" t="e">
        <f ca="1">ROUND(B6*10000/$B$1,0)</f>
        <v>#REF!</v>
      </c>
      <c r="D6" s="2412" t="e">
        <f ca="1">ROUND(B6*10000/$B$2,0)</f>
        <v>#REF!</v>
      </c>
      <c r="E6" s="2413"/>
      <c r="F6" s="2414"/>
      <c r="G6" s="2414"/>
      <c r="H6" s="2415"/>
      <c r="I6" s="2415"/>
      <c r="J6" s="2415"/>
      <c r="K6" s="2415"/>
    </row>
    <row r="7" ht="15.6" spans="1:11">
      <c r="A7" s="2412" t="s">
        <v>654</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655</v>
      </c>
      <c r="B9" s="2417"/>
      <c r="C9" s="2413"/>
      <c r="D9" s="2413"/>
      <c r="E9" s="2413"/>
      <c r="F9" s="2414"/>
      <c r="G9" s="2414"/>
      <c r="H9" s="2415"/>
      <c r="I9" s="2415"/>
      <c r="J9" s="2415"/>
      <c r="K9" s="2415"/>
    </row>
    <row r="10" ht="15.6" spans="1:11">
      <c r="A10" s="2412" t="s">
        <v>656</v>
      </c>
      <c r="B10" s="2417"/>
      <c r="C10" s="2413"/>
      <c r="D10" s="2413"/>
      <c r="E10" s="2413"/>
      <c r="F10" s="2414"/>
      <c r="G10" s="2414"/>
      <c r="H10" s="2415"/>
      <c r="I10" s="2415"/>
      <c r="J10" s="2415"/>
      <c r="K10" s="2415"/>
    </row>
    <row r="11" ht="15.6" spans="1:11">
      <c r="A11" s="2412" t="s">
        <v>657</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658</v>
      </c>
      <c r="B13" s="2419" t="s">
        <v>645</v>
      </c>
      <c r="C13" s="2419" t="s">
        <v>646</v>
      </c>
      <c r="D13" s="2419" t="s">
        <v>659</v>
      </c>
      <c r="E13" s="2412" t="s">
        <v>650</v>
      </c>
      <c r="F13" s="2412" t="s">
        <v>651</v>
      </c>
      <c r="G13" s="2419" t="s">
        <v>660</v>
      </c>
      <c r="H13" s="2419" t="s">
        <v>661</v>
      </c>
      <c r="I13" s="2419" t="s">
        <v>662</v>
      </c>
      <c r="J13" s="2414"/>
      <c r="K13" s="2415"/>
    </row>
    <row r="14" ht="15.6" spans="1:11">
      <c r="A14" s="2420" t="s">
        <v>663</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664</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665</v>
      </c>
      <c r="B16" s="2422"/>
      <c r="C16" s="2422"/>
      <c r="D16" s="2422"/>
      <c r="E16" s="2421" t="e">
        <f t="shared" si="0"/>
        <v>#DIV/0!</v>
      </c>
      <c r="F16" s="2421" t="e">
        <f t="shared" si="1"/>
        <v>#DIV/0!</v>
      </c>
      <c r="G16" s="2423"/>
      <c r="H16" s="2423"/>
      <c r="I16" s="2422"/>
      <c r="J16" s="2415"/>
      <c r="K16" s="2415"/>
    </row>
    <row r="17" ht="15.6" spans="1:11">
      <c r="A17" s="2420" t="s">
        <v>666</v>
      </c>
      <c r="B17" s="2422"/>
      <c r="C17" s="2422"/>
      <c r="D17" s="2422"/>
      <c r="E17" s="2421" t="e">
        <f t="shared" si="0"/>
        <v>#DIV/0!</v>
      </c>
      <c r="F17" s="2421" t="e">
        <f t="shared" si="1"/>
        <v>#DIV/0!</v>
      </c>
      <c r="G17" s="2423"/>
      <c r="H17" s="2423"/>
      <c r="I17" s="2422"/>
      <c r="J17" s="2415"/>
      <c r="K17" s="2415"/>
    </row>
    <row r="18" ht="15.6" spans="1:11">
      <c r="A18" s="2420" t="s">
        <v>667</v>
      </c>
      <c r="B18" s="2422"/>
      <c r="C18" s="2422"/>
      <c r="D18" s="2422"/>
      <c r="E18" s="2421" t="e">
        <f t="shared" si="0"/>
        <v>#DIV/0!</v>
      </c>
      <c r="F18" s="2421" t="e">
        <f t="shared" si="1"/>
        <v>#DIV/0!</v>
      </c>
      <c r="G18" s="2422"/>
      <c r="H18" s="2422"/>
      <c r="I18" s="2422"/>
      <c r="J18" s="2415"/>
      <c r="K18" s="2415"/>
    </row>
    <row r="19" ht="15.6" spans="1:11">
      <c r="A19" s="2420" t="s">
        <v>668</v>
      </c>
      <c r="B19" s="2422"/>
      <c r="C19" s="2422"/>
      <c r="D19" s="2422"/>
      <c r="E19" s="2421" t="e">
        <f t="shared" si="0"/>
        <v>#DIV/0!</v>
      </c>
      <c r="F19" s="2421" t="e">
        <f t="shared" si="1"/>
        <v>#DIV/0!</v>
      </c>
      <c r="G19" s="2422"/>
      <c r="H19" s="2422"/>
      <c r="I19" s="2422"/>
      <c r="J19" s="2415"/>
      <c r="K19" s="2415"/>
    </row>
    <row r="20" ht="15.6" spans="1:11">
      <c r="A20" s="2420" t="s">
        <v>669</v>
      </c>
      <c r="B20" s="2422"/>
      <c r="C20" s="2422"/>
      <c r="D20" s="2422"/>
      <c r="E20" s="2421" t="e">
        <f t="shared" si="0"/>
        <v>#DIV/0!</v>
      </c>
      <c r="F20" s="2421" t="e">
        <f t="shared" si="1"/>
        <v>#DIV/0!</v>
      </c>
      <c r="G20" s="2422"/>
      <c r="H20" s="2422"/>
      <c r="I20" s="2422"/>
      <c r="J20" s="2415"/>
      <c r="K20" s="2415"/>
    </row>
    <row r="21" ht="15.6" spans="1:11">
      <c r="A21" s="2420" t="s">
        <v>670</v>
      </c>
      <c r="B21" s="2422"/>
      <c r="C21" s="2422"/>
      <c r="D21" s="2422"/>
      <c r="E21" s="2421" t="e">
        <f t="shared" si="0"/>
        <v>#DIV/0!</v>
      </c>
      <c r="F21" s="2421" t="e">
        <f t="shared" si="1"/>
        <v>#DIV/0!</v>
      </c>
      <c r="G21" s="2422"/>
      <c r="H21" s="2422"/>
      <c r="I21" s="2422"/>
      <c r="J21" s="2415"/>
      <c r="K21" s="2415"/>
    </row>
    <row r="22" ht="15.6" spans="1:11">
      <c r="A22" s="2420" t="s">
        <v>671</v>
      </c>
      <c r="B22" s="2422"/>
      <c r="C22" s="2422"/>
      <c r="D22" s="2422"/>
      <c r="E22" s="2421" t="e">
        <f t="shared" si="0"/>
        <v>#DIV/0!</v>
      </c>
      <c r="F22" s="2421" t="e">
        <f t="shared" si="1"/>
        <v>#DIV/0!</v>
      </c>
      <c r="G22" s="2422"/>
      <c r="H22" s="2422"/>
      <c r="I22" s="2422"/>
      <c r="J22" s="2415"/>
      <c r="K22" s="2415"/>
    </row>
    <row r="23" ht="15.6" spans="1:11">
      <c r="A23" s="2420" t="s">
        <v>672</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673</v>
      </c>
      <c r="B1" s="2102"/>
      <c r="C1" s="2103"/>
      <c r="D1" s="2102"/>
      <c r="E1" s="2102"/>
      <c r="F1" s="2104" t="s">
        <v>674</v>
      </c>
      <c r="G1" s="2105"/>
      <c r="H1" s="2104" t="str">
        <f>IF(G1="现房","——","估价对象范围")</f>
        <v>估价对象范围</v>
      </c>
      <c r="I1" s="2252"/>
    </row>
    <row r="2" customHeight="1" spans="1:9">
      <c r="A2" s="2106" t="str">
        <f>项目基本情况!S2</f>
        <v>房地产</v>
      </c>
      <c r="B2" s="2107"/>
      <c r="C2" s="2107"/>
      <c r="D2" s="2107"/>
      <c r="E2" s="2107"/>
      <c r="F2" s="2107"/>
      <c r="G2" s="2107"/>
      <c r="H2" s="2107"/>
      <c r="I2" s="2253"/>
    </row>
    <row r="3" ht="14.4" spans="1:9">
      <c r="A3" s="2108" t="s">
        <v>675</v>
      </c>
      <c r="B3" s="1818"/>
      <c r="C3" s="1818"/>
      <c r="D3" s="1818"/>
      <c r="E3" s="1818"/>
      <c r="F3" s="1818"/>
      <c r="G3" s="1818"/>
      <c r="H3" s="1818"/>
      <c r="I3" s="1818"/>
    </row>
    <row r="4" ht="14.4" spans="1:12">
      <c r="A4" s="2109" t="s">
        <v>676</v>
      </c>
      <c r="B4" s="2110" t="s">
        <v>677</v>
      </c>
      <c r="C4" s="2111"/>
      <c r="D4" s="2111"/>
      <c r="E4" s="2112" t="s">
        <v>678</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679</v>
      </c>
      <c r="B5" s="1169">
        <v>25</v>
      </c>
      <c r="C5" s="2114"/>
      <c r="D5" s="2115"/>
      <c r="E5" s="1809" t="s">
        <v>680</v>
      </c>
      <c r="F5" s="2116"/>
      <c r="G5" s="2116"/>
      <c r="H5" s="2116"/>
      <c r="I5" s="2003"/>
    </row>
    <row r="6" ht="14.4" spans="1:9">
      <c r="A6" s="904"/>
      <c r="B6" s="1169"/>
      <c r="C6" s="2117"/>
      <c r="D6" s="2115"/>
      <c r="E6" s="1809" t="s">
        <v>681</v>
      </c>
      <c r="F6" s="2116"/>
      <c r="G6" s="2116"/>
      <c r="H6" s="2116"/>
      <c r="I6" s="2003"/>
    </row>
    <row r="7" ht="14.4" spans="1:9">
      <c r="A7" s="904"/>
      <c r="B7" s="1169"/>
      <c r="C7" s="2118"/>
      <c r="D7" s="2115"/>
      <c r="E7" s="1809" t="s">
        <v>682</v>
      </c>
      <c r="F7" s="2116"/>
      <c r="G7" s="2116"/>
      <c r="H7" s="2116"/>
      <c r="I7" s="2003"/>
    </row>
    <row r="8" ht="14.4" spans="1:9">
      <c r="A8" s="904" t="s">
        <v>683</v>
      </c>
      <c r="B8" s="1169">
        <v>15</v>
      </c>
      <c r="C8" s="2114"/>
      <c r="D8" s="2115"/>
      <c r="E8" s="1809" t="s">
        <v>684</v>
      </c>
      <c r="F8" s="2116"/>
      <c r="G8" s="2116"/>
      <c r="H8" s="2116"/>
      <c r="I8" s="2003"/>
    </row>
    <row r="9" ht="14.4" spans="1:9">
      <c r="A9" s="904"/>
      <c r="B9" s="1169"/>
      <c r="C9" s="2118"/>
      <c r="D9" s="2115"/>
      <c r="E9" s="1809" t="s">
        <v>685</v>
      </c>
      <c r="F9" s="2116"/>
      <c r="G9" s="2116"/>
      <c r="H9" s="2116"/>
      <c r="I9" s="2003"/>
    </row>
    <row r="10" ht="14.4" spans="1:9">
      <c r="A10" s="904" t="s">
        <v>686</v>
      </c>
      <c r="B10" s="1169">
        <v>15</v>
      </c>
      <c r="C10" s="2114"/>
      <c r="D10" s="2115"/>
      <c r="E10" s="1809" t="s">
        <v>687</v>
      </c>
      <c r="F10" s="2116"/>
      <c r="G10" s="2116"/>
      <c r="H10" s="2116"/>
      <c r="I10" s="2003"/>
    </row>
    <row r="11" ht="14.4" spans="1:9">
      <c r="A11" s="904"/>
      <c r="B11" s="1169"/>
      <c r="C11" s="2118"/>
      <c r="D11" s="2115"/>
      <c r="E11" s="1809" t="s">
        <v>688</v>
      </c>
      <c r="F11" s="2116"/>
      <c r="G11" s="2116"/>
      <c r="H11" s="2116"/>
      <c r="I11" s="2003"/>
    </row>
    <row r="12" ht="14.4" spans="1:9">
      <c r="A12" s="904" t="s">
        <v>689</v>
      </c>
      <c r="B12" s="1169">
        <v>15</v>
      </c>
      <c r="C12" s="2114"/>
      <c r="D12" s="2115"/>
      <c r="E12" s="1809" t="s">
        <v>690</v>
      </c>
      <c r="F12" s="2116"/>
      <c r="G12" s="2116"/>
      <c r="H12" s="2116"/>
      <c r="I12" s="2003"/>
    </row>
    <row r="13" ht="14.4" spans="1:9">
      <c r="A13" s="904"/>
      <c r="B13" s="1169"/>
      <c r="C13" s="2118"/>
      <c r="D13" s="2115"/>
      <c r="E13" s="1809" t="s">
        <v>691</v>
      </c>
      <c r="F13" s="2116"/>
      <c r="G13" s="2116"/>
      <c r="H13" s="2116"/>
      <c r="I13" s="2003"/>
    </row>
    <row r="14" ht="14.4" spans="1:9">
      <c r="A14" s="904" t="s">
        <v>692</v>
      </c>
      <c r="B14" s="1169">
        <v>30</v>
      </c>
      <c r="C14" s="2114"/>
      <c r="D14" s="2115"/>
      <c r="E14" s="1809" t="s">
        <v>693</v>
      </c>
      <c r="F14" s="2116"/>
      <c r="G14" s="2116"/>
      <c r="H14" s="2116"/>
      <c r="I14" s="2003"/>
    </row>
    <row r="15" ht="14.4" spans="1:9">
      <c r="A15" s="904"/>
      <c r="B15" s="1169"/>
      <c r="C15" s="2117"/>
      <c r="D15" s="2115"/>
      <c r="E15" s="1809" t="s">
        <v>694</v>
      </c>
      <c r="F15" s="2116"/>
      <c r="G15" s="2116"/>
      <c r="H15" s="2116"/>
      <c r="I15" s="2003"/>
    </row>
    <row r="16" ht="14.4" spans="1:9">
      <c r="A16" s="904"/>
      <c r="B16" s="1169"/>
      <c r="C16" s="2118"/>
      <c r="D16" s="2115"/>
      <c r="E16" s="1809" t="s">
        <v>695</v>
      </c>
      <c r="F16" s="2116"/>
      <c r="G16" s="2116"/>
      <c r="H16" s="2116"/>
      <c r="I16" s="2003"/>
    </row>
    <row r="17" ht="14.4" spans="1:13">
      <c r="A17" s="2119" t="s">
        <v>696</v>
      </c>
      <c r="B17" s="2120"/>
      <c r="C17" s="2121">
        <f>SUM(C5:C16)</f>
        <v>0</v>
      </c>
      <c r="D17" s="2121">
        <f>SUM(D5:D16)</f>
        <v>0</v>
      </c>
      <c r="E17" s="364"/>
      <c r="F17" s="364"/>
      <c r="G17" s="364"/>
      <c r="H17" s="364"/>
      <c r="I17" s="364"/>
      <c r="K17" s="1768"/>
      <c r="L17" s="1768" t="s">
        <v>697</v>
      </c>
      <c r="M17" s="1768" t="s">
        <v>698</v>
      </c>
    </row>
    <row r="18" ht="31.95" customHeight="1" spans="1:13">
      <c r="A18" s="2122" t="s">
        <v>699</v>
      </c>
      <c r="B18" s="2123"/>
      <c r="C18" s="2124" t="e">
        <f>ROUND(C17/SUM(C17:D17),2)</f>
        <v>#DIV/0!</v>
      </c>
      <c r="D18" s="2124" t="e">
        <f>1-C18</f>
        <v>#DIV/0!</v>
      </c>
      <c r="E18" s="2125" t="s">
        <v>700</v>
      </c>
      <c r="F18" s="2126"/>
      <c r="G18" s="2126"/>
      <c r="H18" s="2126"/>
      <c r="I18" s="2126"/>
      <c r="K18" s="1768" t="s">
        <v>364</v>
      </c>
      <c r="L18" s="1768">
        <f>IF(C1="",'数据-汇总表'!E3,SUMIF(项目类型,C1,'数据-汇总表'!E17:E26)+SUMIF(项目类型,C1,'数据-汇总表'!I17:I26))</f>
        <v>0</v>
      </c>
      <c r="M18" s="1768">
        <f>IF(C1="",'数据-汇总表'!E3,SUMIF(项目类型,C1,'数据-汇总表'!E17:E26))</f>
        <v>0</v>
      </c>
    </row>
    <row r="19" ht="14.4" spans="1:13">
      <c r="A19" s="1183" t="s">
        <v>701</v>
      </c>
      <c r="B19" s="2127" t="s">
        <v>702</v>
      </c>
      <c r="C19" s="2128" t="e">
        <f ca="1">SUMIF(INDIRECT("'"&amp;C4&amp;"'"&amp;"!A:A"),结果表!B19,INDIRECT("'"&amp;C4&amp;"'"&amp;"!B:B"))</f>
        <v>#REF!</v>
      </c>
      <c r="D19" s="1294" t="e">
        <f ca="1">SUMIF(INDIRECT("'"&amp;D4&amp;"'"&amp;"!A:A"),结果表!B19,INDIRECT("'"&amp;D4&amp;"'"&amp;"!B:B"))</f>
        <v>#REF!</v>
      </c>
      <c r="E19" s="1183" t="s">
        <v>703</v>
      </c>
      <c r="F19" s="2127" t="s">
        <v>702</v>
      </c>
      <c r="G19" s="2129" t="e">
        <f ca="1">ROUND(C19*$C$18+D19*$D$18,0)</f>
        <v>#REF!</v>
      </c>
      <c r="H19" s="2130" t="s">
        <v>704</v>
      </c>
      <c r="I19" s="364"/>
      <c r="K19" s="1768" t="s">
        <v>368</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705</v>
      </c>
      <c r="C20" s="1524" t="e">
        <f ca="1">SUMIF(INDIRECT("'"&amp;C4&amp;"'"&amp;"!A:A"),结果表!B20,INDIRECT("'"&amp;C4&amp;"'"&amp;"!B:B"))</f>
        <v>#REF!</v>
      </c>
      <c r="D20" s="1527" t="e">
        <f ca="1">SUMIF(INDIRECT("'"&amp;D4&amp;"'"&amp;"!A:A"),结果表!B20,INDIRECT("'"&amp;D4&amp;"'"&amp;"!B:B"))</f>
        <v>#REF!</v>
      </c>
      <c r="E20" s="2131"/>
      <c r="F20" s="2132" t="s">
        <v>705</v>
      </c>
      <c r="G20" s="2133" t="e">
        <f ca="1">ROUND(C20*$C$18+D20*$D$18,0)</f>
        <v>#REF!</v>
      </c>
      <c r="H20" s="1916" t="s">
        <v>706</v>
      </c>
      <c r="I20" s="364"/>
    </row>
    <row r="21" ht="15" customHeight="1" spans="1:9">
      <c r="A21" s="1189"/>
      <c r="B21" s="2134" t="s">
        <v>707</v>
      </c>
      <c r="C21" s="2135" t="e">
        <f ca="1">ROUND(C19*10000/L19,0)</f>
        <v>#REF!</v>
      </c>
      <c r="D21" s="2136" t="e">
        <f ca="1">ROUND(D19*10000/L19,0)</f>
        <v>#REF!</v>
      </c>
      <c r="E21" s="1189"/>
      <c r="F21" s="2134" t="s">
        <v>707</v>
      </c>
      <c r="G21" s="2137" t="e">
        <f ca="1">ROUND(G19*10000/L19,0)</f>
        <v>#REF!</v>
      </c>
      <c r="H21" s="2138" t="s">
        <v>706</v>
      </c>
      <c r="I21" s="364"/>
    </row>
    <row r="22" ht="15.15" spans="1:9">
      <c r="A22" s="2139" t="s">
        <v>708</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709</v>
      </c>
      <c r="B24" s="2127" t="s">
        <v>702</v>
      </c>
      <c r="C24" s="2129">
        <f>IF(B30=0,0,D30)</f>
        <v>0</v>
      </c>
      <c r="D24" s="2144"/>
      <c r="E24" s="364"/>
      <c r="F24" s="364"/>
      <c r="G24" s="364"/>
      <c r="H24" s="364"/>
      <c r="I24" s="364"/>
    </row>
    <row r="25" ht="14.4" spans="1:9">
      <c r="A25" s="2145"/>
      <c r="B25" s="2132" t="s">
        <v>705</v>
      </c>
      <c r="C25" s="2146">
        <f>IF(B30=0,0,C30)</f>
        <v>0</v>
      </c>
      <c r="D25" s="2147"/>
      <c r="E25" s="364"/>
      <c r="F25" s="364"/>
      <c r="G25" s="364"/>
      <c r="H25" s="364"/>
      <c r="I25" s="364"/>
    </row>
    <row r="26" ht="13.5" customHeight="1" spans="1:9">
      <c r="A26" s="2148" t="s">
        <v>710</v>
      </c>
      <c r="B26" s="2149" t="s">
        <v>711</v>
      </c>
      <c r="C26" s="2149" t="s">
        <v>712</v>
      </c>
      <c r="D26" s="2150" t="s">
        <v>713</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714</v>
      </c>
      <c r="B30" s="2149"/>
      <c r="C30" s="2149"/>
      <c r="D30" s="2149"/>
      <c r="E30" s="2151" t="s">
        <v>715</v>
      </c>
      <c r="F30" s="364"/>
      <c r="G30" s="364"/>
      <c r="H30" s="364"/>
      <c r="I30" s="364"/>
    </row>
    <row r="31" s="2096" customFormat="1" ht="26.4" customHeight="1" spans="1:36">
      <c r="A31" s="2152"/>
      <c r="B31" s="2153"/>
      <c r="C31" s="2153"/>
      <c r="D31" s="2153"/>
      <c r="E31" s="2153"/>
      <c r="F31" s="2153"/>
      <c r="G31" s="2153"/>
      <c r="H31" s="2153"/>
      <c r="I31" s="2255" t="s">
        <v>716</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717</v>
      </c>
      <c r="B32" s="2155"/>
      <c r="C32" s="2156" t="e">
        <f ca="1">IF(D32="总价",G19-C24,G20-C25)</f>
        <v>#REF!</v>
      </c>
      <c r="D32" s="2157"/>
      <c r="E32" s="364"/>
      <c r="F32" s="364"/>
      <c r="G32" s="364"/>
      <c r="H32" s="364"/>
      <c r="I32" s="364"/>
    </row>
    <row r="33" ht="14.4" spans="1:9">
      <c r="A33" s="2025" t="s">
        <v>718</v>
      </c>
      <c r="B33" s="2158"/>
      <c r="C33" s="2159"/>
      <c r="D33" s="2160"/>
      <c r="E33" s="2161" t="s">
        <v>719</v>
      </c>
      <c r="F33" s="2162" t="str">
        <f>IF(D32="楼面单价","取值（单价）","取值（总价）")</f>
        <v>取值（总价）</v>
      </c>
      <c r="G33" s="364"/>
      <c r="H33" s="364"/>
      <c r="I33" s="364"/>
    </row>
    <row r="34" ht="14.4" spans="1:9">
      <c r="A34" s="2163"/>
      <c r="B34" s="2164" t="s">
        <v>720</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721</v>
      </c>
      <c r="F34" s="2168"/>
      <c r="G34" s="364"/>
      <c r="H34" s="364"/>
      <c r="I34" s="364"/>
    </row>
    <row r="35" ht="15.15" spans="1:9">
      <c r="A35" s="2169"/>
      <c r="B35" s="2170" t="s">
        <v>722</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723</v>
      </c>
      <c r="F35" s="2174"/>
      <c r="G35" s="364"/>
      <c r="H35" s="364"/>
      <c r="I35" s="364"/>
    </row>
    <row r="36" ht="15.15" spans="1:9">
      <c r="A36" s="2175" t="s">
        <v>724</v>
      </c>
      <c r="B36" s="2176" t="s">
        <v>725</v>
      </c>
      <c r="C36" s="2177"/>
      <c r="D36" s="2178"/>
      <c r="E36" s="2179"/>
      <c r="F36" s="2180"/>
      <c r="G36" s="364"/>
      <c r="H36" s="364"/>
      <c r="I36" s="364"/>
    </row>
    <row r="37" ht="15.15" spans="1:9">
      <c r="A37" s="2181"/>
      <c r="B37" s="2182" t="s">
        <v>726</v>
      </c>
      <c r="C37" s="2183"/>
      <c r="D37" s="2184"/>
      <c r="E37" s="2184"/>
      <c r="F37" s="2180"/>
      <c r="G37" s="364"/>
      <c r="H37" s="364"/>
      <c r="I37" s="364"/>
    </row>
    <row r="38" ht="15.15" spans="1:9">
      <c r="A38" s="2185"/>
      <c r="B38" s="2186" t="s">
        <v>727</v>
      </c>
      <c r="C38" s="2187"/>
      <c r="D38" s="2188" t="s">
        <v>728</v>
      </c>
      <c r="E38" s="2184"/>
      <c r="F38" s="2180"/>
      <c r="G38" s="364"/>
      <c r="H38" s="364"/>
      <c r="I38" s="364"/>
    </row>
    <row r="39" ht="14.4" spans="1:9">
      <c r="A39" s="2131" t="s">
        <v>729</v>
      </c>
      <c r="B39" s="2189" t="s">
        <v>711</v>
      </c>
      <c r="C39" s="2190" t="s">
        <v>712</v>
      </c>
      <c r="D39" s="2190" t="s">
        <v>730</v>
      </c>
      <c r="E39" s="2191" t="s">
        <v>713</v>
      </c>
      <c r="F39" s="2180"/>
      <c r="G39" s="364"/>
      <c r="H39" s="364"/>
      <c r="I39" s="364"/>
    </row>
    <row r="40" ht="14.4" spans="1:9">
      <c r="A40" s="2192" t="s">
        <v>731</v>
      </c>
      <c r="B40" s="2193"/>
      <c r="C40" s="382"/>
      <c r="D40" s="382"/>
      <c r="E40" s="2074"/>
      <c r="F40" s="2180"/>
      <c r="G40" s="364"/>
      <c r="H40" s="364"/>
      <c r="I40" s="364"/>
    </row>
    <row r="41" ht="14.4" spans="1:9">
      <c r="A41" s="2192" t="s">
        <v>732</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733</v>
      </c>
      <c r="B44" s="2199"/>
      <c r="C44" s="2199"/>
      <c r="D44" s="2200"/>
      <c r="E44" s="2200"/>
      <c r="F44" s="2201"/>
      <c r="G44" s="2201"/>
      <c r="H44" s="2201"/>
      <c r="I44" s="2201"/>
      <c r="J44" s="2259" t="s">
        <v>734</v>
      </c>
      <c r="K44" s="2260"/>
      <c r="L44" s="2260"/>
      <c r="M44" s="2260"/>
      <c r="N44" s="2260"/>
      <c r="O44" s="2260"/>
    </row>
    <row r="45" ht="14.25" customHeight="1" spans="1:15">
      <c r="A45" s="2202" t="s">
        <v>735</v>
      </c>
      <c r="B45" s="2203"/>
      <c r="C45" s="2204"/>
      <c r="D45" s="1767" t="e">
        <f ca="1">ROUND(H101*F45,0)</f>
        <v>#REF!</v>
      </c>
      <c r="E45" s="2205" t="s">
        <v>736</v>
      </c>
      <c r="F45" s="2206">
        <v>1</v>
      </c>
      <c r="G45" s="2207" t="s">
        <v>737</v>
      </c>
      <c r="H45" s="364"/>
      <c r="I45" s="364"/>
      <c r="J45" s="2261" t="s">
        <v>738</v>
      </c>
      <c r="K45" s="2261"/>
      <c r="L45" s="2261"/>
      <c r="M45" s="2261"/>
      <c r="N45" s="2261"/>
      <c r="O45" s="2261"/>
    </row>
    <row r="46" ht="14.25" customHeight="1" spans="1:15">
      <c r="A46" s="2208" t="s">
        <v>739</v>
      </c>
      <c r="B46" s="2209"/>
      <c r="C46" s="2209"/>
      <c r="D46" s="2209"/>
      <c r="E46" s="2209"/>
      <c r="F46" s="2209"/>
      <c r="G46" s="2210"/>
      <c r="H46" s="365"/>
      <c r="I46" s="365"/>
      <c r="J46" s="802">
        <v>1</v>
      </c>
      <c r="K46" s="2262" t="s">
        <v>740</v>
      </c>
      <c r="L46" s="2262"/>
      <c r="M46" s="2263"/>
      <c r="N46" s="2263"/>
      <c r="O46" s="2263"/>
    </row>
    <row r="47" ht="12" customHeight="1" spans="1:15">
      <c r="A47" s="2211" t="s">
        <v>741</v>
      </c>
      <c r="B47" s="2212"/>
      <c r="C47" s="2213"/>
      <c r="D47" s="1817" t="s">
        <v>742</v>
      </c>
      <c r="E47" s="1768" t="s">
        <v>743</v>
      </c>
      <c r="F47" s="2214" t="s">
        <v>744</v>
      </c>
      <c r="G47" s="2215" t="s">
        <v>745</v>
      </c>
      <c r="H47" s="1927"/>
      <c r="I47" s="365"/>
      <c r="J47" s="802">
        <v>2</v>
      </c>
      <c r="K47" s="2262" t="s">
        <v>746</v>
      </c>
      <c r="L47" s="2262"/>
      <c r="M47" s="2264">
        <f>'数据-取费表'!B2</f>
        <v>44783</v>
      </c>
      <c r="N47" s="2264"/>
      <c r="O47" s="2264"/>
    </row>
    <row r="48" ht="25.2" spans="1:15">
      <c r="A48" s="2216" t="s">
        <v>747</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748</v>
      </c>
      <c r="H48" s="2218"/>
      <c r="I48" s="365"/>
      <c r="J48" s="802">
        <v>3</v>
      </c>
      <c r="K48" s="2262" t="s">
        <v>749</v>
      </c>
      <c r="L48" s="2262"/>
      <c r="M48" s="2264" t="e">
        <f ca="1">H101</f>
        <v>#REF!</v>
      </c>
      <c r="N48" s="2264"/>
      <c r="O48" s="2264"/>
    </row>
    <row r="49" ht="25.5" customHeight="1" spans="1:15">
      <c r="A49" s="2216" t="s">
        <v>750</v>
      </c>
      <c r="B49" s="1801" t="s">
        <v>751</v>
      </c>
      <c r="C49" s="1801"/>
      <c r="D49" s="2219">
        <v>0</v>
      </c>
      <c r="E49" s="1827" t="s">
        <v>752</v>
      </c>
      <c r="F49" s="1770" t="s">
        <v>124</v>
      </c>
      <c r="G49" s="2220"/>
      <c r="H49" s="2221" t="s">
        <v>753</v>
      </c>
      <c r="I49" s="2225"/>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2"/>
      <c r="B50" s="1801" t="s">
        <v>754</v>
      </c>
      <c r="C50" s="1801"/>
      <c r="D50" s="2223"/>
      <c r="E50" s="1838"/>
      <c r="F50" s="1770"/>
      <c r="G50" s="2224"/>
      <c r="H50" s="2225" t="s">
        <v>755</v>
      </c>
      <c r="I50" s="2225"/>
      <c r="J50" s="2261" t="s">
        <v>756</v>
      </c>
      <c r="K50" s="2261"/>
      <c r="L50" s="2261"/>
      <c r="M50" s="2261"/>
      <c r="N50" s="2261"/>
      <c r="O50" s="2261"/>
    </row>
    <row r="51" ht="20.4" customHeight="1" spans="1:15">
      <c r="A51" s="2226"/>
      <c r="B51" s="1801" t="s">
        <v>757</v>
      </c>
      <c r="C51" s="1801"/>
      <c r="D51" s="1817"/>
      <c r="E51" s="703"/>
      <c r="F51" s="1770"/>
      <c r="G51" s="2227"/>
      <c r="H51" s="2225" t="s">
        <v>758</v>
      </c>
      <c r="I51" s="2225"/>
      <c r="J51" s="2262" t="s">
        <v>759</v>
      </c>
      <c r="K51" s="2262" t="s">
        <v>760</v>
      </c>
      <c r="L51" s="2262"/>
      <c r="M51" s="2262" t="s">
        <v>761</v>
      </c>
      <c r="N51" s="2262" t="s">
        <v>762</v>
      </c>
      <c r="O51" s="2262" t="s">
        <v>763</v>
      </c>
    </row>
    <row r="52" ht="24" customHeight="1" spans="1:15">
      <c r="A52" s="2228" t="s">
        <v>764</v>
      </c>
      <c r="B52" s="1801" t="s">
        <v>765</v>
      </c>
      <c r="C52" s="1801"/>
      <c r="D52" s="1817" t="e">
        <f ca="1">ROUND(D45*'数据-取费表'!B41/(1+'数据-取费表'!C42),0)</f>
        <v>#REF!</v>
      </c>
      <c r="E52" s="1821" t="s">
        <v>766</v>
      </c>
      <c r="F52" s="1768">
        <f>'数据-取费表'!B41</f>
        <v>0</v>
      </c>
      <c r="G52" s="2215"/>
      <c r="H52" s="1927"/>
      <c r="I52" s="365"/>
      <c r="J52" s="802">
        <v>1</v>
      </c>
      <c r="K52" s="802" t="s">
        <v>767</v>
      </c>
      <c r="L52" s="802"/>
      <c r="M52" s="2265" t="b">
        <f ca="1">D48</f>
        <v>0</v>
      </c>
      <c r="N52" s="802" t="str">
        <f>E48</f>
        <v>销售额×税（费）率</v>
      </c>
      <c r="O52" s="2266">
        <f>F48</f>
        <v>0</v>
      </c>
    </row>
    <row r="53" ht="12" customHeight="1" spans="1:15">
      <c r="A53" s="2228" t="s">
        <v>768</v>
      </c>
      <c r="B53" s="1800" t="s">
        <v>769</v>
      </c>
      <c r="C53" s="2229"/>
      <c r="D53" s="1817" t="e">
        <f ca="1">ROUND(D45*'数据-取费表'!B41/(1+'数据-取费表'!C42),0)</f>
        <v>#REF!</v>
      </c>
      <c r="E53" s="1821" t="s">
        <v>766</v>
      </c>
      <c r="F53" s="1768">
        <f>'数据-取费表'!B41</f>
        <v>0</v>
      </c>
      <c r="G53" s="2215"/>
      <c r="H53" s="1927"/>
      <c r="I53" s="365"/>
      <c r="J53" s="802">
        <v>2</v>
      </c>
      <c r="K53" s="802" t="s">
        <v>770</v>
      </c>
      <c r="L53" s="802"/>
      <c r="M53" s="2265" t="e">
        <f ca="1" t="shared" ref="M53:O54" si="0">D55</f>
        <v>#REF!</v>
      </c>
      <c r="N53" s="802" t="str">
        <f t="shared" si="0"/>
        <v>销售额×税（费）率</v>
      </c>
      <c r="O53" s="2266" t="str">
        <f t="shared" si="0"/>
        <v>免征</v>
      </c>
    </row>
    <row r="54" ht="12" customHeight="1" spans="1:15">
      <c r="A54" s="2228" t="s">
        <v>771</v>
      </c>
      <c r="B54" s="1800" t="s">
        <v>772</v>
      </c>
      <c r="C54" s="2229"/>
      <c r="D54" s="1817" t="e">
        <f ca="1">C68</f>
        <v>#REF!</v>
      </c>
      <c r="E54" s="703" t="s">
        <v>773</v>
      </c>
      <c r="F54" s="1768">
        <f>'数据-取费表'!B41</f>
        <v>0</v>
      </c>
      <c r="G54" s="2215"/>
      <c r="H54" s="2230"/>
      <c r="I54" s="365"/>
      <c r="J54" s="802">
        <v>3</v>
      </c>
      <c r="K54" s="802" t="s">
        <v>774</v>
      </c>
      <c r="L54" s="802"/>
      <c r="M54" s="2265" t="e">
        <f ca="1" t="shared" si="0"/>
        <v>#REF!</v>
      </c>
      <c r="N54" s="802" t="str">
        <f t="shared" si="0"/>
        <v>增值额×税（费）率</v>
      </c>
      <c r="O54" s="2266" t="str">
        <f t="shared" si="0"/>
        <v>免征</v>
      </c>
    </row>
    <row r="55" ht="24" customHeight="1" spans="1:15">
      <c r="A55" s="2228" t="s">
        <v>775</v>
      </c>
      <c r="B55" s="1821"/>
      <c r="C55" s="1821"/>
      <c r="D55" s="1914" t="e">
        <f ca="1">IF(H55="个人住宅",0,ROUND(D45*I55,0))</f>
        <v>#REF!</v>
      </c>
      <c r="E55" s="1821" t="s">
        <v>776</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777</v>
      </c>
      <c r="B56" s="1821"/>
      <c r="C56" s="1821"/>
      <c r="D56" s="1914" t="e">
        <f ca="1">IF(H56="个人住宅",D57,D58)</f>
        <v>#REF!</v>
      </c>
      <c r="E56" s="1821" t="s">
        <v>778</v>
      </c>
      <c r="F56" s="1768" t="str">
        <f>IF(H56="正常",F58,"免征")</f>
        <v>免征</v>
      </c>
      <c r="G56" s="2231" t="s">
        <v>779</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750</v>
      </c>
      <c r="B57" s="1800" t="s">
        <v>780</v>
      </c>
      <c r="C57" s="2229"/>
      <c r="D57" s="2219">
        <v>0</v>
      </c>
      <c r="E57" s="1827" t="s">
        <v>752</v>
      </c>
      <c r="F57" s="1768"/>
      <c r="G57" s="2215"/>
      <c r="H57" s="2233"/>
      <c r="I57" s="2243"/>
      <c r="J57" s="802">
        <f>IF(AND(J55="",J56=""),4,IF(项目基本情况!K6="上海银行",结果表!J56+1,结果表!J55+1))</f>
        <v>5</v>
      </c>
      <c r="K57" s="802" t="s">
        <v>781</v>
      </c>
      <c r="L57" s="2269" t="s">
        <v>782</v>
      </c>
      <c r="M57" s="2270"/>
      <c r="N57" s="2271">
        <f ca="1">SUMIF(M52:M56,"&lt;9e307")</f>
        <v>0</v>
      </c>
      <c r="O57" s="2272"/>
      <c r="P57" s="364" t="e">
        <f ca="1">N57/M49</f>
        <v>#VALUE!</v>
      </c>
    </row>
    <row r="58" ht="25.2" spans="1:15">
      <c r="A58" s="2228" t="s">
        <v>764</v>
      </c>
      <c r="B58" s="1800" t="s">
        <v>783</v>
      </c>
      <c r="C58" s="1801"/>
      <c r="D58" s="1914" t="e">
        <f ca="1">IF(H58="转让取得",C81,C97)</f>
        <v>#REF!</v>
      </c>
      <c r="E58" s="1821" t="s">
        <v>778</v>
      </c>
      <c r="F58" s="1768" t="s">
        <v>124</v>
      </c>
      <c r="G58" s="2215"/>
      <c r="H58" s="2232"/>
      <c r="I58" s="2243"/>
      <c r="J58" s="802"/>
      <c r="K58" s="802"/>
      <c r="L58" s="2269" t="s">
        <v>784</v>
      </c>
      <c r="M58" s="2273"/>
      <c r="N58" s="2274" t="str">
        <f ca="1">NUMBERSTRING(INT(N57*10000),2)&amp;"元整"</f>
        <v>零元整</v>
      </c>
      <c r="O58" s="2275"/>
    </row>
    <row r="59" ht="24.75" spans="1:15">
      <c r="A59" s="2234" t="s">
        <v>785</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779</v>
      </c>
      <c r="H59" s="2240"/>
      <c r="I59" s="2276" t="s">
        <v>786</v>
      </c>
      <c r="J59" s="700">
        <f>J57+1</f>
        <v>6</v>
      </c>
      <c r="K59" s="802" t="s">
        <v>787</v>
      </c>
      <c r="L59" s="802" t="s">
        <v>782</v>
      </c>
      <c r="M59" s="2277"/>
      <c r="N59" s="2278" t="e">
        <f ca="1">M49-N57</f>
        <v>#VALUE!</v>
      </c>
      <c r="O59" s="2279"/>
    </row>
    <row r="60" ht="12" customHeight="1" spans="1:15">
      <c r="A60" s="2241"/>
      <c r="B60" s="2102"/>
      <c r="C60" s="2102"/>
      <c r="D60" s="2102"/>
      <c r="E60" s="2242"/>
      <c r="F60" s="2243"/>
      <c r="G60" s="2243"/>
      <c r="H60" s="2244"/>
      <c r="I60" s="364"/>
      <c r="J60" s="702"/>
      <c r="K60" s="802"/>
      <c r="L60" s="2269" t="s">
        <v>784</v>
      </c>
      <c r="M60" s="2273"/>
      <c r="N60" s="2274" t="e">
        <f ca="1">NUMBERSTRING(INT(N59*10000),2)&amp;"元整"</f>
        <v>#VALUE!</v>
      </c>
      <c r="O60" s="2275"/>
    </row>
    <row r="61" ht="15.15" spans="1:15">
      <c r="A61" s="2245" t="s">
        <v>788</v>
      </c>
      <c r="B61" s="2245"/>
      <c r="C61" s="2245"/>
      <c r="D61" s="2245"/>
      <c r="E61" s="2245"/>
      <c r="F61" s="2243"/>
      <c r="G61" s="2243"/>
      <c r="H61" s="2244"/>
      <c r="I61" s="364"/>
      <c r="J61" s="802">
        <f>J59+1</f>
        <v>7</v>
      </c>
      <c r="K61" s="802" t="s">
        <v>789</v>
      </c>
      <c r="L61" s="802"/>
      <c r="M61" s="2280"/>
      <c r="N61" s="2281" t="e">
        <f ca="1">ROUND(N59*10000/'数据-汇总表'!E3,0)</f>
        <v>#VALUE!</v>
      </c>
      <c r="O61" s="2282"/>
    </row>
    <row r="62" ht="14.4" spans="1:9">
      <c r="A62" s="2246" t="s">
        <v>790</v>
      </c>
      <c r="B62" s="675"/>
      <c r="C62" s="675"/>
      <c r="D62" s="675" t="s">
        <v>791</v>
      </c>
      <c r="E62" s="2247" t="s">
        <v>745</v>
      </c>
      <c r="F62" s="2243"/>
      <c r="G62" s="2243"/>
      <c r="H62" s="2244"/>
      <c r="I62" s="364"/>
    </row>
    <row r="63" ht="14.4" spans="1:35">
      <c r="A63" s="2248" t="s">
        <v>792</v>
      </c>
      <c r="B63" s="2249" t="s">
        <v>793</v>
      </c>
      <c r="C63" s="2249" t="e">
        <f ca="1">ROUND((C64+C65)/(1+'数据-取费表'!C42),0)</f>
        <v>#REF!</v>
      </c>
      <c r="D63" s="2249"/>
      <c r="E63" s="2250"/>
      <c r="F63" s="2243"/>
      <c r="G63" s="2243"/>
      <c r="H63" s="2244"/>
      <c r="I63" s="364"/>
      <c r="J63" s="2283" t="s">
        <v>794</v>
      </c>
      <c r="K63" s="2283" t="s">
        <v>795</v>
      </c>
      <c r="L63" s="2283" t="e">
        <f ca="1">IF(M49&gt;10000,M49*0.5%,IF(AND(M49&gt;1000,M49&lt;=10000),M49*1%,IF(AND(M49&gt;100,M49&lt;=1000),M49*3%,IF(AND(M49&gt;10,M49&lt;=100),M49*5%,M49*8%))))</f>
        <v>#VALUE!</v>
      </c>
      <c r="M63" s="1768" t="e">
        <f ca="1">ROUND(L63,1)</f>
        <v>#VALUE!</v>
      </c>
      <c r="N63" s="2284"/>
      <c r="Z63" s="2099"/>
      <c r="AI63" s="2100"/>
    </row>
    <row r="64" ht="14.25" customHeight="1" spans="1:35">
      <c r="A64" s="2228" t="s">
        <v>796</v>
      </c>
      <c r="B64" s="654" t="s">
        <v>797</v>
      </c>
      <c r="C64" s="654" t="e">
        <f ca="1">D45</f>
        <v>#REF!</v>
      </c>
      <c r="D64" s="654" t="s">
        <v>124</v>
      </c>
      <c r="E64" s="2251"/>
      <c r="F64" s="2243"/>
      <c r="G64" s="2243"/>
      <c r="H64" s="2244"/>
      <c r="I64" s="364"/>
      <c r="J64" s="2283"/>
      <c r="K64" s="2283" t="s">
        <v>798</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799</v>
      </c>
      <c r="Z64" s="2099"/>
      <c r="AI64" s="2100"/>
    </row>
    <row r="65" ht="14.25" customHeight="1" spans="1:35">
      <c r="A65" s="2228" t="s">
        <v>800</v>
      </c>
      <c r="B65" s="654" t="s">
        <v>801</v>
      </c>
      <c r="C65" s="803"/>
      <c r="D65" s="654"/>
      <c r="E65" s="2251"/>
      <c r="F65" s="2243"/>
      <c r="G65" s="2243"/>
      <c r="H65" s="2244"/>
      <c r="I65" s="364"/>
      <c r="J65" s="2283"/>
      <c r="K65" s="2283" t="s">
        <v>802</v>
      </c>
      <c r="L65" s="2283" t="e">
        <f ca="1">IF(M49&gt;1000,M49*0.1%,IF(AND(M49&gt;500,M49&lt;=1000),M49*0.5%,IF(AND(M49&gt;50,M49&lt;=500),M49*1%,IF(AND(M49&gt;1,M49&lt;=50),M49*1.5%))))</f>
        <v>#VALUE!</v>
      </c>
      <c r="M65" s="1768" t="e">
        <f ca="1" t="shared" si="1"/>
        <v>#VALUE!</v>
      </c>
      <c r="N65" s="1927" t="s">
        <v>799</v>
      </c>
      <c r="Z65" s="2099"/>
      <c r="AI65" s="2100"/>
    </row>
    <row r="66" ht="14.25" customHeight="1" spans="1:35">
      <c r="A66" s="2248" t="s">
        <v>803</v>
      </c>
      <c r="B66" s="782" t="s">
        <v>804</v>
      </c>
      <c r="C66" s="2286"/>
      <c r="D66" s="782" t="s">
        <v>124</v>
      </c>
      <c r="E66" s="2287" t="s">
        <v>805</v>
      </c>
      <c r="F66" s="2243"/>
      <c r="G66" s="2243"/>
      <c r="H66" s="2244"/>
      <c r="I66" s="364"/>
      <c r="J66" s="2283"/>
      <c r="K66" s="2283" t="s">
        <v>806</v>
      </c>
      <c r="L66" s="2283" t="e">
        <f ca="1">M49*0.5%</f>
        <v>#VALUE!</v>
      </c>
      <c r="M66" s="1768" t="e">
        <f ca="1">IF(L66&gt;0.5,0.5,ROUND(L66,0))</f>
        <v>#VALUE!</v>
      </c>
      <c r="N66" s="1927" t="s">
        <v>807</v>
      </c>
      <c r="Z66" s="2099"/>
      <c r="AI66" s="2100"/>
    </row>
    <row r="67" ht="14.25" customHeight="1" spans="1:35">
      <c r="A67" s="2248" t="s">
        <v>808</v>
      </c>
      <c r="B67" s="782" t="s">
        <v>809</v>
      </c>
      <c r="C67" s="782" t="e">
        <f ca="1">C63-C66</f>
        <v>#REF!</v>
      </c>
      <c r="D67" s="654" t="s">
        <v>124</v>
      </c>
      <c r="E67" s="2251"/>
      <c r="F67" s="2243"/>
      <c r="G67" s="2243"/>
      <c r="H67" s="2244"/>
      <c r="I67" s="364"/>
      <c r="J67" s="2283"/>
      <c r="K67" s="2283" t="s">
        <v>810</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811</v>
      </c>
      <c r="B68" s="801" t="s">
        <v>812</v>
      </c>
      <c r="C68" s="801" t="e">
        <f ca="1">IF(C67&lt;=0,0,ROUND(C67*D68,0))</f>
        <v>#REF!</v>
      </c>
      <c r="D68" s="734">
        <f>'数据-取费表'!B41</f>
        <v>0</v>
      </c>
      <c r="E68" s="2289"/>
      <c r="F68" s="2243"/>
      <c r="G68" s="2243"/>
      <c r="H68" s="2244"/>
      <c r="I68" s="364"/>
      <c r="J68" s="2283"/>
      <c r="K68" s="2283" t="s">
        <v>813</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814</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815</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790</v>
      </c>
      <c r="B71" s="675"/>
      <c r="C71" s="675"/>
      <c r="D71" s="675" t="s">
        <v>791</v>
      </c>
      <c r="E71" s="2295" t="s">
        <v>745</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792</v>
      </c>
      <c r="B72" s="782" t="s">
        <v>816</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803</v>
      </c>
      <c r="B73" s="2214" t="s">
        <v>817</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796</v>
      </c>
      <c r="B74" s="654" t="s">
        <v>818</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819</v>
      </c>
      <c r="B75" s="654" t="s">
        <v>820</v>
      </c>
      <c r="C75" s="803"/>
      <c r="D75" s="654" t="s">
        <v>124</v>
      </c>
      <c r="E75" s="2299" t="s">
        <v>821</v>
      </c>
      <c r="F75" s="2300"/>
      <c r="G75" s="2299" t="s">
        <v>822</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823</v>
      </c>
      <c r="B76" s="681" t="s">
        <v>824</v>
      </c>
      <c r="C76" s="654">
        <f>IF(F75="购房发票",ROUND(C75*H75*D76,0),0)</f>
        <v>0</v>
      </c>
      <c r="D76" s="2301">
        <v>0.05</v>
      </c>
      <c r="E76" s="1800" t="s">
        <v>825</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826</v>
      </c>
      <c r="B77" s="654" t="s">
        <v>827</v>
      </c>
      <c r="C77" s="654">
        <f>ROUND(IF(G77="个人住宅",0,IF(G77="2016年5月1日前购买",C75*D77,C75*D77/(1+'数据-取费表'!C42))),0)</f>
        <v>0</v>
      </c>
      <c r="D77" s="654">
        <f>'数据-取费表'!B48+'数据-取费表'!B49</f>
        <v>0</v>
      </c>
      <c r="E77" s="1914" t="s">
        <v>828</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800</v>
      </c>
      <c r="B78" s="654" t="s">
        <v>829</v>
      </c>
      <c r="C78" s="654" t="e">
        <f ca="1">ROUND(D45*D78/(1+'数据-取费表'!C42),0)</f>
        <v>#REF!</v>
      </c>
      <c r="D78" s="2305">
        <f>'数据-取费表'!B43</f>
        <v>0</v>
      </c>
      <c r="E78" s="1800" t="s">
        <v>830</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808</v>
      </c>
      <c r="B79" s="782" t="s">
        <v>831</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811</v>
      </c>
      <c r="B80" s="782" t="s">
        <v>832</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833</v>
      </c>
      <c r="B81" s="801" t="s">
        <v>834</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835</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790</v>
      </c>
      <c r="B84" s="675"/>
      <c r="C84" s="675"/>
      <c r="D84" s="675" t="s">
        <v>791</v>
      </c>
      <c r="E84" s="2295" t="s">
        <v>745</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792</v>
      </c>
      <c r="B85" s="782" t="s">
        <v>816</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803</v>
      </c>
      <c r="B86" s="2214" t="s">
        <v>817</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796</v>
      </c>
      <c r="B87" s="654" t="s">
        <v>836</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819</v>
      </c>
      <c r="B88" s="654" t="s">
        <v>837</v>
      </c>
      <c r="C88" s="803"/>
      <c r="D88" s="2305"/>
      <c r="E88" s="1914" t="s">
        <v>838</v>
      </c>
      <c r="F88" s="1801"/>
      <c r="G88" s="2316" t="s">
        <v>839</v>
      </c>
      <c r="H88" s="2317"/>
      <c r="I88" s="2382"/>
      <c r="J88" s="2384" t="s">
        <v>840</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823</v>
      </c>
      <c r="B89" s="654" t="s">
        <v>827</v>
      </c>
      <c r="C89" s="654">
        <f>ROUND(C88*D89,0)</f>
        <v>0</v>
      </c>
      <c r="D89" s="2305">
        <f>'数据-取费表'!B48+'数据-取费表'!B49</f>
        <v>0</v>
      </c>
      <c r="E89" s="1914" t="s">
        <v>841</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800</v>
      </c>
      <c r="B90" s="654" t="s">
        <v>842</v>
      </c>
      <c r="C90" s="803"/>
      <c r="D90" s="2305"/>
      <c r="E90" s="1914" t="str">
        <f>IF(H88="-","土地取得成本中已包含该笔费用"," ")</f>
        <v> </v>
      </c>
      <c r="F90" s="1801"/>
      <c r="G90" s="2318" t="s">
        <v>843</v>
      </c>
      <c r="H90" s="1821"/>
      <c r="I90" s="2382"/>
      <c r="J90" s="2384" t="s">
        <v>844</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845</v>
      </c>
      <c r="B91" s="654" t="s">
        <v>846</v>
      </c>
      <c r="C91" s="654">
        <f ca="1">IF(H91="——",成本法!C33,I91)</f>
        <v>0</v>
      </c>
      <c r="D91" s="2305"/>
      <c r="E91" s="1800" t="s">
        <v>847</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848</v>
      </c>
      <c r="B92" s="654" t="s">
        <v>849</v>
      </c>
      <c r="C92" s="654">
        <f ca="1">ROUND((C87+C90+C91)*D92,0)</f>
        <v>0</v>
      </c>
      <c r="D92" s="2320"/>
      <c r="E92" s="1800" t="s">
        <v>850</v>
      </c>
      <c r="F92" s="1801"/>
      <c r="G92" s="1801"/>
      <c r="H92" s="2302"/>
      <c r="I92" s="2382"/>
      <c r="J92" s="2386" t="s">
        <v>851</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852</v>
      </c>
      <c r="B93" s="654" t="s">
        <v>829</v>
      </c>
      <c r="C93" s="654" t="e">
        <f ca="1">ROUND(D45*D93/(1+'数据-取费表'!C42),0)</f>
        <v>#REF!</v>
      </c>
      <c r="D93" s="2305">
        <f>'数据-取费表'!B43</f>
        <v>0</v>
      </c>
      <c r="E93" s="1800" t="s">
        <v>830</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853</v>
      </c>
      <c r="B94" s="654" t="s">
        <v>854</v>
      </c>
      <c r="C94" s="803">
        <f ca="1">ROUND((C87+C90+C91)*D94,0)</f>
        <v>0</v>
      </c>
      <c r="D94" s="2305">
        <v>0.2</v>
      </c>
      <c r="E94" s="2321" t="s">
        <v>855</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808</v>
      </c>
      <c r="B95" s="782" t="s">
        <v>831</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811</v>
      </c>
      <c r="B96" s="782" t="s">
        <v>832</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833</v>
      </c>
      <c r="B97" s="801" t="s">
        <v>834</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856</v>
      </c>
      <c r="B99" s="2102"/>
      <c r="C99" s="2102"/>
      <c r="D99" s="2102"/>
      <c r="E99" s="2242"/>
      <c r="F99" s="2242"/>
      <c r="G99" s="2242"/>
      <c r="H99" s="2057"/>
      <c r="I99" s="364"/>
    </row>
    <row r="100" ht="18.75" customHeight="1" spans="1:9">
      <c r="A100" s="2325" t="s">
        <v>857</v>
      </c>
      <c r="B100" s="2326"/>
      <c r="C100" s="2326"/>
      <c r="D100" s="2327"/>
      <c r="E100" s="2326" t="s">
        <v>858</v>
      </c>
      <c r="F100" s="2326"/>
      <c r="G100" s="2326"/>
      <c r="H100" s="2327"/>
      <c r="I100" s="364"/>
    </row>
    <row r="101" ht="18.75" customHeight="1" spans="1:9">
      <c r="A101" s="2328" t="s">
        <v>859</v>
      </c>
      <c r="B101" s="2329"/>
      <c r="C101" s="2330">
        <f>C4</f>
        <v>0</v>
      </c>
      <c r="D101" s="2331">
        <f>D4</f>
        <v>0</v>
      </c>
      <c r="E101" s="2332" t="s">
        <v>860</v>
      </c>
      <c r="F101" s="2333"/>
      <c r="G101" s="2334" t="s">
        <v>861</v>
      </c>
      <c r="H101" s="2335" t="e">
        <f ca="1">H118</f>
        <v>#REF!</v>
      </c>
      <c r="I101" s="364"/>
    </row>
    <row r="102" ht="18.75" customHeight="1" spans="1:9">
      <c r="A102" s="2336" t="s">
        <v>862</v>
      </c>
      <c r="B102" s="2337" t="s">
        <v>861</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863</v>
      </c>
      <c r="F103" s="2341"/>
      <c r="G103" s="2342" t="s">
        <v>102</v>
      </c>
      <c r="H103" s="2335">
        <f>IF(D36="正常操作",H104+H105+H106,H105+H106)</f>
        <v>0</v>
      </c>
      <c r="I103" s="364"/>
    </row>
    <row r="104" ht="18.75" customHeight="1" spans="1:9">
      <c r="A104" s="2336" t="s">
        <v>864</v>
      </c>
      <c r="B104" s="2343" t="s">
        <v>861</v>
      </c>
      <c r="C104" s="2344" t="e">
        <f ca="1">H118</f>
        <v>#REF!</v>
      </c>
      <c r="D104" s="2345"/>
      <c r="E104" s="2182" t="s">
        <v>865</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866</v>
      </c>
      <c r="F105" s="2346"/>
      <c r="G105" s="2342" t="s">
        <v>102</v>
      </c>
      <c r="H105" s="2352">
        <f>C37</f>
        <v>0</v>
      </c>
      <c r="I105" s="364"/>
    </row>
    <row r="106" ht="18.75" customHeight="1" spans="1:9">
      <c r="A106" s="2102" t="s">
        <v>867</v>
      </c>
      <c r="B106" s="2102"/>
      <c r="C106" s="2102"/>
      <c r="D106" s="2102"/>
      <c r="E106" s="2353" t="s">
        <v>868</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861</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861</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861</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867</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869</v>
      </c>
      <c r="B115" s="2364"/>
      <c r="C115" s="2364"/>
      <c r="D115" s="2364"/>
      <c r="E115" s="2364"/>
      <c r="F115" s="2364"/>
      <c r="G115" s="2364"/>
      <c r="H115" s="2364"/>
      <c r="I115" s="2387"/>
    </row>
    <row r="116" ht="27" customHeight="1" spans="1:9">
      <c r="A116" s="904" t="s">
        <v>870</v>
      </c>
      <c r="B116" s="2365" t="s">
        <v>871</v>
      </c>
      <c r="C116" s="2365" t="s">
        <v>872</v>
      </c>
      <c r="D116" s="2366" t="s">
        <v>873</v>
      </c>
      <c r="E116" s="2367"/>
      <c r="F116" s="2368" t="s">
        <v>874</v>
      </c>
      <c r="G116" s="2368"/>
      <c r="H116" s="904" t="s">
        <v>875</v>
      </c>
      <c r="I116" s="904"/>
    </row>
    <row r="117" ht="18.75" customHeight="1" spans="1:9">
      <c r="A117" s="904"/>
      <c r="B117" s="2369"/>
      <c r="C117" s="2369"/>
      <c r="D117" s="904" t="s">
        <v>876</v>
      </c>
      <c r="E117" s="904" t="s">
        <v>705</v>
      </c>
      <c r="F117" s="904" t="s">
        <v>876</v>
      </c>
      <c r="G117" s="904" t="s">
        <v>705</v>
      </c>
      <c r="H117" s="904" t="s">
        <v>876</v>
      </c>
      <c r="I117" s="904" t="s">
        <v>705</v>
      </c>
    </row>
    <row r="118" ht="24.75" customHeight="1" spans="1:9">
      <c r="A118" s="2370" t="str">
        <f>项目基本情况!S2</f>
        <v>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877</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877</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877</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877</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877</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878</v>
      </c>
      <c r="B129" s="2390"/>
      <c r="C129" s="2391" t="s">
        <v>879</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880</v>
      </c>
      <c r="G135" s="2403"/>
      <c r="H135" s="2403"/>
      <c r="I135" s="2410" t="s">
        <v>881</v>
      </c>
    </row>
    <row r="136" customHeight="1" spans="1:9">
      <c r="A136" s="319"/>
      <c r="B136" s="2404" t="s">
        <v>882</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883</v>
      </c>
    </row>
    <row r="139" customHeight="1" spans="1:9">
      <c r="A139" s="319"/>
      <c r="B139" s="2404" t="s">
        <v>884</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883</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885</v>
      </c>
      <c r="B1" s="2083"/>
      <c r="C1" s="245"/>
      <c r="D1" s="245"/>
      <c r="E1" s="245"/>
      <c r="F1" s="245"/>
      <c r="G1" s="2085">
        <f>MATCH(B1,'数据-取费表'!A6:A16,0)+5</f>
        <v>6</v>
      </c>
    </row>
    <row r="2" s="235" customFormat="1" ht="18" customHeight="1" spans="1:7">
      <c r="A2" s="247" t="s">
        <v>886</v>
      </c>
      <c r="B2" s="248" t="e">
        <f ca="1">IF(D2="——",C52,C52-E2)</f>
        <v>#VALUE!</v>
      </c>
      <c r="C2" s="246" t="s">
        <v>887</v>
      </c>
      <c r="D2" s="2086" t="s">
        <v>124</v>
      </c>
      <c r="E2" s="2087" t="e">
        <f ca="1">SUMIF(INDIRECT("'"&amp;G2&amp;"'"&amp;"!A:A"),"承租人权益价值",INDIRECT("'"&amp;G2&amp;"'"&amp;"!c:c"))</f>
        <v>#REF!</v>
      </c>
      <c r="F2" s="2088" t="s">
        <v>887</v>
      </c>
      <c r="G2" s="2089"/>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IF(G8="已包含在土地购买价格中","0",IF(B1="",'数据-取费表'!B29,IF(G9="全部缴纳",C9+C10,H9)))</f>
        <v>0</v>
      </c>
      <c r="D8" s="264"/>
      <c r="E8" s="262"/>
      <c r="F8" s="262"/>
      <c r="G8" s="2090"/>
    </row>
    <row r="9" s="237" customFormat="1" ht="13.5" customHeight="1" spans="1:9">
      <c r="A9" s="266" t="s">
        <v>901</v>
      </c>
      <c r="B9" s="267" t="s">
        <v>902</v>
      </c>
      <c r="C9" s="268">
        <f ca="1">ROUND(D9*E9/10000,0)</f>
        <v>0</v>
      </c>
      <c r="D9" s="269">
        <f ca="1">IF(B1="",'数据-汇总表'!E5,IF(INDIRECT("'数据-取费表'!c"&amp;$G$1)="住宅",INDIRECT("'数据-取费表'!k"&amp;$G$1),0))</f>
        <v>0</v>
      </c>
      <c r="E9" s="268">
        <f>'数据-取费表'!B27</f>
        <v>0</v>
      </c>
      <c r="F9" s="262"/>
      <c r="G9" s="2093"/>
      <c r="H9" s="2094"/>
      <c r="I9" s="2095" t="s">
        <v>903</v>
      </c>
    </row>
    <row r="10" s="237" customFormat="1" ht="13.5" customHeight="1" spans="1:7">
      <c r="A10" s="266" t="s">
        <v>904</v>
      </c>
      <c r="B10" s="267" t="s">
        <v>905</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IF(G19="已包含在土地取得成本中","0",ROUND(D19*E19/10000,0))</f>
        <v>0</v>
      </c>
      <c r="D19" s="257">
        <f ca="1">D9+D10</f>
        <v>0</v>
      </c>
      <c r="E19" s="257">
        <f>'数据-取费表'!B31</f>
        <v>0</v>
      </c>
      <c r="F19" s="275"/>
      <c r="G19" s="2090"/>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ROUND(IF('数据-取费表'!B22&lt;=1,C5*F22*'数据-取费表'!B23,C5*(POWER((1+F22),'数据-取费表'!B23)-1)),0)</f>
        <v>#VALUE!</v>
      </c>
      <c r="D23" s="283"/>
      <c r="E23" s="283"/>
      <c r="F23" s="284"/>
      <c r="G23" s="285" t="s">
        <v>934</v>
      </c>
    </row>
    <row r="24" s="237" customFormat="1" ht="13.5" customHeight="1" spans="1:7">
      <c r="A24" s="282" t="s">
        <v>897</v>
      </c>
      <c r="B24" s="260" t="s">
        <v>935</v>
      </c>
      <c r="C24" s="283" t="e">
        <f ca="1">ROUND(IF('数据-取费表'!B22&lt;=1,C19*F22*('数据-取费表'!B19/2+'数据-取费表'!B21),C19*(POWER((1+F22),('数据-取费表'!B19/2+'数据-取费表'!B21))-1)),0)</f>
        <v>#VALUE!</v>
      </c>
      <c r="D24" s="283"/>
      <c r="E24" s="283"/>
      <c r="F24" s="284"/>
      <c r="G24" s="285" t="s">
        <v>936</v>
      </c>
    </row>
    <row r="25" s="237" customFormat="1" ht="24" spans="1:7">
      <c r="A25" s="282" t="s">
        <v>899</v>
      </c>
      <c r="B25" s="260" t="s">
        <v>937</v>
      </c>
      <c r="C25" s="283" t="e">
        <f ca="1">ROUND(IF('数据-取费表'!B22&lt;=1,C20*F22*'数据-取费表'!B23/2,C20*(POWER((1+F22),'数据-取费表'!B23/2)-1)),0)</f>
        <v>#VALUE!</v>
      </c>
      <c r="D25" s="283"/>
      <c r="E25" s="286"/>
      <c r="F25" s="284"/>
      <c r="G25" s="287" t="s">
        <v>938</v>
      </c>
    </row>
    <row r="26" s="237" customFormat="1" spans="1:7">
      <c r="A26" s="282" t="s">
        <v>939</v>
      </c>
      <c r="B26" s="260" t="s">
        <v>940</v>
      </c>
      <c r="C26" s="283" t="e">
        <f ca="1">ROUND(IF('数据-取费表'!B22&lt;=1,F21*F22*'数据-取费表'!B23/2,F21*(POWER((1+F22),'数据-取费表'!B23/2)-1)),4)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ROUND((C5+C19+C20)*F27*'数据-取费表'!B21/'数据-取费表'!B20,0)</f>
        <v>#DIV/0!</v>
      </c>
      <c r="D28" s="278"/>
      <c r="E28" s="279"/>
      <c r="F28" s="281"/>
      <c r="G28" s="291"/>
    </row>
    <row r="29" s="237" customFormat="1" ht="13.5" customHeight="1" spans="1:7">
      <c r="A29" s="282" t="s">
        <v>897</v>
      </c>
      <c r="B29" s="292" t="s">
        <v>945</v>
      </c>
      <c r="C29" s="283" t="e">
        <f ca="1">ROUND(C21*F27*'数据-取费表'!B21/'数据-取费表'!B20,4)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951</v>
      </c>
      <c r="B32" s="295"/>
      <c r="C32" s="295"/>
      <c r="D32" s="295"/>
      <c r="E32" s="295"/>
      <c r="F32" s="295"/>
      <c r="G32" s="296"/>
    </row>
    <row r="33" s="237" customFormat="1" ht="13.5" customHeight="1" spans="1:7">
      <c r="A33" s="255" t="s">
        <v>891</v>
      </c>
      <c r="B33" s="256" t="s">
        <v>952</v>
      </c>
      <c r="C33" s="276">
        <f ca="1">SUM(C34:C38)</f>
        <v>0</v>
      </c>
      <c r="D33" s="276"/>
      <c r="E33" s="257"/>
      <c r="F33" s="286"/>
      <c r="G33" s="280"/>
    </row>
    <row r="34" s="239" customFormat="1" ht="13.5" customHeight="1" spans="1:7">
      <c r="A34" s="282" t="s">
        <v>895</v>
      </c>
      <c r="B34" s="260" t="s">
        <v>953</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954</v>
      </c>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958</v>
      </c>
    </row>
    <row r="37" s="239" customFormat="1" ht="13.5" customHeight="1" spans="1:7">
      <c r="A37" s="282" t="s">
        <v>939</v>
      </c>
      <c r="B37" s="260" t="s">
        <v>959</v>
      </c>
      <c r="C37" s="293">
        <f ca="1">ROUND(E37*D37*F34/10000,0)</f>
        <v>0</v>
      </c>
      <c r="D37" s="262">
        <f ca="1">D19</f>
        <v>0</v>
      </c>
      <c r="E37" s="293">
        <f>'数据-取费表'!B35</f>
        <v>0</v>
      </c>
      <c r="F37" s="297"/>
      <c r="G37" s="299" t="s">
        <v>960</v>
      </c>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1">
        <f>F20</f>
        <v>0</v>
      </c>
      <c r="G39" s="280" t="s">
        <v>962</v>
      </c>
    </row>
    <row r="40" s="237" customFormat="1" ht="13.5" customHeight="1" spans="1:7">
      <c r="A40" s="255" t="s">
        <v>924</v>
      </c>
      <c r="B40" s="256" t="s">
        <v>928</v>
      </c>
      <c r="C40" s="278">
        <f>F21</f>
        <v>0</v>
      </c>
      <c r="D40" s="279" t="s">
        <v>963</v>
      </c>
      <c r="E40" s="276"/>
      <c r="F40" s="2091">
        <f>F21</f>
        <v>0</v>
      </c>
      <c r="G40" s="280" t="s">
        <v>964</v>
      </c>
    </row>
    <row r="41" s="237" customFormat="1" ht="13.5" customHeight="1" spans="1:7">
      <c r="A41" s="255" t="s">
        <v>927</v>
      </c>
      <c r="B41" s="256" t="s">
        <v>932</v>
      </c>
      <c r="C41" s="276" t="e">
        <f ca="1">ROUND(SUM(C42:C43),0)</f>
        <v>#VALUE!</v>
      </c>
      <c r="D41" s="278" t="e">
        <f ca="1">C44</f>
        <v>#VALUE!</v>
      </c>
      <c r="E41" s="279" t="s">
        <v>963</v>
      </c>
      <c r="F41" s="2092" t="e">
        <f ca="1">F22</f>
        <v>#VALUE!</v>
      </c>
      <c r="G41" s="280" t="str">
        <f>IF('数据-取费表'!B22&lt;=1,"单利计息","复利计息")</f>
        <v>单利计息</v>
      </c>
    </row>
    <row r="42" ht="13.5" customHeight="1" spans="1:7">
      <c r="A42" s="282" t="s">
        <v>895</v>
      </c>
      <c r="B42" s="260" t="s">
        <v>933</v>
      </c>
      <c r="C42" s="283" t="e">
        <f ca="1">ROUND(IF('数据-取费表'!B22&lt;=1,C33*F22*'数据-取费表'!B21/2,C33*(POWER((1+F22),'数据-取费表'!B21/2)-1)),0)</f>
        <v>#VALUE!</v>
      </c>
      <c r="D42" s="283"/>
      <c r="E42" s="283"/>
      <c r="F42" s="284"/>
      <c r="G42" s="300" t="s">
        <v>965</v>
      </c>
    </row>
    <row r="43" ht="13.5" customHeight="1" spans="1:7">
      <c r="A43" s="282" t="s">
        <v>897</v>
      </c>
      <c r="B43" s="260" t="s">
        <v>935</v>
      </c>
      <c r="C43" s="283" t="e">
        <f ca="1">ROUND(IF('数据-取费表'!B22&lt;=1,C39*F22*'数据-取费表'!B21/2,C39*(POWER((1+F22),'数据-取费表'!B21/2)-1)),0)</f>
        <v>#VALUE!</v>
      </c>
      <c r="D43" s="283"/>
      <c r="E43" s="283"/>
      <c r="F43" s="284"/>
      <c r="G43" s="301"/>
    </row>
    <row r="44" ht="13.5" customHeight="1" spans="1:7">
      <c r="A44" s="282" t="s">
        <v>899</v>
      </c>
      <c r="B44" s="260" t="s">
        <v>937</v>
      </c>
      <c r="C44" s="283" t="e">
        <f ca="1">ROUND(IF('数据-取费表'!B22&lt;=1,C40*F22*'数据-取费表'!B21/2,C40*(POWER((1+F22),'数据-取费表'!B21/2)-1)),4)</f>
        <v>#VALUE!</v>
      </c>
      <c r="D44" s="283"/>
      <c r="E44" s="283"/>
      <c r="F44" s="284"/>
      <c r="G44" s="302"/>
    </row>
    <row r="45" s="237" customFormat="1" ht="13.5" customHeight="1" spans="1:7">
      <c r="A45" s="255" t="s">
        <v>931</v>
      </c>
      <c r="B45" s="289" t="s">
        <v>942</v>
      </c>
      <c r="C45" s="290" t="e">
        <f ca="1">C46</f>
        <v>#DIV/0!</v>
      </c>
      <c r="D45" s="278" t="e">
        <f ca="1">C47</f>
        <v>#DIV/0!</v>
      </c>
      <c r="E45" s="279" t="s">
        <v>963</v>
      </c>
      <c r="F45" s="2092"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2">
        <f>F30</f>
        <v>0</v>
      </c>
      <c r="G48" s="280" t="s">
        <v>969</v>
      </c>
    </row>
    <row r="49" ht="16.5" customHeight="1" spans="1:7">
      <c r="A49" s="255" t="s">
        <v>946</v>
      </c>
      <c r="B49" s="256" t="s">
        <v>970</v>
      </c>
      <c r="C49" s="276" t="e">
        <f ca="1">ROUND((C33+C39+C41+C45)/(1-C40-D41-D45-C48),0)</f>
        <v>#VALUE!</v>
      </c>
      <c r="D49" s="276"/>
      <c r="E49" s="276"/>
      <c r="F49" s="290"/>
      <c r="G49" s="280" t="s">
        <v>971</v>
      </c>
    </row>
    <row r="50" s="239" customFormat="1" ht="24" spans="1:7">
      <c r="A50" s="255" t="s">
        <v>972</v>
      </c>
      <c r="B50" s="256" t="s">
        <v>973</v>
      </c>
      <c r="C50" s="276"/>
      <c r="D50" s="276"/>
      <c r="E50" s="276"/>
      <c r="F50" s="290" t="e">
        <f>IF('数据-取费表'!B24=0,'数据-取费表'!N16,1)</f>
        <v>#DIV/0!</v>
      </c>
      <c r="G50" s="291" t="s">
        <v>974</v>
      </c>
    </row>
    <row r="51" ht="16.5" customHeight="1" spans="1:7">
      <c r="A51" s="255" t="s">
        <v>975</v>
      </c>
      <c r="B51" s="256" t="s">
        <v>976</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885</v>
      </c>
      <c r="B1" s="2083"/>
      <c r="C1" s="2084" t="s">
        <v>982</v>
      </c>
      <c r="D1" s="245"/>
      <c r="E1" s="245"/>
      <c r="F1" s="245"/>
      <c r="G1" s="2085">
        <f>MATCH(B1,'数据-取费表'!A6:A16,0)+5</f>
        <v>6</v>
      </c>
      <c r="H1" s="1511" t="str">
        <f>IF(ISERROR(FIND("住宅",B1)),"非住宅","住宅")</f>
        <v>非住宅</v>
      </c>
    </row>
    <row r="2" s="235" customFormat="1" ht="18" customHeight="1" spans="1:7">
      <c r="A2" s="247" t="s">
        <v>886</v>
      </c>
      <c r="B2" s="248" t="e">
        <f ca="1">ROUND(IF(D2="——",C52/10000,C52/10000-E2),0)</f>
        <v>#VALUE!</v>
      </c>
      <c r="C2" s="246" t="s">
        <v>887</v>
      </c>
      <c r="D2" s="2086" t="s">
        <v>124</v>
      </c>
      <c r="E2" s="2087" t="e">
        <f ca="1">SUMIF(INDIRECT("'"&amp;G2&amp;"'"&amp;"!A:A"),"承租人权益价值",INDIRECT("'"&amp;G2&amp;"'"&amp;"!c:c"))</f>
        <v>#REF!</v>
      </c>
      <c r="F2" s="2088" t="s">
        <v>887</v>
      </c>
      <c r="G2" s="2089"/>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IF(G8="已包含在土地购买价格中",0,C9+C10)</f>
        <v>0</v>
      </c>
      <c r="D8" s="264"/>
      <c r="E8" s="262"/>
      <c r="F8" s="262"/>
      <c r="G8" s="2090"/>
    </row>
    <row r="9" s="237" customFormat="1" ht="13.5" customHeight="1" spans="1:7">
      <c r="A9" s="266" t="s">
        <v>901</v>
      </c>
      <c r="B9" s="267" t="s">
        <v>902</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904</v>
      </c>
      <c r="B10" s="267" t="s">
        <v>905</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IF(G19="已包含在土地取得成本中","0",ROUND(D19*E19,0))</f>
        <v>0</v>
      </c>
      <c r="D19" s="257">
        <f ca="1">D9+D10</f>
        <v>0</v>
      </c>
      <c r="E19" s="257">
        <f>'数据-取费表'!B31</f>
        <v>0</v>
      </c>
      <c r="F19" s="275"/>
      <c r="G19" s="2090"/>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ROUND(IF('数据-取费表'!B22&lt;=1,C5*F22*'数据-取费表'!B22,C5*(POWER((1+F22),'数据-取费表'!B22)-1)),0)</f>
        <v>#VALUE!</v>
      </c>
      <c r="D23" s="283"/>
      <c r="E23" s="283"/>
      <c r="F23" s="284"/>
      <c r="G23" s="285" t="s">
        <v>934</v>
      </c>
    </row>
    <row r="24" s="237" customFormat="1" ht="13.5" customHeight="1" spans="1:7">
      <c r="A24" s="282" t="s">
        <v>897</v>
      </c>
      <c r="B24" s="260" t="s">
        <v>935</v>
      </c>
      <c r="C24" s="283" t="e">
        <f ca="1">ROUND(IF('数据-取费表'!B22&lt;=1,C19*F22*('数据-取费表'!B19/2+'数据-取费表'!B20),C19*(POWER((1+F22),('数据-取费表'!B19/2+'数据-取费表'!B20))-1)),0)</f>
        <v>#VALUE!</v>
      </c>
      <c r="D24" s="283"/>
      <c r="E24" s="283"/>
      <c r="F24" s="284"/>
      <c r="G24" s="285" t="s">
        <v>936</v>
      </c>
    </row>
    <row r="25" s="237" customFormat="1" ht="24" spans="1:7">
      <c r="A25" s="282" t="s">
        <v>899</v>
      </c>
      <c r="B25" s="260" t="s">
        <v>937</v>
      </c>
      <c r="C25" s="283" t="e">
        <f ca="1">ROUND(IF('数据-取费表'!B22&lt;=1,C20*F22*'数据-取费表'!B22/2,C20*(POWER((1+F22),'数据-取费表'!B22/2)-1)),0)</f>
        <v>#VALUE!</v>
      </c>
      <c r="D25" s="283"/>
      <c r="E25" s="286"/>
      <c r="F25" s="284"/>
      <c r="G25" s="287" t="s">
        <v>938</v>
      </c>
    </row>
    <row r="26" s="237" customFormat="1" spans="1:7">
      <c r="A26" s="282" t="s">
        <v>939</v>
      </c>
      <c r="B26" s="260" t="s">
        <v>940</v>
      </c>
      <c r="C26" s="283" t="e">
        <f ca="1">ROUND(IF('数据-取费表'!B22&lt;=1,F21*F22*'数据-取费表'!B22/2,F21*(POWER((1+F22),'数据-取费表'!B22/2)-1)),4)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ROUND((C5+C19+C20)*F27,0)</f>
        <v>#DIV/0!</v>
      </c>
      <c r="D28" s="278"/>
      <c r="E28" s="279"/>
      <c r="F28" s="281"/>
      <c r="G28" s="291"/>
    </row>
    <row r="29" s="237" customFormat="1" ht="13.5" customHeight="1" spans="1:7">
      <c r="A29" s="282" t="s">
        <v>897</v>
      </c>
      <c r="B29" s="292" t="s">
        <v>945</v>
      </c>
      <c r="C29" s="283" t="e">
        <f ca="1">ROUND(C21*F27,4)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983</v>
      </c>
      <c r="B32" s="295"/>
      <c r="C32" s="295"/>
      <c r="D32" s="295"/>
      <c r="E32" s="295"/>
      <c r="F32" s="295"/>
      <c r="G32" s="296"/>
    </row>
    <row r="33" s="237" customFormat="1" ht="13.5" customHeight="1" spans="1:7">
      <c r="A33" s="255" t="s">
        <v>891</v>
      </c>
      <c r="B33" s="256" t="s">
        <v>984</v>
      </c>
      <c r="C33" s="276">
        <f ca="1">SUM(C34:C38)</f>
        <v>0</v>
      </c>
      <c r="D33" s="276"/>
      <c r="E33" s="257"/>
      <c r="F33" s="286"/>
      <c r="G33" s="280"/>
    </row>
    <row r="34" s="239" customFormat="1" ht="13.5" customHeight="1" spans="1:7">
      <c r="A34" s="282" t="s">
        <v>895</v>
      </c>
      <c r="B34" s="260" t="s">
        <v>953</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ROUND(IF(B1="",SUM('数据-取费表'!AP6:AP13)*F36,IF(INDIRECT("'数据-取费表'!c"&amp;$G$1)="住宅",INDIRECT("'数据-取费表'!k"&amp;$G$1)*INDIRECT("'数据-取费表'!l"&amp;$G$1)*F36,0)),0)</f>
        <v>0</v>
      </c>
      <c r="D36" s="262"/>
      <c r="E36" s="262"/>
      <c r="F36" s="297">
        <f>'数据-取费表'!B34</f>
        <v>0</v>
      </c>
      <c r="G36" s="298" t="s">
        <v>958</v>
      </c>
    </row>
    <row r="37" s="239" customFormat="1" ht="13.5" customHeight="1" spans="1:7">
      <c r="A37" s="282" t="s">
        <v>939</v>
      </c>
      <c r="B37" s="260" t="s">
        <v>959</v>
      </c>
      <c r="C37" s="293">
        <f ca="1">ROUND(E37*D37,0)</f>
        <v>0</v>
      </c>
      <c r="D37" s="262">
        <f ca="1">D19</f>
        <v>0</v>
      </c>
      <c r="E37" s="293">
        <f>'数据-取费表'!B35</f>
        <v>0</v>
      </c>
      <c r="F37" s="297"/>
      <c r="G37" s="299"/>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1">
        <f>F20</f>
        <v>0</v>
      </c>
      <c r="G39" s="280" t="s">
        <v>962</v>
      </c>
    </row>
    <row r="40" s="237" customFormat="1" ht="13.5" customHeight="1" spans="1:7">
      <c r="A40" s="255" t="s">
        <v>924</v>
      </c>
      <c r="B40" s="256" t="s">
        <v>928</v>
      </c>
      <c r="C40" s="278">
        <f>F21</f>
        <v>0</v>
      </c>
      <c r="D40" s="279" t="s">
        <v>963</v>
      </c>
      <c r="E40" s="276"/>
      <c r="F40" s="2091">
        <f>F21</f>
        <v>0</v>
      </c>
      <c r="G40" s="280" t="s">
        <v>964</v>
      </c>
    </row>
    <row r="41" s="237" customFormat="1" ht="13.5" customHeight="1" spans="1:7">
      <c r="A41" s="255" t="s">
        <v>927</v>
      </c>
      <c r="B41" s="256" t="s">
        <v>932</v>
      </c>
      <c r="C41" s="276" t="e">
        <f ca="1">ROUND(SUM(C42:C43),0)</f>
        <v>#VALUE!</v>
      </c>
      <c r="D41" s="278" t="e">
        <f ca="1">C44</f>
        <v>#VALUE!</v>
      </c>
      <c r="E41" s="279" t="s">
        <v>963</v>
      </c>
      <c r="F41" s="2092" t="e">
        <f ca="1">F22</f>
        <v>#VALUE!</v>
      </c>
      <c r="G41" s="280" t="str">
        <f>IF('数据-取费表'!B22&lt;=1,"单利计息","复利计息")</f>
        <v>单利计息</v>
      </c>
    </row>
    <row r="42" ht="13.5" customHeight="1" spans="1:7">
      <c r="A42" s="282" t="s">
        <v>895</v>
      </c>
      <c r="B42" s="260" t="s">
        <v>933</v>
      </c>
      <c r="C42" s="283" t="e">
        <f ca="1">ROUND(IF('数据-取费表'!B22&lt;=1,C33*F22*'数据-取费表'!B20/2,C33*(POWER((1+F22),'数据-取费表'!B20/2)-1)),0)</f>
        <v>#VALUE!</v>
      </c>
      <c r="D42" s="283"/>
      <c r="E42" s="283"/>
      <c r="F42" s="284"/>
      <c r="G42" s="300" t="s">
        <v>985</v>
      </c>
    </row>
    <row r="43" ht="13.5" customHeight="1" spans="1:7">
      <c r="A43" s="282" t="s">
        <v>897</v>
      </c>
      <c r="B43" s="260" t="s">
        <v>935</v>
      </c>
      <c r="C43" s="283" t="e">
        <f ca="1">ROUND(IF('数据-取费表'!B22&lt;=1,C39*F22*'数据-取费表'!B20/2,C39*(POWER((1+F22),'数据-取费表'!B20/2)-1)),0)</f>
        <v>#VALUE!</v>
      </c>
      <c r="D43" s="283"/>
      <c r="E43" s="283"/>
      <c r="F43" s="284"/>
      <c r="G43" s="301"/>
    </row>
    <row r="44" ht="13.5" customHeight="1" spans="1:7">
      <c r="A44" s="282" t="s">
        <v>899</v>
      </c>
      <c r="B44" s="260" t="s">
        <v>937</v>
      </c>
      <c r="C44" s="283" t="e">
        <f ca="1">ROUND(IF('数据-取费表'!B22&lt;=1,C40*F22*'数据-取费表'!B20/2,C40*(POWER((1+F22),'数据-取费表'!B20/2)-1)),4)</f>
        <v>#VALUE!</v>
      </c>
      <c r="D44" s="283"/>
      <c r="E44" s="283"/>
      <c r="F44" s="284"/>
      <c r="G44" s="302"/>
    </row>
    <row r="45" s="237" customFormat="1" ht="13.5" customHeight="1" spans="1:7">
      <c r="A45" s="255" t="s">
        <v>931</v>
      </c>
      <c r="B45" s="289" t="s">
        <v>942</v>
      </c>
      <c r="C45" s="290" t="e">
        <f ca="1">C46</f>
        <v>#DIV/0!</v>
      </c>
      <c r="D45" s="278" t="e">
        <f ca="1">C47</f>
        <v>#DIV/0!</v>
      </c>
      <c r="E45" s="279" t="s">
        <v>963</v>
      </c>
      <c r="F45" s="2092"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2">
        <f>F30</f>
        <v>0</v>
      </c>
      <c r="G48" s="280" t="s">
        <v>969</v>
      </c>
    </row>
    <row r="49" ht="16.5" customHeight="1" spans="1:7">
      <c r="A49" s="255" t="s">
        <v>946</v>
      </c>
      <c r="B49" s="256" t="s">
        <v>986</v>
      </c>
      <c r="C49" s="276" t="e">
        <f ca="1">ROUND((C33+C39+C41+C45)/(1-C40-D41-D45-C48),0)</f>
        <v>#VALUE!</v>
      </c>
      <c r="D49" s="276"/>
      <c r="E49" s="276"/>
      <c r="F49" s="290"/>
      <c r="G49" s="280" t="s">
        <v>971</v>
      </c>
    </row>
    <row r="50" s="239" customFormat="1" spans="1:7">
      <c r="A50" s="255" t="s">
        <v>972</v>
      </c>
      <c r="B50" s="256" t="s">
        <v>973</v>
      </c>
      <c r="C50" s="276"/>
      <c r="D50" s="276"/>
      <c r="E50" s="276"/>
      <c r="F50" s="290" t="e">
        <f>IF('数据-取费表'!B24=0,'数据-取费表'!N16,1)</f>
        <v>#DIV/0!</v>
      </c>
      <c r="G50" s="291"/>
    </row>
    <row r="51" ht="16.5" customHeight="1" spans="1:7">
      <c r="A51" s="255" t="s">
        <v>975</v>
      </c>
      <c r="B51" s="256" t="s">
        <v>987</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8888888888889"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988</v>
      </c>
      <c r="B1" s="1839"/>
      <c r="C1" s="2017"/>
      <c r="D1" s="2018"/>
      <c r="E1" s="2019"/>
      <c r="F1" s="2019"/>
      <c r="G1" s="2020"/>
      <c r="H1" s="2019"/>
      <c r="I1" s="2019"/>
      <c r="J1" s="2019"/>
      <c r="K1" s="2071">
        <f>MATCH(C1,'数据-取费表'!A6:A16,0)+5</f>
        <v>6</v>
      </c>
    </row>
    <row r="2" ht="18" customHeight="1" spans="1:11">
      <c r="A2" s="247" t="s">
        <v>886</v>
      </c>
      <c r="B2" s="251" t="e">
        <f ca="1">C32</f>
        <v>#VALUE!</v>
      </c>
      <c r="C2" s="2021" t="s">
        <v>989</v>
      </c>
      <c r="D2" s="2021"/>
      <c r="E2" s="2019"/>
      <c r="F2" s="2019"/>
      <c r="G2" s="2019"/>
      <c r="H2" s="2019"/>
      <c r="I2" s="2019"/>
      <c r="J2" s="2019"/>
      <c r="K2" s="2019"/>
    </row>
    <row r="3" ht="18" customHeight="1" spans="1:11">
      <c r="A3" s="250" t="s">
        <v>888</v>
      </c>
      <c r="B3" s="251" t="e">
        <f ca="1">ROUND(B2*10000/IF(C1="",'数据-汇总表'!E3,INDIRECT("'数据-取费表'!K"&amp;$K$1)),0)</f>
        <v>#VALUE!</v>
      </c>
      <c r="C3" s="2021" t="s">
        <v>990</v>
      </c>
      <c r="D3" s="2021"/>
      <c r="E3" s="2019"/>
      <c r="F3" s="2019"/>
      <c r="G3" s="2019"/>
      <c r="H3" s="2019"/>
      <c r="I3" s="2019"/>
      <c r="J3" s="2019"/>
      <c r="K3" s="2019"/>
    </row>
    <row r="4" s="2006" customFormat="1" ht="16.5" customHeight="1" spans="1:11">
      <c r="A4" s="2022" t="s">
        <v>991</v>
      </c>
      <c r="B4" s="2023"/>
      <c r="C4" s="2024">
        <f>SUM(C8:K8)</f>
        <v>0</v>
      </c>
      <c r="D4" s="2023"/>
      <c r="E4" s="2023"/>
      <c r="F4" s="2023"/>
      <c r="G4" s="2023"/>
      <c r="H4" s="2023"/>
      <c r="I4" s="2023"/>
      <c r="J4" s="2023"/>
      <c r="K4" s="2072"/>
    </row>
    <row r="5" s="2007" customFormat="1" ht="25.2" spans="1:33">
      <c r="A5" s="2025" t="s">
        <v>992</v>
      </c>
      <c r="B5" s="2026" t="s">
        <v>993</v>
      </c>
      <c r="C5" s="2027" t="s">
        <v>994</v>
      </c>
      <c r="D5" s="2027" t="s">
        <v>995</v>
      </c>
      <c r="E5" s="2027" t="s">
        <v>996</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796</v>
      </c>
      <c r="B6" s="1809" t="s">
        <v>997</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800</v>
      </c>
      <c r="B7" s="1809" t="s">
        <v>364</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845</v>
      </c>
      <c r="B8" s="2031" t="s">
        <v>998</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999</v>
      </c>
      <c r="B9" s="2023"/>
      <c r="C9" s="2023"/>
      <c r="D9" s="2023"/>
      <c r="E9" s="2023"/>
      <c r="F9" s="2023"/>
      <c r="G9" s="2023"/>
      <c r="H9" s="2023"/>
      <c r="I9" s="2023"/>
      <c r="J9" s="2023"/>
      <c r="K9" s="2072"/>
    </row>
    <row r="10" s="2009" customFormat="1" ht="13.5" customHeight="1" spans="1:11">
      <c r="A10" s="2025" t="s">
        <v>992</v>
      </c>
      <c r="B10" s="2034" t="s">
        <v>993</v>
      </c>
      <c r="C10" s="2035" t="s">
        <v>1000</v>
      </c>
      <c r="D10" s="2035" t="s">
        <v>1001</v>
      </c>
      <c r="E10" s="2035" t="s">
        <v>1002</v>
      </c>
      <c r="F10" s="2035" t="s">
        <v>1003</v>
      </c>
      <c r="G10" s="2034"/>
      <c r="H10" s="2036"/>
      <c r="I10" s="2036"/>
      <c r="J10" s="2036"/>
      <c r="K10" s="2077"/>
    </row>
    <row r="11" s="2010" customFormat="1" ht="13.5" customHeight="1" spans="1:11">
      <c r="A11" s="2037" t="s">
        <v>901</v>
      </c>
      <c r="B11" s="2038" t="s">
        <v>1004</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904</v>
      </c>
      <c r="B12" s="2038" t="s">
        <v>1005</v>
      </c>
      <c r="C12" s="375">
        <f ca="1">ROUND(C11*F12,0)</f>
        <v>0</v>
      </c>
      <c r="D12" s="2039"/>
      <c r="E12" s="1812"/>
      <c r="F12" s="2039">
        <f>'数据-取费表'!B33</f>
        <v>0</v>
      </c>
      <c r="G12" s="2034" t="s">
        <v>1006</v>
      </c>
      <c r="H12" s="2036"/>
      <c r="I12" s="2036"/>
      <c r="J12" s="2036"/>
      <c r="K12" s="2077"/>
    </row>
    <row r="13" s="2010" customFormat="1" ht="13.5" customHeight="1" spans="1:11">
      <c r="A13" s="2037" t="s">
        <v>1007</v>
      </c>
      <c r="B13" s="2038" t="s">
        <v>1008</v>
      </c>
      <c r="C13" s="375">
        <f ca="1">ROUND(IF(C1="",SUMIF('数据-取费表'!C:C,"住宅",'数据-取费表'!P:P)*F13,IF(INDIRECT("'数据-取费表'!c"&amp;$K$1)="住宅",INDIRECT("'数据-取费表'!P"&amp;$K$1)*F13,0)),0)</f>
        <v>0</v>
      </c>
      <c r="D13" s="2039"/>
      <c r="E13" s="1812"/>
      <c r="F13" s="2039">
        <f>'数据-取费表'!B34</f>
        <v>0</v>
      </c>
      <c r="G13" s="2034" t="s">
        <v>1009</v>
      </c>
      <c r="H13" s="2036"/>
      <c r="I13" s="2036"/>
      <c r="J13" s="2036"/>
      <c r="K13" s="2077"/>
    </row>
    <row r="14" s="2011" customFormat="1" ht="13.5" customHeight="1" spans="1:33">
      <c r="A14" s="2037" t="s">
        <v>1010</v>
      </c>
      <c r="B14" s="2038" t="s">
        <v>1011</v>
      </c>
      <c r="C14" s="375">
        <f ca="1">ROUND(D14*E14*F11/10000,0)</f>
        <v>0</v>
      </c>
      <c r="D14" s="2039">
        <f ca="1">IF(C1="",'数据-汇总表'!E3,INDIRECT("'数据-取费表'!K"&amp;$K$1)+INDIRECT("'数据-取费表'!S"&amp;$K$1))</f>
        <v>0</v>
      </c>
      <c r="E14" s="375">
        <f>'数据-取费表'!B35</f>
        <v>0</v>
      </c>
      <c r="F14" s="2039"/>
      <c r="G14" s="2034" t="s">
        <v>1012</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1013</v>
      </c>
      <c r="B15" s="2038" t="s">
        <v>1014</v>
      </c>
      <c r="C15" s="2039">
        <f ca="1">ROUND(C11*F15,0)</f>
        <v>0</v>
      </c>
      <c r="D15" s="2040"/>
      <c r="E15" s="2039"/>
      <c r="F15" s="2039">
        <f>'数据-取费表'!B36</f>
        <v>0</v>
      </c>
      <c r="G15" s="1809" t="s">
        <v>1015</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819</v>
      </c>
      <c r="B16" s="2038" t="s">
        <v>1016</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823</v>
      </c>
      <c r="B17" s="2038" t="s">
        <v>1017</v>
      </c>
      <c r="C17" s="375">
        <f ca="1">ROUND(D17*E17/10000,0)</f>
        <v>0</v>
      </c>
      <c r="D17" s="2039">
        <f ca="1">D14</f>
        <v>0</v>
      </c>
      <c r="E17" s="375">
        <f>'数据-取费表'!B32</f>
        <v>0</v>
      </c>
      <c r="F17" s="2040"/>
      <c r="G17" s="1809" t="s">
        <v>1018</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1019</v>
      </c>
      <c r="B18" s="2038" t="s">
        <v>1020</v>
      </c>
      <c r="C18" s="375">
        <f ca="1">C19+C20-IF(C1="",'数据-取费表'!B29,IF(G18="已全部缴纳",C19+C20,H18))</f>
        <v>0</v>
      </c>
      <c r="D18" s="2039"/>
      <c r="E18" s="375"/>
      <c r="F18" s="2039"/>
      <c r="G18" s="2042"/>
      <c r="H18" s="2043"/>
      <c r="I18" s="2078" t="s">
        <v>1021</v>
      </c>
      <c r="J18" s="1915"/>
      <c r="K18" s="1916"/>
    </row>
    <row r="19" s="2010" customFormat="1" ht="13.5" customHeight="1" spans="1:11">
      <c r="A19" s="2037" t="s">
        <v>901</v>
      </c>
      <c r="B19" s="2038" t="s">
        <v>352</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904</v>
      </c>
      <c r="B20" s="2038" t="s">
        <v>1022</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796</v>
      </c>
      <c r="B21" s="2046" t="s">
        <v>1023</v>
      </c>
      <c r="C21" s="2047">
        <f ca="1">C16+C17+C18</f>
        <v>0</v>
      </c>
      <c r="D21" s="2048"/>
      <c r="E21" s="2048"/>
      <c r="F21" s="2048"/>
      <c r="G21" s="1809" t="s">
        <v>1024</v>
      </c>
      <c r="H21" s="1915"/>
      <c r="I21" s="1915"/>
      <c r="J21" s="1915"/>
      <c r="K21" s="1916"/>
    </row>
    <row r="22" s="2010" customFormat="1" ht="13.5" customHeight="1" spans="1:11">
      <c r="A22" s="2028" t="s">
        <v>800</v>
      </c>
      <c r="B22" s="2046" t="s">
        <v>1025</v>
      </c>
      <c r="C22" s="2047">
        <f ca="1">ROUND(C21*F22,0)</f>
        <v>0</v>
      </c>
      <c r="D22" s="2048"/>
      <c r="E22" s="2048"/>
      <c r="F22" s="2047">
        <f>'数据-取费表'!B37</f>
        <v>0</v>
      </c>
      <c r="G22" s="2034" t="s">
        <v>1026</v>
      </c>
      <c r="H22" s="2036"/>
      <c r="I22" s="2036"/>
      <c r="J22" s="2036"/>
      <c r="K22" s="2077"/>
    </row>
    <row r="23" s="2010" customFormat="1" ht="13.5" customHeight="1" spans="1:11">
      <c r="A23" s="2028" t="s">
        <v>845</v>
      </c>
      <c r="B23" s="2046" t="s">
        <v>1027</v>
      </c>
      <c r="C23" s="2047">
        <f ca="1">ROUND(C4*F23*F11,0)</f>
        <v>0</v>
      </c>
      <c r="D23" s="2048"/>
      <c r="E23" s="2048"/>
      <c r="F23" s="2047">
        <f>'数据-取费表'!B38</f>
        <v>0</v>
      </c>
      <c r="G23" s="2034" t="s">
        <v>1028</v>
      </c>
      <c r="H23" s="2036"/>
      <c r="I23" s="2036"/>
      <c r="J23" s="2036"/>
      <c r="K23" s="2077"/>
    </row>
    <row r="24" s="2010" customFormat="1" ht="13.5" customHeight="1" spans="1:11">
      <c r="A24" s="2028" t="s">
        <v>848</v>
      </c>
      <c r="B24" s="2046" t="s">
        <v>1029</v>
      </c>
      <c r="C24" s="2049">
        <f>ROUND(F24/(1+'数据-取费表'!C42),4)</f>
        <v>0</v>
      </c>
      <c r="D24" s="2048" t="s">
        <v>1030</v>
      </c>
      <c r="E24" s="2048"/>
      <c r="F24" s="2047">
        <f>IF(项目基本情况!B8="出让",0,'数据-取费表'!B48+'数据-取费表'!B49)</f>
        <v>0</v>
      </c>
      <c r="G24" s="2034" t="s">
        <v>1031</v>
      </c>
      <c r="H24" s="2050"/>
      <c r="I24" s="2050"/>
      <c r="J24" s="2050"/>
      <c r="K24" s="2080"/>
    </row>
    <row r="25" s="2010" customFormat="1" ht="13.5" customHeight="1" spans="1:11">
      <c r="A25" s="2028" t="s">
        <v>852</v>
      </c>
      <c r="B25" s="2048" t="s">
        <v>1032</v>
      </c>
      <c r="C25" s="2051" t="e">
        <f ca="1">C27</f>
        <v>#VALUE!</v>
      </c>
      <c r="D25" s="2049" t="e">
        <f ca="1">C26</f>
        <v>#VALUE!</v>
      </c>
      <c r="E25" s="2052" t="s">
        <v>1030</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819</v>
      </c>
      <c r="B26" s="2054" t="s">
        <v>1033</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823</v>
      </c>
      <c r="B27" s="2054" t="s">
        <v>1034</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853</v>
      </c>
      <c r="B28" s="2058" t="s">
        <v>1035</v>
      </c>
      <c r="C28" s="2059" t="e">
        <f ca="1">C30</f>
        <v>#DIV/0!</v>
      </c>
      <c r="D28" s="2049" t="e">
        <f ca="1">C29</f>
        <v>#DIV/0!</v>
      </c>
      <c r="E28" s="2052" t="s">
        <v>1030</v>
      </c>
      <c r="F28" s="1187" t="e">
        <f ca="1">IF(C1="",'数据-取费表'!Q16,INDIRECT("'数据-取费表'!q"&amp;$K$1))</f>
        <v>#DIV/0!</v>
      </c>
      <c r="G28" s="2060"/>
      <c r="H28" s="2050"/>
      <c r="I28" s="2050"/>
      <c r="J28" s="2050"/>
      <c r="K28" s="2080"/>
    </row>
    <row r="29" s="2014" customFormat="1" ht="13.5" customHeight="1" spans="1:11">
      <c r="A29" s="2037" t="s">
        <v>819</v>
      </c>
      <c r="B29" s="2061" t="s">
        <v>1036</v>
      </c>
      <c r="C29" s="375" t="e">
        <f ca="1">ROUND((1+C24)*F28*'数据-取费表'!B24/'数据-取费表'!B20,4)</f>
        <v>#DIV/0!</v>
      </c>
      <c r="D29" s="375"/>
      <c r="E29" s="2055"/>
      <c r="F29" s="378"/>
      <c r="G29" s="1809" t="s">
        <v>1037</v>
      </c>
      <c r="H29" s="1915"/>
      <c r="I29" s="1915"/>
      <c r="J29" s="1915"/>
      <c r="K29" s="1916"/>
    </row>
    <row r="30" s="2014" customFormat="1" ht="13.5" customHeight="1" spans="1:11">
      <c r="A30" s="2037" t="s">
        <v>823</v>
      </c>
      <c r="B30" s="2061" t="s">
        <v>1038</v>
      </c>
      <c r="C30" s="378" t="e">
        <f ca="1">ROUND((C21+C22+C23)*F28,0)</f>
        <v>#DIV/0!</v>
      </c>
      <c r="D30" s="375"/>
      <c r="E30" s="2055"/>
      <c r="F30" s="378"/>
      <c r="G30" s="1809"/>
      <c r="H30" s="1915"/>
      <c r="I30" s="1915"/>
      <c r="J30" s="1915"/>
      <c r="K30" s="1916"/>
    </row>
    <row r="31" s="2010" customFormat="1" ht="13.5" customHeight="1" spans="1:11">
      <c r="A31" s="2062" t="s">
        <v>1039</v>
      </c>
      <c r="B31" s="2063" t="s">
        <v>1040</v>
      </c>
      <c r="C31" s="2064">
        <f>ROUND(C4*F31/(1+'数据-取费表'!C42),0)</f>
        <v>0</v>
      </c>
      <c r="D31" s="2065"/>
      <c r="E31" s="2065"/>
      <c r="F31" s="2064">
        <f>'数据-取费表'!B41</f>
        <v>0</v>
      </c>
      <c r="G31" s="2066" t="s">
        <v>1041</v>
      </c>
      <c r="H31" s="2067"/>
      <c r="I31" s="2067"/>
      <c r="J31" s="2067"/>
      <c r="K31" s="2081"/>
    </row>
    <row r="32" s="2009" customFormat="1" ht="13.5" customHeight="1" spans="1:11">
      <c r="A32" s="1189" t="s">
        <v>1042</v>
      </c>
      <c r="B32" s="2068"/>
      <c r="C32" s="2069" t="e">
        <f ca="1">ROUND((C4-C21-C22-C23-C25-C28-C31)/(1+C24+D25+D28),0)</f>
        <v>#VALUE!</v>
      </c>
      <c r="D32" s="2068"/>
      <c r="E32" s="2068"/>
      <c r="F32" s="2068"/>
      <c r="G32" s="2070" t="s">
        <v>1043</v>
      </c>
      <c r="H32" s="2068"/>
      <c r="I32" s="2068"/>
      <c r="J32" s="2068"/>
      <c r="K32" s="2082"/>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1044</v>
      </c>
      <c r="B1" s="1177"/>
      <c r="C1" s="1739"/>
      <c r="D1" s="1740"/>
      <c r="E1" s="1741" t="s">
        <v>1045</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1046</v>
      </c>
      <c r="B2" s="1744" t="e">
        <f ca="1">C40+J29+L46</f>
        <v>#VALUE!</v>
      </c>
      <c r="C2" s="1745" t="s">
        <v>1047</v>
      </c>
      <c r="D2" s="1745"/>
      <c r="E2" s="1747"/>
      <c r="F2" s="1748"/>
      <c r="G2" s="1749"/>
      <c r="H2" s="1750"/>
      <c r="I2" s="1750"/>
      <c r="J2" s="1750"/>
      <c r="K2" s="1902"/>
      <c r="L2" s="1750"/>
      <c r="M2" s="1750"/>
    </row>
    <row r="3" ht="18" customHeight="1" spans="1:13">
      <c r="A3" s="1751" t="s">
        <v>1048</v>
      </c>
      <c r="B3" s="1752">
        <f ca="1">IF(ISERROR(B2*10000/F43),0,ROUND(B2*10000/F43,0))</f>
        <v>0</v>
      </c>
      <c r="C3" s="1745" t="s">
        <v>1049</v>
      </c>
      <c r="D3" s="1745"/>
      <c r="E3" s="1747"/>
      <c r="F3" s="1748"/>
      <c r="G3" s="1749"/>
      <c r="H3" s="1753" t="s">
        <v>1050</v>
      </c>
      <c r="I3" s="1903"/>
      <c r="J3" s="1903"/>
      <c r="K3" s="1904"/>
      <c r="L3" s="1903"/>
      <c r="M3" s="1903"/>
    </row>
    <row r="4" ht="18" customHeight="1" spans="1:13">
      <c r="A4" s="1754" t="s">
        <v>1051</v>
      </c>
      <c r="B4" s="1755" t="s">
        <v>1052</v>
      </c>
      <c r="C4" s="1755" t="s">
        <v>1053</v>
      </c>
      <c r="D4" s="1755" t="s">
        <v>1054</v>
      </c>
      <c r="E4" s="1756" t="s">
        <v>1055</v>
      </c>
      <c r="F4" s="1757"/>
      <c r="G4" s="1736"/>
      <c r="H4" s="1754" t="s">
        <v>1051</v>
      </c>
      <c r="I4" s="1755" t="s">
        <v>1052</v>
      </c>
      <c r="J4" s="1755" t="s">
        <v>1053</v>
      </c>
      <c r="K4" s="1755" t="s">
        <v>1054</v>
      </c>
      <c r="L4" s="1756" t="s">
        <v>1055</v>
      </c>
      <c r="M4" s="1757"/>
    </row>
    <row r="5" ht="18" customHeight="1" spans="1:13">
      <c r="A5" s="1758">
        <v>1</v>
      </c>
      <c r="B5" s="1759" t="s">
        <v>1056</v>
      </c>
      <c r="C5" s="1760">
        <f ca="1">C6+C10+C12</f>
        <v>0</v>
      </c>
      <c r="D5" s="1761" t="s">
        <v>1057</v>
      </c>
      <c r="E5" s="1762"/>
      <c r="F5" s="1763"/>
      <c r="G5" s="1736"/>
      <c r="H5" s="1758">
        <v>1</v>
      </c>
      <c r="I5" s="1759" t="s">
        <v>1056</v>
      </c>
      <c r="J5" s="1760">
        <f ca="1">J6+J10+J12</f>
        <v>0</v>
      </c>
      <c r="K5" s="1761" t="s">
        <v>1057</v>
      </c>
      <c r="L5" s="1762"/>
      <c r="M5" s="1763"/>
    </row>
    <row r="6" ht="18" customHeight="1" spans="1:13">
      <c r="A6" s="1764" t="s">
        <v>796</v>
      </c>
      <c r="B6" s="1765" t="s">
        <v>1058</v>
      </c>
      <c r="C6" s="1766">
        <f ca="1">ROUND(F6*F8*F7*(1-F9)/10000,0)</f>
        <v>0</v>
      </c>
      <c r="D6" s="1767" t="s">
        <v>1059</v>
      </c>
      <c r="E6" s="1768" t="s">
        <v>1060</v>
      </c>
      <c r="F6" s="1769">
        <f ca="1">INDIRECT("'数据-取费表'!u"&amp;$G$1)</f>
        <v>0</v>
      </c>
      <c r="G6" s="1736"/>
      <c r="H6" s="1764" t="s">
        <v>796</v>
      </c>
      <c r="I6" s="1765" t="s">
        <v>1058</v>
      </c>
      <c r="J6" s="1835">
        <f ca="1">ROUND(M6*M8*M7*(1-M9)/10000,0)</f>
        <v>0</v>
      </c>
      <c r="K6" s="1767" t="s">
        <v>1061</v>
      </c>
      <c r="L6" s="1768" t="s">
        <v>1060</v>
      </c>
      <c r="M6" s="1769">
        <f ca="1">INDIRECT("'数据-取费表'!z"&amp;$G$1)</f>
        <v>0</v>
      </c>
    </row>
    <row r="7" ht="18" customHeight="1" spans="1:13">
      <c r="A7" s="1770"/>
      <c r="B7" s="1771"/>
      <c r="C7" s="1772"/>
      <c r="D7" s="1773"/>
      <c r="E7" s="1774" t="s">
        <v>1062</v>
      </c>
      <c r="F7" s="1769">
        <f ca="1">IF(INDIRECT("'数据-取费表'!ah"&amp;$G$1)="",INDIRECT("'数据-取费表'!k"&amp;$G$1),INDIRECT("'数据-取费表'!ah"&amp;$G$1))</f>
        <v>0</v>
      </c>
      <c r="G7" s="1736"/>
      <c r="H7" s="1775"/>
      <c r="I7" s="1771"/>
      <c r="J7" s="1776"/>
      <c r="K7" s="1773"/>
      <c r="L7" s="1768" t="s">
        <v>1062</v>
      </c>
      <c r="M7" s="1769">
        <f ca="1">F7</f>
        <v>0</v>
      </c>
    </row>
    <row r="8" ht="18" customHeight="1" spans="1:13">
      <c r="A8" s="1775"/>
      <c r="B8" s="1771"/>
      <c r="C8" s="1776"/>
      <c r="D8" s="1773"/>
      <c r="E8" s="1768" t="s">
        <v>1063</v>
      </c>
      <c r="F8" s="1769">
        <f ca="1">INDIRECT("'数据-取费表'!ai"&amp;$G$1)</f>
        <v>0</v>
      </c>
      <c r="G8" s="1736"/>
      <c r="H8" s="1775"/>
      <c r="I8" s="1771"/>
      <c r="J8" s="1776"/>
      <c r="K8" s="1773"/>
      <c r="L8" s="1768" t="s">
        <v>1063</v>
      </c>
      <c r="M8" s="1769">
        <f ca="1">INDIRECT("'数据-取费表'!ai"&amp;$G$1)</f>
        <v>0</v>
      </c>
    </row>
    <row r="9" ht="18" customHeight="1" spans="1:13">
      <c r="A9" s="1775"/>
      <c r="B9" s="1777"/>
      <c r="C9" s="1776"/>
      <c r="D9" s="1773"/>
      <c r="E9" s="1768" t="s">
        <v>1064</v>
      </c>
      <c r="F9" s="1769">
        <f ca="1">INDIRECT("'数据-取费表'!w"&amp;$G$1)</f>
        <v>0</v>
      </c>
      <c r="G9" s="1736"/>
      <c r="H9" s="1775"/>
      <c r="I9" s="1777"/>
      <c r="J9" s="1776"/>
      <c r="K9" s="1773"/>
      <c r="L9" s="1780" t="s">
        <v>1064</v>
      </c>
      <c r="M9" s="1785">
        <f ca="1">INDIRECT("'数据-取费表'!ab"&amp;$G$1)</f>
        <v>0</v>
      </c>
    </row>
    <row r="10" ht="18" customHeight="1" spans="1:13">
      <c r="A10" s="1764" t="s">
        <v>800</v>
      </c>
      <c r="B10" s="1778" t="s">
        <v>1065</v>
      </c>
      <c r="C10" s="374">
        <f ca="1">ROUND(IF(F10="押一",C6/12*F11,IF(F10="押二",C6/12*2*F11,IF(F10="押三",C6/12*3*F11,C11*F11))),0)</f>
        <v>0</v>
      </c>
      <c r="D10" s="1779" t="s">
        <v>1066</v>
      </c>
      <c r="E10" s="1780" t="s">
        <v>1067</v>
      </c>
      <c r="F10" s="1781"/>
      <c r="G10" s="1736"/>
      <c r="H10" s="1764" t="s">
        <v>800</v>
      </c>
      <c r="I10" s="1778" t="s">
        <v>1065</v>
      </c>
      <c r="J10" s="1835">
        <f ca="1">ROUND(IF(M10="押一",J6/12*M11,IF(M10="押二",J6/12*2*M11,IF(M10="押三",J6/12*3*M11,J11*M11))),0)</f>
        <v>0</v>
      </c>
      <c r="K10" s="1779" t="s">
        <v>1066</v>
      </c>
      <c r="L10" s="1780" t="s">
        <v>1067</v>
      </c>
      <c r="M10" s="1781" t="s">
        <v>1068</v>
      </c>
    </row>
    <row r="11" ht="18" customHeight="1" spans="1:13">
      <c r="A11" s="1782"/>
      <c r="B11" s="1783" t="s">
        <v>1069</v>
      </c>
      <c r="C11" s="1784"/>
      <c r="D11" s="1999"/>
      <c r="E11" s="1780" t="s">
        <v>1070</v>
      </c>
      <c r="F11" s="1785">
        <f ca="1">'数据-取费表'!B39</f>
        <v>0.015</v>
      </c>
      <c r="G11" s="1736"/>
      <c r="H11" s="1786"/>
      <c r="I11" s="1783" t="s">
        <v>1069</v>
      </c>
      <c r="J11" s="1784"/>
      <c r="K11" s="1907"/>
      <c r="L11" s="1780" t="s">
        <v>1070</v>
      </c>
      <c r="M11" s="1908">
        <f ca="1">'数据-取费表'!B39</f>
        <v>0.015</v>
      </c>
    </row>
    <row r="12" ht="18" customHeight="1" spans="1:13">
      <c r="A12" s="1787" t="s">
        <v>845</v>
      </c>
      <c r="B12" s="1788" t="s">
        <v>1071</v>
      </c>
      <c r="C12" s="1789"/>
      <c r="D12" s="1790"/>
      <c r="E12" s="1791"/>
      <c r="F12" s="1792"/>
      <c r="G12" s="1736"/>
      <c r="H12" s="1787" t="s">
        <v>845</v>
      </c>
      <c r="I12" s="1788" t="s">
        <v>1071</v>
      </c>
      <c r="J12" s="1789"/>
      <c r="K12" s="1909"/>
      <c r="L12" s="1791"/>
      <c r="M12" s="1910"/>
    </row>
    <row r="13" ht="18" customHeight="1" spans="1:13">
      <c r="A13" s="1793">
        <v>2</v>
      </c>
      <c r="B13" s="1794" t="s">
        <v>1072</v>
      </c>
      <c r="C13" s="1795" t="e">
        <f ca="1">ROUND(C29*F13,0)</f>
        <v>#VALUE!</v>
      </c>
      <c r="D13" s="1796" t="s">
        <v>1073</v>
      </c>
      <c r="E13" s="1796" t="s">
        <v>1074</v>
      </c>
      <c r="F13" s="1797">
        <f ca="1">INDIRECT("'数据-取费表'!y"&amp;$G$1)</f>
        <v>0</v>
      </c>
      <c r="G13" s="1736"/>
      <c r="H13" s="1793">
        <v>2</v>
      </c>
      <c r="I13" s="1794" t="s">
        <v>1072</v>
      </c>
      <c r="J13" s="1911" t="e">
        <f ca="1">ROUND(J14*J15,0)</f>
        <v>#VALUE!</v>
      </c>
      <c r="K13" s="1817" t="s">
        <v>1073</v>
      </c>
      <c r="L13" s="1912"/>
      <c r="M13" s="1913"/>
    </row>
    <row r="14" ht="18" customHeight="1" spans="1:13">
      <c r="A14" s="1798" t="s">
        <v>819</v>
      </c>
      <c r="B14" s="1768" t="s">
        <v>1075</v>
      </c>
      <c r="C14" s="1799">
        <f ca="1">INDIRECT("'数据-取费表'!m"&amp;$G$1)+INDIRECT("'数据-取费表'!t"&amp;$G$1)</f>
        <v>0</v>
      </c>
      <c r="D14" s="1800" t="s">
        <v>1076</v>
      </c>
      <c r="E14" s="1801"/>
      <c r="F14" s="1802"/>
      <c r="G14" s="1736"/>
      <c r="H14" s="1798" t="s">
        <v>796</v>
      </c>
      <c r="I14" s="1768" t="s">
        <v>1077</v>
      </c>
      <c r="J14" s="375" t="e">
        <f ca="1">C29</f>
        <v>#VALUE!</v>
      </c>
      <c r="K14" s="1914"/>
      <c r="L14" s="1915"/>
      <c r="M14" s="1916"/>
    </row>
    <row r="15" s="1735" customFormat="1" ht="18" customHeight="1" spans="1:37">
      <c r="A15" s="1798" t="s">
        <v>823</v>
      </c>
      <c r="B15" s="1768" t="s">
        <v>1005</v>
      </c>
      <c r="C15" s="375">
        <f ca="1">ROUND(C14*F15,0)</f>
        <v>0</v>
      </c>
      <c r="D15" s="1803" t="s">
        <v>1078</v>
      </c>
      <c r="E15" s="1803" t="s">
        <v>1079</v>
      </c>
      <c r="F15" s="1804">
        <f>'数据-取费表'!B33</f>
        <v>0</v>
      </c>
      <c r="G15" s="1805"/>
      <c r="H15" s="1806" t="s">
        <v>800</v>
      </c>
      <c r="I15" s="1791" t="s">
        <v>1074</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826</v>
      </c>
      <c r="B16" s="1768" t="s">
        <v>1008</v>
      </c>
      <c r="C16" s="375">
        <f ca="1">ROUND(INDIRECT("'数据-取费表'!m"&amp;$G$1)*F16,0)</f>
        <v>0</v>
      </c>
      <c r="D16" s="1768" t="s">
        <v>1078</v>
      </c>
      <c r="E16" s="1768" t="s">
        <v>1079</v>
      </c>
      <c r="F16" s="1807">
        <f ca="1">IF(INDIRECT("'数据-取费表'!c"&amp;$G$1)="住宅",'数据-取费表'!B34,0)</f>
        <v>0</v>
      </c>
      <c r="G16" s="1736"/>
      <c r="H16" s="1793" t="s">
        <v>1080</v>
      </c>
      <c r="I16" s="1794" t="s">
        <v>1081</v>
      </c>
      <c r="J16" s="1795" t="e">
        <f ca="1">ROUND(J17+J22+J23+J24,0)</f>
        <v>#VALUE!</v>
      </c>
      <c r="K16" s="1817" t="s">
        <v>1082</v>
      </c>
      <c r="L16" s="1818"/>
      <c r="M16" s="1763"/>
    </row>
    <row r="17" s="1735" customFormat="1" ht="18" customHeight="1" spans="1:37">
      <c r="A17" s="1798" t="s">
        <v>1083</v>
      </c>
      <c r="B17" s="1768" t="s">
        <v>1084</v>
      </c>
      <c r="C17" s="375">
        <f ca="1">ROUND(F17*(F43+INDIRECT("'数据-取费表'!S"&amp;$G$1))/10000,0)</f>
        <v>0</v>
      </c>
      <c r="D17" s="1768" t="s">
        <v>1085</v>
      </c>
      <c r="E17" s="1768" t="s">
        <v>1086</v>
      </c>
      <c r="F17" s="1808">
        <f>'数据-取费表'!B35</f>
        <v>0</v>
      </c>
      <c r="G17" s="1805"/>
      <c r="H17" s="1798" t="s">
        <v>796</v>
      </c>
      <c r="I17" s="1768" t="s">
        <v>1087</v>
      </c>
      <c r="J17" s="1820" t="e">
        <f ca="1">ROUND(IF(AND(项目基本情况!B11="自然人",项目基本情况!B10="北京市"),J6*M17/(1+'数据-取费表'!C42),J18+J19+J20),0)</f>
        <v>#VALUE!</v>
      </c>
      <c r="K17" s="1800" t="s">
        <v>1088</v>
      </c>
      <c r="L17" s="1821" t="s">
        <v>1089</v>
      </c>
      <c r="M17" s="1822">
        <f ca="1">IF(项目基本情况!B11="企业","",IF('数据-取费表'!B10="住宅",IF(M6*M7*M8/12/(1+'数据-取费表'!F30)&gt;100000,4%,2.5%),IF(M6*M7*M8/12/(1+'数据-取费表'!F30)&gt;100000,12%,7%)))</f>
        <v>0.07</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1090</v>
      </c>
      <c r="B18" s="1768" t="s">
        <v>1014</v>
      </c>
      <c r="C18" s="375">
        <f ca="1">ROUND(C14*F18,0)</f>
        <v>0</v>
      </c>
      <c r="D18" s="1768" t="s">
        <v>1078</v>
      </c>
      <c r="E18" s="1768" t="s">
        <v>1079</v>
      </c>
      <c r="F18" s="1807">
        <f>'数据-取费表'!B36</f>
        <v>0</v>
      </c>
      <c r="G18" s="1805"/>
      <c r="H18" s="1798" t="s">
        <v>819</v>
      </c>
      <c r="I18" s="1768" t="s">
        <v>1091</v>
      </c>
      <c r="J18" s="375">
        <f ca="1">ROUND(J6*M18/(1+'数据-取费表'!C42),2)</f>
        <v>0</v>
      </c>
      <c r="K18" s="1821" t="s">
        <v>1092</v>
      </c>
      <c r="L18" s="1768" t="s">
        <v>1079</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796</v>
      </c>
      <c r="B19" s="1768" t="s">
        <v>1093</v>
      </c>
      <c r="C19" s="375">
        <f ca="1">SUM(C14:C18)</f>
        <v>0</v>
      </c>
      <c r="D19" s="1809" t="s">
        <v>1094</v>
      </c>
      <c r="E19" s="377"/>
      <c r="F19" s="1808"/>
      <c r="G19" s="1736"/>
      <c r="H19" s="1798" t="s">
        <v>823</v>
      </c>
      <c r="I19" s="1768" t="s">
        <v>1095</v>
      </c>
      <c r="J19" s="375" t="e">
        <f ca="1">IF(K19="按租金收入计税",ROUND(J6*M19/(1+'数据-取费表'!C42),2),ROUND(C29*M19*0.7,2))</f>
        <v>#VALUE!</v>
      </c>
      <c r="K19" s="1824" t="s">
        <v>1096</v>
      </c>
      <c r="L19" s="1768" t="s">
        <v>1079</v>
      </c>
      <c r="M19" s="1807">
        <f>IF(K19="按租金收入计税",'数据-取费表'!B51,'数据-取费表'!B50)</f>
        <v>0.012</v>
      </c>
    </row>
    <row r="20" s="1735" customFormat="1" ht="18" customHeight="1" spans="1:37">
      <c r="A20" s="1798" t="s">
        <v>800</v>
      </c>
      <c r="B20" s="1768" t="s">
        <v>1097</v>
      </c>
      <c r="C20" s="375">
        <f ca="1">ROUND(C19*F20,0)</f>
        <v>0</v>
      </c>
      <c r="D20" s="1810" t="s">
        <v>1098</v>
      </c>
      <c r="E20" s="1768" t="s">
        <v>1079</v>
      </c>
      <c r="F20" s="1807">
        <f>'数据-取费表'!B37</f>
        <v>0</v>
      </c>
      <c r="G20" s="1805"/>
      <c r="H20" s="1798" t="s">
        <v>826</v>
      </c>
      <c r="I20" s="1767" t="s">
        <v>1099</v>
      </c>
      <c r="J20" s="1826">
        <f ca="1">ROUND(M20*M21/10000,2)</f>
        <v>0</v>
      </c>
      <c r="K20" s="1827" t="s">
        <v>1100</v>
      </c>
      <c r="L20" s="1768" t="s">
        <v>1101</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845</v>
      </c>
      <c r="B21" s="1768" t="s">
        <v>1102</v>
      </c>
      <c r="C21" s="375" t="s">
        <v>124</v>
      </c>
      <c r="D21" s="1810" t="s">
        <v>1103</v>
      </c>
      <c r="E21" s="1768" t="s">
        <v>1104</v>
      </c>
      <c r="F21" s="1807">
        <f>'数据-取费表'!B38</f>
        <v>0</v>
      </c>
      <c r="G21" s="1805"/>
      <c r="H21" s="1811"/>
      <c r="I21" s="1920"/>
      <c r="J21" s="1829"/>
      <c r="K21" s="703"/>
      <c r="L21" s="1768" t="s">
        <v>1105</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848</v>
      </c>
      <c r="B22" s="1768" t="s">
        <v>1106</v>
      </c>
      <c r="C22" s="375"/>
      <c r="D22" s="1809" t="str">
        <f>IF(F23&lt;=1,"单利计息。","复利计息。")&amp;"建造成本、管理费用、销售费用产生的利息。"</f>
        <v>单利计息。建造成本、管理费用、销售费用产生的利息。</v>
      </c>
      <c r="E22" s="377"/>
      <c r="F22" s="1808"/>
      <c r="G22" s="1736"/>
      <c r="H22" s="1798" t="s">
        <v>800</v>
      </c>
      <c r="I22" s="1768" t="s">
        <v>1107</v>
      </c>
      <c r="J22" s="375" t="e">
        <f ca="1">ROUND(J14*M22,1)</f>
        <v>#VALUE!</v>
      </c>
      <c r="K22" s="1821" t="s">
        <v>1108</v>
      </c>
      <c r="L22" s="1768" t="s">
        <v>1079</v>
      </c>
      <c r="M22" s="1769">
        <f ca="1">INDIRECT("'数据-取费表'!Ak"&amp;$G$1)</f>
        <v>0</v>
      </c>
    </row>
    <row r="23" s="1735" customFormat="1" ht="18" customHeight="1" spans="1:37">
      <c r="A23" s="1798" t="s">
        <v>819</v>
      </c>
      <c r="B23" s="1768" t="s">
        <v>1109</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1110</v>
      </c>
      <c r="F23" s="1807">
        <f>'数据-取费表'!B20</f>
        <v>0</v>
      </c>
      <c r="G23" s="1805"/>
      <c r="H23" s="1798" t="s">
        <v>845</v>
      </c>
      <c r="I23" s="1768" t="s">
        <v>1111</v>
      </c>
      <c r="J23" s="375" t="e">
        <f ca="1">ROUND(J13*M23,1)</f>
        <v>#VALUE!</v>
      </c>
      <c r="K23" s="1821" t="s">
        <v>1112</v>
      </c>
      <c r="L23" s="1768" t="s">
        <v>1079</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823</v>
      </c>
      <c r="B24" s="1768" t="s">
        <v>1113</v>
      </c>
      <c r="C24" s="375" t="e">
        <f ca="1">ROUND(IF('数据-取费表'!B22&lt;=1,F21*F24*F23/2,F21*(POWER((1+F24),F23/2)-1)),4)</f>
        <v>#VALUE!</v>
      </c>
      <c r="D24" s="1812" t="str">
        <f>IF(F23&lt;=1,"销售费用×利率×(建设周期÷2)","销售费用×((1+利率)^(建设周期÷2)-1)")</f>
        <v>销售费用×利率×(建设周期÷2)</v>
      </c>
      <c r="E24" s="1768" t="s">
        <v>1114</v>
      </c>
      <c r="F24" s="1807" t="e">
        <f ca="1">'数据-取费表'!B40</f>
        <v>#VALUE!</v>
      </c>
      <c r="G24" s="1805"/>
      <c r="H24" s="1806" t="s">
        <v>848</v>
      </c>
      <c r="I24" s="1791" t="s">
        <v>1097</v>
      </c>
      <c r="J24" s="1813">
        <f ca="1">ROUND(J5*M24,1)</f>
        <v>0</v>
      </c>
      <c r="K24" s="1814" t="s">
        <v>1115</v>
      </c>
      <c r="L24" s="1791" t="s">
        <v>1079</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852</v>
      </c>
      <c r="B25" s="1768" t="s">
        <v>1116</v>
      </c>
      <c r="C25" s="375"/>
      <c r="D25" s="1809" t="s">
        <v>1117</v>
      </c>
      <c r="E25" s="377"/>
      <c r="F25" s="1808"/>
      <c r="G25" s="1736"/>
      <c r="H25" s="1793" t="s">
        <v>1118</v>
      </c>
      <c r="I25" s="1831" t="s">
        <v>1119</v>
      </c>
      <c r="J25" s="1795" t="e">
        <f ca="1">J5-J16</f>
        <v>#VALUE!</v>
      </c>
      <c r="K25" s="1832" t="s">
        <v>1120</v>
      </c>
      <c r="L25" s="1833"/>
      <c r="M25" s="1834"/>
    </row>
    <row r="26" spans="1:13">
      <c r="A26" s="1798" t="s">
        <v>819</v>
      </c>
      <c r="B26" s="1768" t="s">
        <v>1121</v>
      </c>
      <c r="C26" s="375">
        <f ca="1">ROUND((C19+C20)*F26,0)</f>
        <v>0</v>
      </c>
      <c r="D26" s="1810" t="s">
        <v>1122</v>
      </c>
      <c r="E26" s="1780" t="s">
        <v>1123</v>
      </c>
      <c r="F26" s="1769">
        <f ca="1">INDIRECT("'数据-取费表'!q"&amp;$G$1)</f>
        <v>0</v>
      </c>
      <c r="G26" s="1736"/>
      <c r="H26" s="1758" t="s">
        <v>1124</v>
      </c>
      <c r="I26" s="1759" t="s">
        <v>1125</v>
      </c>
      <c r="J26" s="1835">
        <f ca="1">IF(J5&lt;&gt;0,ROUND(J25*(1-((1+M28)/(1+M26))^M27)/(M26-M28),0),0)</f>
        <v>0</v>
      </c>
      <c r="K26" s="1827" t="s">
        <v>1126</v>
      </c>
      <c r="L26" s="1768" t="s">
        <v>1127</v>
      </c>
      <c r="M26" s="1769">
        <f ca="1">INDIRECT("'数据-取费表'!I"&amp;$G$1)</f>
        <v>0</v>
      </c>
    </row>
    <row r="27" ht="18" customHeight="1" spans="1:13">
      <c r="A27" s="1798" t="s">
        <v>823</v>
      </c>
      <c r="B27" s="1768" t="s">
        <v>1128</v>
      </c>
      <c r="C27" s="375">
        <f ca="1">ROUND(F21*F26,4)</f>
        <v>0</v>
      </c>
      <c r="D27" s="1810" t="s">
        <v>1129</v>
      </c>
      <c r="E27" s="1803"/>
      <c r="F27" s="1804"/>
      <c r="G27" s="1736"/>
      <c r="H27" s="1775"/>
      <c r="I27" s="1837"/>
      <c r="J27" s="1776"/>
      <c r="K27" s="1838" t="s">
        <v>1130</v>
      </c>
      <c r="L27" s="1768" t="s">
        <v>1131</v>
      </c>
      <c r="M27" s="1769">
        <f ca="1">INDIRECT("'数据-取费表'!ag"&amp;$G$1)</f>
        <v>0</v>
      </c>
    </row>
    <row r="28" s="1735" customFormat="1" ht="18" customHeight="1" spans="1:37">
      <c r="A28" s="1798" t="s">
        <v>853</v>
      </c>
      <c r="B28" s="1768" t="s">
        <v>1132</v>
      </c>
      <c r="C28" s="375">
        <f>ROUND(F28/(1+'数据-取费表'!C42),4)</f>
        <v>0</v>
      </c>
      <c r="D28" s="1810" t="s">
        <v>1133</v>
      </c>
      <c r="E28" s="1768" t="s">
        <v>1079</v>
      </c>
      <c r="F28" s="1807">
        <f>'数据-取费表'!B41</f>
        <v>0</v>
      </c>
      <c r="G28" s="1805"/>
      <c r="H28" s="1782"/>
      <c r="I28" s="1840"/>
      <c r="J28" s="1795"/>
      <c r="K28" s="703"/>
      <c r="L28" s="1768" t="s">
        <v>1134</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1039</v>
      </c>
      <c r="B29" s="1791" t="s">
        <v>1135</v>
      </c>
      <c r="C29" s="1813" t="e">
        <f ca="1">ROUND((C19+C20+C23+C26)/(1-F21-C24-C27-C28),0)</f>
        <v>#VALUE!</v>
      </c>
      <c r="D29" s="1814"/>
      <c r="E29" s="1791"/>
      <c r="F29" s="1815"/>
      <c r="G29" s="1805"/>
      <c r="H29" s="1816" t="s">
        <v>1136</v>
      </c>
      <c r="I29" s="1841" t="s">
        <v>1137</v>
      </c>
      <c r="J29" s="1842">
        <f ca="1">ROUND(J26/(1+F40)^F41,0)</f>
        <v>0</v>
      </c>
      <c r="K29" s="1843" t="s">
        <v>1138</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1080</v>
      </c>
      <c r="B30" s="1794" t="s">
        <v>1081</v>
      </c>
      <c r="C30" s="1795" t="e">
        <f ca="1">ROUND(C31+C36+C37+C38,0)</f>
        <v>#VALUE!</v>
      </c>
      <c r="D30" s="1817" t="s">
        <v>1082</v>
      </c>
      <c r="E30" s="1818"/>
      <c r="F30" s="1763"/>
      <c r="G30" s="1736"/>
      <c r="H30" s="1819"/>
      <c r="I30" s="1819"/>
      <c r="J30" s="1921"/>
      <c r="K30" s="1922"/>
      <c r="L30" s="1923"/>
      <c r="M30" s="1921"/>
    </row>
    <row r="31" ht="18" customHeight="1" spans="1:13">
      <c r="A31" s="1798" t="s">
        <v>796</v>
      </c>
      <c r="B31" s="1768" t="s">
        <v>1087</v>
      </c>
      <c r="C31" s="1820" t="e">
        <f ca="1">ROUND(IF(AND(项目基本情况!B11="自然人",项目基本情况!B10="北京市"),C6*F31/(1+'数据-取费表'!C42),C32+C33+C34),0)</f>
        <v>#VALUE!</v>
      </c>
      <c r="D31" s="1800" t="s">
        <v>1088</v>
      </c>
      <c r="E31" s="1821" t="s">
        <v>1089</v>
      </c>
      <c r="F31" s="1822">
        <f ca="1">IF(项目基本情况!B11="企业","——",IF('数据-取费表'!B10="住宅",IF(F6*F7*F8/12/(1+'数据-取费表'!F30)&gt;100000,4%,2.5%),IF(F6*F7*F8/12/(1+'数据-取费表'!F30)&gt;100000,12%,7%)))</f>
        <v>0.07</v>
      </c>
      <c r="G31" s="1736"/>
      <c r="H31" s="1823" t="s">
        <v>1139</v>
      </c>
      <c r="I31" s="1819"/>
      <c r="J31" s="1921"/>
      <c r="K31" s="1922"/>
      <c r="L31" s="1923"/>
      <c r="M31" s="1921"/>
    </row>
    <row r="32" ht="18" customHeight="1" spans="1:13">
      <c r="A32" s="1798" t="s">
        <v>819</v>
      </c>
      <c r="B32" s="1768" t="s">
        <v>1091</v>
      </c>
      <c r="C32" s="375">
        <f ca="1">IF(项目基本情况!B11="自然人","——",ROUND(C6*F32/(1+'数据-取费表'!C42),2))</f>
        <v>0</v>
      </c>
      <c r="D32" s="1821" t="s">
        <v>1092</v>
      </c>
      <c r="E32" s="1768" t="s">
        <v>1079</v>
      </c>
      <c r="F32" s="1807">
        <f>'数据-取费表'!B41</f>
        <v>0</v>
      </c>
      <c r="G32" s="1736"/>
      <c r="H32" s="1819"/>
      <c r="I32" s="1819"/>
      <c r="J32" s="1921"/>
      <c r="K32" s="1922"/>
      <c r="L32" s="1923"/>
      <c r="M32" s="1921"/>
    </row>
    <row r="33" ht="18" customHeight="1" spans="1:13">
      <c r="A33" s="1798" t="s">
        <v>823</v>
      </c>
      <c r="B33" s="1768" t="s">
        <v>1095</v>
      </c>
      <c r="C33" s="375" t="e">
        <f ca="1">IF(项目基本情况!B11="自然人","——",IF(D33="按租金收入计税",ROUND(C6*F33/(1+'数据-取费表'!C42),2),IF(D33="按房产原值计税",ROUND(C29*F33*0.7,2),INDIRECT("'数据-取费表'!Aj"&amp;$G$1))))</f>
        <v>#VALUE!</v>
      </c>
      <c r="D33" s="1824" t="s">
        <v>1096</v>
      </c>
      <c r="E33" s="1768" t="s">
        <v>1079</v>
      </c>
      <c r="F33" s="1807">
        <f>IF(D33="按票据","——",IF(D33="按租金收入计税",'数据-取费表'!B51,'数据-取费表'!B50))</f>
        <v>0.012</v>
      </c>
      <c r="G33" s="1736"/>
      <c r="H33" s="1825"/>
      <c r="I33" s="1819"/>
      <c r="J33" s="1921"/>
      <c r="K33" s="1924"/>
      <c r="L33" s="1825"/>
      <c r="M33" s="1825"/>
    </row>
    <row r="34" ht="18" customHeight="1" spans="1:13">
      <c r="A34" s="1764" t="s">
        <v>826</v>
      </c>
      <c r="B34" s="1767" t="s">
        <v>1099</v>
      </c>
      <c r="C34" s="1826">
        <f ca="1">IF(项目基本情况!B11="自然人","——",ROUND(F34*F35/10000,2))</f>
        <v>0</v>
      </c>
      <c r="D34" s="1827" t="s">
        <v>1100</v>
      </c>
      <c r="E34" s="1768" t="s">
        <v>1101</v>
      </c>
      <c r="F34" s="1807">
        <f>'数据-取费表'!B52</f>
        <v>0</v>
      </c>
      <c r="G34" s="1736"/>
      <c r="H34" s="1819"/>
      <c r="I34" s="1819"/>
      <c r="J34" s="1921"/>
      <c r="K34" s="1925"/>
      <c r="L34" s="1926"/>
      <c r="M34" s="1926"/>
    </row>
    <row r="35" ht="18" customHeight="1" spans="1:13">
      <c r="A35" s="1828"/>
      <c r="B35" s="1828"/>
      <c r="C35" s="1829"/>
      <c r="D35" s="703"/>
      <c r="E35" s="1768" t="s">
        <v>1105</v>
      </c>
      <c r="F35" s="1769">
        <f ca="1">INDIRECT("'数据-取费表'!r"&amp;$G$1)</f>
        <v>0</v>
      </c>
      <c r="G35" s="1736"/>
      <c r="H35" s="1819"/>
      <c r="I35" s="1819"/>
      <c r="J35" s="1921"/>
      <c r="K35" s="1924"/>
      <c r="L35" s="1825"/>
      <c r="M35" s="1825"/>
    </row>
    <row r="36" ht="18" customHeight="1" spans="1:13">
      <c r="A36" s="1830" t="s">
        <v>800</v>
      </c>
      <c r="B36" s="1768" t="s">
        <v>1107</v>
      </c>
      <c r="C36" s="375" t="e">
        <f ca="1">ROUND(C29*F36,1)</f>
        <v>#VALUE!</v>
      </c>
      <c r="D36" s="1821" t="s">
        <v>1140</v>
      </c>
      <c r="E36" s="1768" t="s">
        <v>1079</v>
      </c>
      <c r="F36" s="1769">
        <f ca="1">INDIRECT("'数据-取费表'!Ak"&amp;$G$1)</f>
        <v>0</v>
      </c>
      <c r="G36" s="1736"/>
      <c r="H36" s="1825"/>
      <c r="I36" s="1819"/>
      <c r="J36" s="1921"/>
      <c r="K36" s="1927"/>
      <c r="L36" s="1825"/>
      <c r="M36" s="1825"/>
    </row>
    <row r="37" ht="18" customHeight="1" spans="1:13">
      <c r="A37" s="1798" t="s">
        <v>845</v>
      </c>
      <c r="B37" s="1768" t="s">
        <v>1111</v>
      </c>
      <c r="C37" s="375" t="e">
        <f ca="1">ROUND(C13*F37,1)</f>
        <v>#VALUE!</v>
      </c>
      <c r="D37" s="1821" t="s">
        <v>1112</v>
      </c>
      <c r="E37" s="1768" t="s">
        <v>1079</v>
      </c>
      <c r="F37" s="1769">
        <f ca="1">INDIRECT("'数据-取费表'!Al"&amp;$G$1)</f>
        <v>0</v>
      </c>
      <c r="G37" s="1736"/>
      <c r="H37" s="1825"/>
      <c r="I37" s="1819"/>
      <c r="J37" s="1921"/>
      <c r="K37" s="1927"/>
      <c r="L37" s="1825"/>
      <c r="M37" s="1825"/>
    </row>
    <row r="38" ht="18" customHeight="1" spans="1:13">
      <c r="A38" s="1806" t="s">
        <v>848</v>
      </c>
      <c r="B38" s="1791" t="s">
        <v>1097</v>
      </c>
      <c r="C38" s="1813">
        <f ca="1">ROUND(C5*F38,1)</f>
        <v>0</v>
      </c>
      <c r="D38" s="1814" t="s">
        <v>1115</v>
      </c>
      <c r="E38" s="1791" t="s">
        <v>1079</v>
      </c>
      <c r="F38" s="1792">
        <f ca="1">INDIRECT("'数据-取费表'!Am"&amp;$G$1)</f>
        <v>0</v>
      </c>
      <c r="G38" s="1736"/>
      <c r="H38" s="1825"/>
      <c r="I38" s="1819"/>
      <c r="J38" s="1921"/>
      <c r="K38" s="1928"/>
      <c r="L38" s="1825"/>
      <c r="M38" s="1825"/>
    </row>
    <row r="39" ht="24.6" customHeight="1" spans="1:13">
      <c r="A39" s="1793" t="s">
        <v>1118</v>
      </c>
      <c r="B39" s="1831" t="s">
        <v>1119</v>
      </c>
      <c r="C39" s="1795" t="e">
        <f ca="1">C5-C30</f>
        <v>#VALUE!</v>
      </c>
      <c r="D39" s="1832" t="s">
        <v>1120</v>
      </c>
      <c r="E39" s="1833"/>
      <c r="F39" s="1834"/>
      <c r="G39" s="1736"/>
      <c r="H39" s="1825"/>
      <c r="I39" s="1819"/>
      <c r="J39" s="1921"/>
      <c r="K39" s="1928"/>
      <c r="L39" s="1825"/>
      <c r="M39" s="1825"/>
    </row>
    <row r="40" ht="18" customHeight="1" spans="1:13">
      <c r="A40" s="1758" t="s">
        <v>1124</v>
      </c>
      <c r="B40" s="1759" t="s">
        <v>1141</v>
      </c>
      <c r="C40" s="1835" t="e">
        <f ca="1">ROUND(C39*(1-((1+F42)/(1+F40))^F41)/(F40-F42),0)</f>
        <v>#VALUE!</v>
      </c>
      <c r="D40" s="1827" t="s">
        <v>1126</v>
      </c>
      <c r="E40" s="1768" t="s">
        <v>1127</v>
      </c>
      <c r="F40" s="1769">
        <f ca="1">INDIRECT("'数据-取费表'!I"&amp;$G$1)</f>
        <v>0</v>
      </c>
      <c r="G40" s="1736"/>
      <c r="H40" s="1836"/>
      <c r="I40" s="1819"/>
      <c r="J40" s="1921"/>
      <c r="K40" s="1928"/>
      <c r="L40" s="1836"/>
      <c r="M40" s="1836"/>
    </row>
    <row r="41" ht="18" customHeight="1" spans="1:13">
      <c r="A41" s="1775"/>
      <c r="B41" s="1837"/>
      <c r="C41" s="1776"/>
      <c r="D41" s="1838" t="s">
        <v>1130</v>
      </c>
      <c r="E41" s="1768" t="s">
        <v>1131</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1134</v>
      </c>
      <c r="F42" s="1769">
        <f ca="1">INDIRECT("'数据-取费表'!v"&amp;$G$1)</f>
        <v>0</v>
      </c>
      <c r="G42" s="1736"/>
      <c r="H42" s="1839"/>
      <c r="I42" s="1819"/>
      <c r="J42" s="1921"/>
      <c r="K42" s="1927"/>
      <c r="L42" s="1839"/>
      <c r="M42" s="1839"/>
    </row>
    <row r="43" ht="18" customHeight="1" spans="1:13">
      <c r="A43" s="1816" t="s">
        <v>1136</v>
      </c>
      <c r="B43" s="1841" t="s">
        <v>1142</v>
      </c>
      <c r="C43" s="1842" t="e">
        <f ca="1">ROUND(C40*10000/F43,0)</f>
        <v>#VALUE!</v>
      </c>
      <c r="D43" s="1843" t="s">
        <v>1143</v>
      </c>
      <c r="E43" s="1844" t="s">
        <v>1144</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1145</v>
      </c>
      <c r="P45" s="1836"/>
      <c r="Q45" s="1836"/>
      <c r="R45" s="1836"/>
    </row>
    <row r="46" s="1736" customFormat="1" ht="13.95" spans="1:18">
      <c r="A46" s="1850" t="s">
        <v>1146</v>
      </c>
      <c r="C46" s="1851" t="e">
        <f ca="1">C68-C40</f>
        <v>#VALUE!</v>
      </c>
      <c r="D46" s="1852" t="str">
        <f>C2</f>
        <v>万元</v>
      </c>
      <c r="E46" s="1846"/>
      <c r="F46" s="1846"/>
      <c r="I46" s="1930" t="s">
        <v>1147</v>
      </c>
      <c r="J46" s="1931"/>
      <c r="K46" s="1932"/>
      <c r="L46" s="1933" t="e">
        <f ca="1">IF(M47="住宅",0,IF(L48&gt;J51,L60,J60))</f>
        <v>#VALUE!</v>
      </c>
      <c r="O46" s="1934" t="s">
        <v>1148</v>
      </c>
      <c r="P46" s="1935" t="s">
        <v>1149</v>
      </c>
      <c r="Q46" s="1977" t="s">
        <v>1150</v>
      </c>
      <c r="R46" s="1977" t="s">
        <v>1151</v>
      </c>
    </row>
    <row r="47" s="1736" customFormat="1" ht="13.95" spans="1:18">
      <c r="A47" s="1853" t="s">
        <v>1051</v>
      </c>
      <c r="B47" s="1854" t="s">
        <v>1052</v>
      </c>
      <c r="C47" s="2000" t="s">
        <v>1053</v>
      </c>
      <c r="D47" s="1854" t="s">
        <v>1054</v>
      </c>
      <c r="E47" s="1855" t="s">
        <v>1055</v>
      </c>
      <c r="F47" s="368"/>
      <c r="G47" s="1856"/>
      <c r="I47" s="1936" t="s">
        <v>1152</v>
      </c>
      <c r="J47" s="1937"/>
      <c r="K47" s="1938" t="s">
        <v>1153</v>
      </c>
      <c r="L47" s="1939">
        <f ca="1">INDIRECT("'数据-取费表'!d"&amp;$G$1)</f>
        <v>0</v>
      </c>
      <c r="M47" s="1940" t="str">
        <f>IF(ISNUMBER(FIND("住宅",C1)),"住宅","非住宅")</f>
        <v>非住宅</v>
      </c>
      <c r="O47" s="1941" t="s">
        <v>901</v>
      </c>
      <c r="P47" s="1942" t="s">
        <v>1154</v>
      </c>
      <c r="Q47" s="1978" t="e">
        <f ca="1">C40+J29</f>
        <v>#VALUE!</v>
      </c>
      <c r="R47" s="1978" t="s">
        <v>1155</v>
      </c>
    </row>
    <row r="48" s="1736" customFormat="1" ht="41.55" spans="1:18">
      <c r="A48" s="1857" t="s">
        <v>1156</v>
      </c>
      <c r="B48" s="1759" t="s">
        <v>1056</v>
      </c>
      <c r="C48" s="376">
        <f ca="1">C49+C53+C55</f>
        <v>0</v>
      </c>
      <c r="D48" s="1858"/>
      <c r="E48" s="1859"/>
      <c r="F48" s="1860"/>
      <c r="G48" s="1856"/>
      <c r="H48" s="1861"/>
      <c r="I48" s="1943" t="s">
        <v>1157</v>
      </c>
      <c r="J48" s="1944"/>
      <c r="K48" s="1945" t="s">
        <v>1158</v>
      </c>
      <c r="L48" s="1946">
        <f ca="1">INDIRECT("'数据-取费表'!f"&amp;$G$1)</f>
        <v>0</v>
      </c>
      <c r="O48" s="1941" t="s">
        <v>904</v>
      </c>
      <c r="P48" s="1942" t="s">
        <v>1159</v>
      </c>
      <c r="Q48" s="1978" t="e">
        <f ca="1">J60</f>
        <v>#VALUE!</v>
      </c>
      <c r="R48" s="1978" t="s">
        <v>1160</v>
      </c>
    </row>
    <row r="49" s="1736" customFormat="1" ht="13.95" spans="1:18">
      <c r="A49" s="1862" t="s">
        <v>1161</v>
      </c>
      <c r="B49" s="1863" t="s">
        <v>1162</v>
      </c>
      <c r="C49" s="1864">
        <f ca="1">ROUND(F49*F51*F50*(1-F52)/10000,0)</f>
        <v>0</v>
      </c>
      <c r="D49" s="1865" t="s">
        <v>1061</v>
      </c>
      <c r="E49" s="1866" t="s">
        <v>1163</v>
      </c>
      <c r="F49" s="1867"/>
      <c r="G49" s="1868"/>
      <c r="H49" s="1861"/>
      <c r="I49" s="1943" t="s">
        <v>1164</v>
      </c>
      <c r="J49" s="1947"/>
      <c r="K49" s="1945" t="s">
        <v>1165</v>
      </c>
      <c r="L49" s="1948"/>
      <c r="O49" s="1949" t="s">
        <v>1166</v>
      </c>
      <c r="P49" s="1942" t="s">
        <v>1167</v>
      </c>
      <c r="Q49" s="1978" t="e">
        <f ca="1">C29</f>
        <v>#VALUE!</v>
      </c>
      <c r="R49" s="1978" t="s">
        <v>1155</v>
      </c>
    </row>
    <row r="50" s="1736" customFormat="1" ht="13.95" spans="1:18">
      <c r="A50" s="1869"/>
      <c r="B50" s="338"/>
      <c r="C50" s="2001"/>
      <c r="D50" s="1871"/>
      <c r="E50" s="1872" t="s">
        <v>1062</v>
      </c>
      <c r="F50" s="1873">
        <f ca="1">F7</f>
        <v>0</v>
      </c>
      <c r="H50" s="1861"/>
      <c r="I50" s="1943" t="s">
        <v>1168</v>
      </c>
      <c r="J50" s="1950">
        <f>SUMPRODUCT((I63:I65=J47)*(J62:L62=J48)*(J63:L65))</f>
        <v>0</v>
      </c>
      <c r="K50" s="1945" t="s">
        <v>1169</v>
      </c>
      <c r="L50" s="1948"/>
      <c r="M50" s="1951"/>
      <c r="O50" s="1949" t="s">
        <v>1170</v>
      </c>
      <c r="P50" s="1942" t="s">
        <v>1171</v>
      </c>
      <c r="Q50" s="1978" t="e">
        <f ca="1">J58</f>
        <v>#DIV/0!</v>
      </c>
      <c r="R50" s="1978"/>
    </row>
    <row r="51" s="1736" customFormat="1" ht="13.95" spans="1:18">
      <c r="A51" s="1874"/>
      <c r="B51" s="338"/>
      <c r="C51" s="1870"/>
      <c r="D51" s="1871"/>
      <c r="E51" s="1875" t="s">
        <v>1063</v>
      </c>
      <c r="F51" s="1769">
        <f ca="1">F8</f>
        <v>0</v>
      </c>
      <c r="I51" s="902" t="s">
        <v>1172</v>
      </c>
      <c r="J51" s="1946">
        <f>IF(J49="",J50,J49+J50-YEAR('数据-取费表'!B2))</f>
        <v>0</v>
      </c>
      <c r="K51" s="1952" t="s">
        <v>1173</v>
      </c>
      <c r="L51" s="1946" t="e">
        <f ca="1">ROUND(-PV(INDIRECT("'数据-取费表'!h"&amp;$G$1),J51,(C39-C13*C76),0),0)</f>
        <v>#VALUE!</v>
      </c>
      <c r="M51" s="1953"/>
      <c r="O51" s="1949" t="s">
        <v>1174</v>
      </c>
      <c r="P51" s="1942" t="s">
        <v>1175</v>
      </c>
      <c r="Q51" s="1978">
        <f>J52</f>
        <v>0</v>
      </c>
      <c r="R51" s="1978"/>
    </row>
    <row r="52" s="1736" customFormat="1" ht="13.95" spans="1:18">
      <c r="A52" s="1874"/>
      <c r="B52" s="338"/>
      <c r="C52" s="1870"/>
      <c r="D52" s="1871"/>
      <c r="E52" s="1875" t="s">
        <v>1064</v>
      </c>
      <c r="F52" s="1876"/>
      <c r="I52" s="1954" t="s">
        <v>1176</v>
      </c>
      <c r="J52" s="1955"/>
      <c r="K52" s="1954" t="s">
        <v>1177</v>
      </c>
      <c r="L52" s="1955"/>
      <c r="O52" s="1949" t="s">
        <v>1178</v>
      </c>
      <c r="P52" s="1942" t="s">
        <v>1179</v>
      </c>
      <c r="Q52" s="1978">
        <f ca="1">J53</f>
        <v>0</v>
      </c>
      <c r="R52" s="1978" t="s">
        <v>1180</v>
      </c>
    </row>
    <row r="53" s="1736" customFormat="1" ht="36.75" spans="1:18">
      <c r="A53" s="2002" t="s">
        <v>1181</v>
      </c>
      <c r="B53" s="2003" t="s">
        <v>1065</v>
      </c>
      <c r="C53" s="374">
        <f ca="1">ROUND(IF(F53="押一",C49/12*F11,IF(F53="押二",C49/12*2*F11,IF(F53="押三",C49/12*3*F11,C54*F11))),0)</f>
        <v>0</v>
      </c>
      <c r="D53" s="1779" t="s">
        <v>1066</v>
      </c>
      <c r="E53" s="1780" t="s">
        <v>1067</v>
      </c>
      <c r="F53" s="1781"/>
      <c r="I53" s="1956" t="s">
        <v>1182</v>
      </c>
      <c r="J53" s="1957">
        <f ca="1">IF(M47="住宅",IF(D1="——",MAX(J51,L48),MAX(J51,L48-'数据-取费表'!B24)),IF(D1="——",MIN(J51,L48),MIN(J51,L48-'数据-取费表'!B24)))</f>
        <v>0</v>
      </c>
      <c r="K53" s="1958" t="s">
        <v>1183</v>
      </c>
      <c r="L53" s="1959"/>
      <c r="O53" s="1941" t="s">
        <v>1007</v>
      </c>
      <c r="P53" s="1942" t="s">
        <v>1184</v>
      </c>
      <c r="Q53" s="1978" t="e">
        <f ca="1">Q47+Q48</f>
        <v>#VALUE!</v>
      </c>
      <c r="R53" s="1978" t="s">
        <v>1185</v>
      </c>
    </row>
    <row r="54" s="1736" customFormat="1" ht="24.75" spans="1:18">
      <c r="A54" s="2004"/>
      <c r="B54" s="1783" t="s">
        <v>1069</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1186</v>
      </c>
      <c r="P54" s="1962"/>
      <c r="Q54" s="1962"/>
      <c r="R54" s="1962"/>
    </row>
    <row r="55" s="1736" customFormat="1" ht="13.95" spans="1:18">
      <c r="A55" s="1787" t="s">
        <v>845</v>
      </c>
      <c r="B55" s="1788" t="s">
        <v>1071</v>
      </c>
      <c r="C55" s="1789"/>
      <c r="D55" s="1779"/>
      <c r="E55" s="1879"/>
      <c r="F55" s="1880"/>
      <c r="I55" s="1963" t="s">
        <v>1187</v>
      </c>
      <c r="J55" s="1964" t="e">
        <f ca="1">ROUND(IF(J47="钢混",J57/J50,1-(1-2%)*(J50-J57)/J50),3)</f>
        <v>#DIV/0!</v>
      </c>
      <c r="K55" s="1965" t="s">
        <v>1188</v>
      </c>
      <c r="L55" s="1966" t="s">
        <v>1189</v>
      </c>
      <c r="O55" s="1934" t="s">
        <v>1148</v>
      </c>
      <c r="P55" s="1935" t="s">
        <v>1149</v>
      </c>
      <c r="Q55" s="1977" t="s">
        <v>1150</v>
      </c>
      <c r="R55" s="1977" t="s">
        <v>1151</v>
      </c>
    </row>
    <row r="56" s="1736" customFormat="1" ht="37.5" spans="1:18">
      <c r="A56" s="1881">
        <v>2</v>
      </c>
      <c r="B56" s="1882" t="s">
        <v>1072</v>
      </c>
      <c r="C56" s="276" t="e">
        <f ca="1">C13</f>
        <v>#VALUE!</v>
      </c>
      <c r="D56" s="1883"/>
      <c r="E56" s="1884"/>
      <c r="F56" s="1880"/>
      <c r="I56" s="1967" t="s">
        <v>1190</v>
      </c>
      <c r="J56" s="1968"/>
      <c r="K56" s="1943" t="s">
        <v>1191</v>
      </c>
      <c r="L56" s="1946">
        <f ca="1">IF(L48&lt;J51,"——",L48-J53)</f>
        <v>0</v>
      </c>
      <c r="O56" s="1941" t="s">
        <v>901</v>
      </c>
      <c r="P56" s="1942" t="s">
        <v>1154</v>
      </c>
      <c r="Q56" s="1978" t="e">
        <f ca="1">C40+J29</f>
        <v>#VALUE!</v>
      </c>
      <c r="R56" s="1978" t="s">
        <v>1155</v>
      </c>
    </row>
    <row r="57" s="1736" customFormat="1" ht="24.75" spans="1:18">
      <c r="A57" s="1885"/>
      <c r="B57" s="1886" t="s">
        <v>1135</v>
      </c>
      <c r="C57" s="283" t="e">
        <f ca="1">C29</f>
        <v>#VALUE!</v>
      </c>
      <c r="D57" s="1887"/>
      <c r="E57" s="1888"/>
      <c r="F57" s="1889"/>
      <c r="I57" s="1969" t="s">
        <v>1192</v>
      </c>
      <c r="J57" s="1970">
        <f ca="1">IF(OR(M47="住宅",J51&lt;L48,J56="是"),"——",J51-L48)</f>
        <v>0</v>
      </c>
      <c r="K57" s="1943" t="s">
        <v>1193</v>
      </c>
      <c r="L57" s="1946" t="e">
        <f ca="1">IF(L48&lt;J51,"——",IF(L55="比较法",L49,IF(L55="基准地价",L50,L51)))</f>
        <v>#VALUE!</v>
      </c>
      <c r="O57" s="1941" t="s">
        <v>904</v>
      </c>
      <c r="P57" s="1942" t="s">
        <v>1194</v>
      </c>
      <c r="Q57" s="1978" t="e">
        <f ca="1">L60</f>
        <v>#VALUE!</v>
      </c>
      <c r="R57" s="1978" t="s">
        <v>1195</v>
      </c>
    </row>
    <row r="58" s="1736" customFormat="1" ht="24.75" spans="1:18">
      <c r="A58" s="1890" t="s">
        <v>1080</v>
      </c>
      <c r="B58" s="1882" t="s">
        <v>1081</v>
      </c>
      <c r="C58" s="374" t="e">
        <f ca="1">ROUND(C59+C64+C65+C66,0)</f>
        <v>#VALUE!</v>
      </c>
      <c r="D58" s="1891" t="s">
        <v>1082</v>
      </c>
      <c r="E58" s="1892"/>
      <c r="F58" s="1860"/>
      <c r="I58" s="1969" t="s">
        <v>1196</v>
      </c>
      <c r="J58" s="1970" t="e">
        <f ca="1">IF(J55&lt;0.4,0.4,J55)</f>
        <v>#DIV/0!</v>
      </c>
      <c r="K58" s="1952" t="s">
        <v>1197</v>
      </c>
      <c r="L58" s="1946" t="e">
        <f ca="1">ROUND(POWER(1+L52,L47-L48)*(POWER(1+L52,L48)-1)/(POWER(1+L52,L47)-1),4)</f>
        <v>#DIV/0!</v>
      </c>
      <c r="O58" s="1949" t="s">
        <v>1166</v>
      </c>
      <c r="P58" s="1942" t="s">
        <v>1198</v>
      </c>
      <c r="Q58" s="1978">
        <f>IF(L55="比较法",L49,IF(L55="基准地价",L50,0))</f>
        <v>0</v>
      </c>
      <c r="R58" s="1978" t="s">
        <v>1155</v>
      </c>
    </row>
    <row r="59" s="1736" customFormat="1" ht="24.75" spans="1:18">
      <c r="A59" s="1798" t="s">
        <v>796</v>
      </c>
      <c r="B59" s="1886" t="s">
        <v>1087</v>
      </c>
      <c r="C59" s="1820" t="e">
        <f ca="1">ROUND(IF(AND(项目基本情况!B11="自然人",项目基本情况!B10="北京市"),C49*F59/(1+'数据-取费表'!C42),C60+C61+C62),0)</f>
        <v>#VALUE!</v>
      </c>
      <c r="D59" s="1893" t="s">
        <v>1088</v>
      </c>
      <c r="E59" s="1894" t="s">
        <v>1089</v>
      </c>
      <c r="F59" s="1822">
        <f ca="1">IF(项目基本情况!B11="企业","——",IF('数据-取费表'!B10="住宅",IF(F49*F50*F51/12/(1+'数据-取费表'!F30)&gt;100000,4%,2.5%),IF(F49*F50*F51/12/(1+'数据-取费表'!F30)&gt;100000,12%,7%)))</f>
        <v>0.07</v>
      </c>
      <c r="I59" s="1969" t="s">
        <v>1199</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1170</v>
      </c>
      <c r="P59" s="1942" t="s">
        <v>1200</v>
      </c>
      <c r="Q59" s="1978">
        <f>L52</f>
        <v>0</v>
      </c>
      <c r="R59" s="1978"/>
    </row>
    <row r="60" s="1736" customFormat="1" ht="17.55" spans="1:18">
      <c r="A60" s="1798" t="s">
        <v>819</v>
      </c>
      <c r="B60" s="1886" t="s">
        <v>1091</v>
      </c>
      <c r="C60" s="375">
        <f ca="1">IF(项目基本情况!B11="自然人","——",ROUND(C48*F60/(1+'数据-取费表'!C42),2))</f>
        <v>0</v>
      </c>
      <c r="D60" s="1894" t="s">
        <v>1092</v>
      </c>
      <c r="E60" s="1886" t="s">
        <v>1079</v>
      </c>
      <c r="F60" s="1807">
        <f t="shared" ref="F60:F66" si="0">F32</f>
        <v>0</v>
      </c>
      <c r="I60" s="1971" t="s">
        <v>1201</v>
      </c>
      <c r="J60" s="1972" t="e">
        <f ca="1">IF(OR(M47="住宅",J51&lt;L48,J56="是"),"0",ROUND(J59/(1+J52)^J53,0))</f>
        <v>#VALUE!</v>
      </c>
      <c r="K60" s="1973" t="s">
        <v>1202</v>
      </c>
      <c r="L60" s="1972" t="e">
        <f ca="1">IF(OR(M47="住宅",L48&lt;J51),0,ROUND(L57*(L58/L59-1),0))</f>
        <v>#VALUE!</v>
      </c>
      <c r="O60" s="1949" t="s">
        <v>1174</v>
      </c>
      <c r="P60" s="1942" t="s">
        <v>1203</v>
      </c>
      <c r="Q60" s="1978" t="e">
        <f ca="1">L58</f>
        <v>#DIV/0!</v>
      </c>
      <c r="R60" s="1978" t="s">
        <v>1204</v>
      </c>
    </row>
    <row r="61" s="1736" customFormat="1" ht="13.95" spans="1:18">
      <c r="A61" s="1798" t="s">
        <v>823</v>
      </c>
      <c r="B61" s="1886" t="s">
        <v>1095</v>
      </c>
      <c r="C61" s="375" t="e">
        <f ca="1">IF(项目基本情况!B11="自然人","——",IF(D61="按租金收入计税",ROUND(C49*F61/(1+'数据-取费表'!C42),2),IF(D61="按房产原值计税",ROUND(C57*F61*0.7,2),INDIRECT("'数据-取费表'!Aj"&amp;$G$1))))</f>
        <v>#VALUE!</v>
      </c>
      <c r="D61" s="1824" t="s">
        <v>1096</v>
      </c>
      <c r="E61" s="1886" t="s">
        <v>1079</v>
      </c>
      <c r="F61" s="1807">
        <f t="shared" si="0"/>
        <v>0.012</v>
      </c>
      <c r="I61" s="1836"/>
      <c r="J61" s="1836"/>
      <c r="K61" s="1836"/>
      <c r="L61" s="1836"/>
      <c r="O61" s="1949" t="s">
        <v>1178</v>
      </c>
      <c r="P61" s="1942" t="str">
        <f>K59</f>
        <v>建设期及建筑物耐用年限下的土地年期修正系数Kn</v>
      </c>
      <c r="Q61" s="1978" t="e">
        <f ca="1">L59</f>
        <v>#DIV/0!</v>
      </c>
      <c r="R61" s="1978" t="s">
        <v>1205</v>
      </c>
    </row>
    <row r="62" s="1736" customFormat="1" ht="13.95" spans="1:18">
      <c r="A62" s="1798" t="s">
        <v>826</v>
      </c>
      <c r="B62" s="1895" t="s">
        <v>1099</v>
      </c>
      <c r="C62" s="1826">
        <f ca="1">IF(项目基本情况!B11="自然人","——",ROUND(F62*F63/10000,2))</f>
        <v>0</v>
      </c>
      <c r="D62" s="1896" t="s">
        <v>1100</v>
      </c>
      <c r="E62" s="1886" t="s">
        <v>1101</v>
      </c>
      <c r="F62" s="1807">
        <f t="shared" si="0"/>
        <v>0</v>
      </c>
      <c r="I62" s="1974" t="s">
        <v>1206</v>
      </c>
      <c r="J62" s="1975" t="s">
        <v>1207</v>
      </c>
      <c r="K62" s="1975" t="s">
        <v>1208</v>
      </c>
      <c r="L62" s="1975" t="s">
        <v>1209</v>
      </c>
      <c r="M62" s="1976" t="s">
        <v>1210</v>
      </c>
      <c r="O62" s="1941" t="s">
        <v>1007</v>
      </c>
      <c r="P62" s="1942" t="s">
        <v>1184</v>
      </c>
      <c r="Q62" s="1978" t="e">
        <f ca="1">Q56+Q57</f>
        <v>#VALUE!</v>
      </c>
      <c r="R62" s="1978" t="s">
        <v>1185</v>
      </c>
    </row>
    <row r="63" s="1736" customFormat="1" ht="13.95" spans="1:18">
      <c r="A63" s="1811"/>
      <c r="B63" s="1897"/>
      <c r="C63" s="1829"/>
      <c r="D63" s="1898"/>
      <c r="E63" s="1886" t="s">
        <v>1105</v>
      </c>
      <c r="F63" s="1769">
        <f ca="1" t="shared" si="0"/>
        <v>0</v>
      </c>
      <c r="I63" s="1974" t="s">
        <v>1211</v>
      </c>
      <c r="J63" s="1975">
        <v>70</v>
      </c>
      <c r="K63" s="1975">
        <v>50</v>
      </c>
      <c r="L63" s="1975">
        <v>80</v>
      </c>
      <c r="M63" s="1976">
        <v>0.02</v>
      </c>
      <c r="O63" s="1929" t="s">
        <v>1212</v>
      </c>
      <c r="P63" s="1962"/>
      <c r="Q63" s="1962"/>
      <c r="R63" s="1962"/>
    </row>
    <row r="64" s="1736" customFormat="1" ht="13.95" spans="1:18">
      <c r="A64" s="1798" t="s">
        <v>800</v>
      </c>
      <c r="B64" s="1886" t="s">
        <v>1107</v>
      </c>
      <c r="C64" s="375" t="e">
        <f ca="1">ROUND(C57*F64,1)</f>
        <v>#VALUE!</v>
      </c>
      <c r="D64" s="1894" t="s">
        <v>1140</v>
      </c>
      <c r="E64" s="1886" t="s">
        <v>1079</v>
      </c>
      <c r="F64" s="1769">
        <f ca="1" t="shared" si="0"/>
        <v>0</v>
      </c>
      <c r="I64" s="1974" t="s">
        <v>1213</v>
      </c>
      <c r="J64" s="1975">
        <v>50</v>
      </c>
      <c r="K64" s="1975">
        <v>35</v>
      </c>
      <c r="L64" s="1975">
        <v>60</v>
      </c>
      <c r="M64" s="1976">
        <v>0</v>
      </c>
      <c r="O64" s="1934" t="s">
        <v>1148</v>
      </c>
      <c r="P64" s="1935" t="s">
        <v>1149</v>
      </c>
      <c r="Q64" s="1977" t="s">
        <v>1150</v>
      </c>
      <c r="R64" s="1977" t="s">
        <v>1151</v>
      </c>
    </row>
    <row r="65" s="1736" customFormat="1" ht="13.95" spans="1:18">
      <c r="A65" s="1798" t="s">
        <v>845</v>
      </c>
      <c r="B65" s="1886" t="s">
        <v>1111</v>
      </c>
      <c r="C65" s="375" t="e">
        <f ca="1">ROUND(C56*F65,1)</f>
        <v>#VALUE!</v>
      </c>
      <c r="D65" s="1894" t="s">
        <v>1112</v>
      </c>
      <c r="E65" s="1886" t="s">
        <v>1079</v>
      </c>
      <c r="F65" s="1769">
        <f ca="1" t="shared" si="0"/>
        <v>0</v>
      </c>
      <c r="I65" s="1974" t="s">
        <v>1214</v>
      </c>
      <c r="J65" s="1975">
        <v>40</v>
      </c>
      <c r="K65" s="1975">
        <v>30</v>
      </c>
      <c r="L65" s="1975">
        <v>50</v>
      </c>
      <c r="M65" s="1976">
        <v>0.02</v>
      </c>
      <c r="O65" s="1941" t="s">
        <v>901</v>
      </c>
      <c r="P65" s="1942" t="s">
        <v>1154</v>
      </c>
      <c r="Q65" s="1978" t="e">
        <f ca="1">C40+J29</f>
        <v>#VALUE!</v>
      </c>
      <c r="R65" s="1978" t="s">
        <v>1155</v>
      </c>
    </row>
    <row r="66" s="1736" customFormat="1" ht="17.55" spans="1:18">
      <c r="A66" s="1798" t="s">
        <v>848</v>
      </c>
      <c r="B66" s="1886" t="s">
        <v>1097</v>
      </c>
      <c r="C66" s="375">
        <f ca="1">ROUND(C48*F66,1)</f>
        <v>0</v>
      </c>
      <c r="D66" s="1894" t="s">
        <v>1115</v>
      </c>
      <c r="E66" s="1886" t="s">
        <v>1079</v>
      </c>
      <c r="F66" s="1769">
        <f ca="1" t="shared" si="0"/>
        <v>0</v>
      </c>
      <c r="O66" s="1941" t="s">
        <v>904</v>
      </c>
      <c r="P66" s="1942" t="s">
        <v>1194</v>
      </c>
      <c r="Q66" s="1978" t="e">
        <f ca="1">L60</f>
        <v>#VALUE!</v>
      </c>
      <c r="R66" s="1978" t="s">
        <v>1195</v>
      </c>
    </row>
    <row r="67" s="1736" customFormat="1" ht="24.75" spans="1:18">
      <c r="A67" s="1881" t="s">
        <v>1118</v>
      </c>
      <c r="B67" s="1979" t="s">
        <v>1119</v>
      </c>
      <c r="C67" s="374" t="e">
        <f ca="1">C48-C58</f>
        <v>#VALUE!</v>
      </c>
      <c r="D67" s="1893" t="s">
        <v>1120</v>
      </c>
      <c r="E67" s="1980"/>
      <c r="F67" s="1981"/>
      <c r="O67" s="1949" t="s">
        <v>1166</v>
      </c>
      <c r="P67" s="1942" t="s">
        <v>1198</v>
      </c>
      <c r="Q67" s="1978" t="e">
        <f ca="1">L51</f>
        <v>#VALUE!</v>
      </c>
      <c r="R67" s="1978" t="s">
        <v>1215</v>
      </c>
    </row>
    <row r="68" s="1736" customFormat="1" ht="17.55" spans="1:18">
      <c r="A68" s="1982" t="s">
        <v>1124</v>
      </c>
      <c r="B68" s="1983" t="s">
        <v>1141</v>
      </c>
      <c r="C68" s="1835" t="e">
        <f ca="1">ROUND(C67*(1-((1+F70)/(1+F68))^F69)/(F68-F70),0)</f>
        <v>#VALUE!</v>
      </c>
      <c r="D68" s="1896" t="s">
        <v>1126</v>
      </c>
      <c r="E68" s="1886" t="s">
        <v>1127</v>
      </c>
      <c r="F68" s="1769">
        <f ca="1">F40</f>
        <v>0</v>
      </c>
      <c r="O68" s="1949" t="s">
        <v>1170</v>
      </c>
      <c r="P68" s="1998" t="s">
        <v>1216</v>
      </c>
      <c r="Q68" s="1978" t="e">
        <f ca="1">ROUND(Q69-Q70*Q71,0)</f>
        <v>#VALUE!</v>
      </c>
      <c r="R68" s="1978" t="s">
        <v>1217</v>
      </c>
    </row>
    <row r="69" s="1736" customFormat="1" ht="13.95" spans="1:18">
      <c r="A69" s="1984"/>
      <c r="B69" s="1985"/>
      <c r="C69" s="1776"/>
      <c r="D69" s="1986" t="s">
        <v>1130</v>
      </c>
      <c r="E69" s="1886" t="s">
        <v>1131</v>
      </c>
      <c r="F69" s="1769">
        <f ca="1">F41</f>
        <v>0</v>
      </c>
      <c r="O69" s="1949" t="s">
        <v>1218</v>
      </c>
      <c r="P69" s="1998" t="s">
        <v>1219</v>
      </c>
      <c r="Q69" s="1978" t="e">
        <f ca="1">C39</f>
        <v>#VALUE!</v>
      </c>
      <c r="R69" s="1978" t="s">
        <v>1155</v>
      </c>
    </row>
    <row r="70" s="1736" customFormat="1" ht="13.95" spans="1:18">
      <c r="A70" s="1987"/>
      <c r="B70" s="1988"/>
      <c r="C70" s="1795"/>
      <c r="D70" s="1898"/>
      <c r="E70" s="1886" t="s">
        <v>1134</v>
      </c>
      <c r="F70" s="1876"/>
      <c r="O70" s="1949" t="s">
        <v>1220</v>
      </c>
      <c r="P70" s="1998" t="s">
        <v>1221</v>
      </c>
      <c r="Q70" s="1978" t="e">
        <f ca="1">C13</f>
        <v>#VALUE!</v>
      </c>
      <c r="R70" s="1978" t="s">
        <v>1155</v>
      </c>
    </row>
    <row r="71" s="1736" customFormat="1" ht="13.95" spans="1:18">
      <c r="A71" s="1989" t="s">
        <v>1136</v>
      </c>
      <c r="B71" s="1990" t="s">
        <v>1142</v>
      </c>
      <c r="C71" s="1842" t="e">
        <f ca="1">ROUND(C68*10000/F71,0)</f>
        <v>#VALUE!</v>
      </c>
      <c r="D71" s="1991" t="s">
        <v>1143</v>
      </c>
      <c r="E71" s="1992" t="s">
        <v>1144</v>
      </c>
      <c r="F71" s="1845">
        <f ca="1">F43</f>
        <v>0</v>
      </c>
      <c r="O71" s="1949" t="s">
        <v>1222</v>
      </c>
      <c r="P71" s="1998" t="s">
        <v>1223</v>
      </c>
      <c r="Q71" s="1978">
        <f ca="1">C76</f>
        <v>0</v>
      </c>
      <c r="R71" s="1978"/>
    </row>
    <row r="72" s="1736" customFormat="1" ht="13.95" spans="2:18">
      <c r="B72" s="407"/>
      <c r="C72" s="407"/>
      <c r="O72" s="1949" t="s">
        <v>1174</v>
      </c>
      <c r="P72" s="1942" t="s">
        <v>1200</v>
      </c>
      <c r="Q72" s="1978">
        <f>L52</f>
        <v>0</v>
      </c>
      <c r="R72" s="1978"/>
    </row>
    <row r="73" ht="17.55" spans="1:18">
      <c r="A73" s="1736"/>
      <c r="B73" s="407"/>
      <c r="C73" s="407"/>
      <c r="D73" s="1736"/>
      <c r="E73" s="1736"/>
      <c r="F73" s="1736"/>
      <c r="O73" s="1949" t="s">
        <v>1178</v>
      </c>
      <c r="P73" s="1942" t="s">
        <v>1203</v>
      </c>
      <c r="Q73" s="1978" t="e">
        <f ca="1">L58</f>
        <v>#DIV/0!</v>
      </c>
      <c r="R73" s="1978" t="s">
        <v>1204</v>
      </c>
    </row>
    <row r="74" ht="13.95" spans="1:18">
      <c r="A74" s="1736"/>
      <c r="B74" s="309" t="s">
        <v>1224</v>
      </c>
      <c r="C74" s="311"/>
      <c r="D74" s="1736"/>
      <c r="E74" s="1736"/>
      <c r="F74" s="1736"/>
      <c r="O74" s="1949" t="s">
        <v>1225</v>
      </c>
      <c r="P74" s="1942" t="str">
        <f>K59</f>
        <v>建设期及建筑物耐用年限下的土地年期修正系数Kn</v>
      </c>
      <c r="Q74" s="1978" t="e">
        <f ca="1">L59</f>
        <v>#DIV/0!</v>
      </c>
      <c r="R74" s="1978" t="s">
        <v>1205</v>
      </c>
    </row>
    <row r="75" ht="13.95" spans="1:18">
      <c r="A75" s="1736"/>
      <c r="B75" s="1993" t="s">
        <v>1226</v>
      </c>
      <c r="C75" s="310" t="e">
        <f ca="1">ROUND(C13*C76,0)</f>
        <v>#VALUE!</v>
      </c>
      <c r="D75" s="1736"/>
      <c r="E75" s="1736"/>
      <c r="F75" s="1736"/>
      <c r="K75" s="840"/>
      <c r="L75" s="1736"/>
      <c r="O75" s="1941" t="s">
        <v>1007</v>
      </c>
      <c r="P75" s="1942" t="s">
        <v>1184</v>
      </c>
      <c r="Q75" s="1978" t="e">
        <f ca="1">Q65+Q66</f>
        <v>#VALUE!</v>
      </c>
      <c r="R75" s="1978" t="s">
        <v>1185</v>
      </c>
    </row>
    <row r="76" spans="2:12">
      <c r="B76" s="1994" t="s">
        <v>1227</v>
      </c>
      <c r="C76" s="374">
        <f ca="1">INDIRECT("'数据-取费表'!j"&amp;$G$1)</f>
        <v>0</v>
      </c>
      <c r="I76" s="1736"/>
      <c r="J76" s="1736"/>
      <c r="K76" s="840"/>
      <c r="L76" s="1736"/>
    </row>
    <row r="77" spans="2:12">
      <c r="B77" s="1995" t="s">
        <v>1228</v>
      </c>
      <c r="C77" s="1996"/>
      <c r="I77" s="1736"/>
      <c r="J77" s="1736"/>
      <c r="K77" s="840"/>
      <c r="L77" s="1736"/>
    </row>
    <row r="78" spans="2:3">
      <c r="B78" s="307" t="s">
        <v>1229</v>
      </c>
      <c r="C78" s="1997"/>
    </row>
    <row r="79" spans="2:3">
      <c r="B79" s="1993" t="s">
        <v>1230</v>
      </c>
      <c r="C79" s="310" t="e">
        <f ca="1">1-C80</f>
        <v>#VALUE!</v>
      </c>
    </row>
    <row r="80" spans="2:3">
      <c r="B80" s="1993"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222222222222" style="1736" customWidth="1"/>
    <col min="20" max="37" width="9" style="1736"/>
    <col min="38" max="16384" width="9" style="239"/>
  </cols>
  <sheetData>
    <row r="1" s="1734" customFormat="1" ht="21" spans="1:37">
      <c r="A1" s="1738" t="s">
        <v>1044</v>
      </c>
      <c r="B1" s="1177"/>
      <c r="C1" s="1739"/>
      <c r="D1" s="1740"/>
      <c r="E1" s="1741" t="s">
        <v>1045</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1046</v>
      </c>
      <c r="B2" s="1744" t="e">
        <f ca="1">ROUND(D2/10000,0)</f>
        <v>#VALUE!</v>
      </c>
      <c r="C2" s="1745" t="s">
        <v>1047</v>
      </c>
      <c r="D2" s="1746" t="e">
        <f ca="1">C40+J29+L46</f>
        <v>#VALUE!</v>
      </c>
      <c r="E2" s="1747" t="s">
        <v>1233</v>
      </c>
      <c r="F2" s="1748"/>
      <c r="G2" s="1749"/>
      <c r="H2" s="1750"/>
      <c r="I2" s="1750"/>
      <c r="J2" s="1750"/>
      <c r="K2" s="1902"/>
      <c r="L2" s="1750"/>
      <c r="M2" s="1750"/>
    </row>
    <row r="3" ht="18" customHeight="1" spans="1:13">
      <c r="A3" s="1751" t="s">
        <v>1048</v>
      </c>
      <c r="B3" s="1752">
        <f ca="1">IF(ISERROR(D2/F43),0,ROUND(D2/F43,0))</f>
        <v>0</v>
      </c>
      <c r="C3" s="1745" t="s">
        <v>1049</v>
      </c>
      <c r="D3" s="1745"/>
      <c r="E3" s="1747"/>
      <c r="F3" s="1748"/>
      <c r="G3" s="1749"/>
      <c r="H3" s="1753" t="s">
        <v>1050</v>
      </c>
      <c r="I3" s="1903"/>
      <c r="J3" s="1903"/>
      <c r="K3" s="1904"/>
      <c r="L3" s="1903"/>
      <c r="M3" s="1903"/>
    </row>
    <row r="4" ht="18" customHeight="1" spans="1:13">
      <c r="A4" s="1754" t="s">
        <v>1051</v>
      </c>
      <c r="B4" s="1755" t="s">
        <v>1052</v>
      </c>
      <c r="C4" s="1755" t="s">
        <v>1053</v>
      </c>
      <c r="D4" s="1755" t="s">
        <v>1054</v>
      </c>
      <c r="E4" s="1756" t="s">
        <v>1055</v>
      </c>
      <c r="F4" s="1757"/>
      <c r="G4" s="1736"/>
      <c r="H4" s="1754" t="s">
        <v>1051</v>
      </c>
      <c r="I4" s="1755" t="s">
        <v>1052</v>
      </c>
      <c r="J4" s="1755" t="s">
        <v>1053</v>
      </c>
      <c r="K4" s="1755" t="s">
        <v>1054</v>
      </c>
      <c r="L4" s="1756" t="s">
        <v>1055</v>
      </c>
      <c r="M4" s="1757"/>
    </row>
    <row r="5" ht="18" customHeight="1" spans="1:13">
      <c r="A5" s="1758">
        <v>1</v>
      </c>
      <c r="B5" s="1759" t="s">
        <v>1056</v>
      </c>
      <c r="C5" s="1760">
        <f ca="1">C6+C10+C12</f>
        <v>0</v>
      </c>
      <c r="D5" s="1761" t="s">
        <v>1057</v>
      </c>
      <c r="E5" s="1762"/>
      <c r="F5" s="1763"/>
      <c r="G5" s="1736"/>
      <c r="H5" s="1758">
        <v>1</v>
      </c>
      <c r="I5" s="1759" t="s">
        <v>1056</v>
      </c>
      <c r="J5" s="1760">
        <f ca="1">J6+J10+J12</f>
        <v>0</v>
      </c>
      <c r="K5" s="1761" t="s">
        <v>1057</v>
      </c>
      <c r="L5" s="1762"/>
      <c r="M5" s="1763"/>
    </row>
    <row r="6" ht="18" customHeight="1" spans="1:13">
      <c r="A6" s="1764" t="s">
        <v>796</v>
      </c>
      <c r="B6" s="1765" t="s">
        <v>1058</v>
      </c>
      <c r="C6" s="1766">
        <f ca="1">ROUND(F6*F8*F7*(1-F9),0)</f>
        <v>0</v>
      </c>
      <c r="D6" s="1767" t="s">
        <v>1234</v>
      </c>
      <c r="E6" s="1768" t="s">
        <v>1060</v>
      </c>
      <c r="F6" s="1769">
        <f ca="1">INDIRECT("'数据-取费表'!u"&amp;$G$1)</f>
        <v>0</v>
      </c>
      <c r="G6" s="1736"/>
      <c r="H6" s="1764" t="s">
        <v>796</v>
      </c>
      <c r="I6" s="1765" t="s">
        <v>1058</v>
      </c>
      <c r="J6" s="1835">
        <f ca="1">ROUND(M6*M8*M7*(1-M9),0)</f>
        <v>0</v>
      </c>
      <c r="K6" s="1905" t="s">
        <v>1235</v>
      </c>
      <c r="L6" s="1768" t="s">
        <v>1060</v>
      </c>
      <c r="M6" s="1769">
        <f ca="1">INDIRECT("'数据-取费表'!z"&amp;$G$1)</f>
        <v>0</v>
      </c>
    </row>
    <row r="7" ht="18" customHeight="1" spans="1:13">
      <c r="A7" s="1770"/>
      <c r="B7" s="1771"/>
      <c r="C7" s="1772"/>
      <c r="D7" s="1773"/>
      <c r="E7" s="1774" t="s">
        <v>1062</v>
      </c>
      <c r="F7" s="1769">
        <f ca="1">IF(INDIRECT("'数据-取费表'!ah"&amp;$G$1)="",INDIRECT("'数据-取费表'!k"&amp;$G$1),INDIRECT("'数据-取费表'!ah"&amp;$G$1))</f>
        <v>0</v>
      </c>
      <c r="G7" s="1736"/>
      <c r="H7" s="1775"/>
      <c r="I7" s="1771"/>
      <c r="J7" s="1776"/>
      <c r="K7" s="1773"/>
      <c r="L7" s="1768" t="s">
        <v>1062</v>
      </c>
      <c r="M7" s="1769">
        <f ca="1">F7</f>
        <v>0</v>
      </c>
    </row>
    <row r="8" ht="18" customHeight="1" spans="1:13">
      <c r="A8" s="1775"/>
      <c r="B8" s="1771"/>
      <c r="C8" s="1776"/>
      <c r="D8" s="1773"/>
      <c r="E8" s="1768" t="s">
        <v>1063</v>
      </c>
      <c r="F8" s="1769">
        <f ca="1">INDIRECT("'数据-取费表'!ai"&amp;$G$1)</f>
        <v>0</v>
      </c>
      <c r="G8" s="1736"/>
      <c r="H8" s="1775"/>
      <c r="I8" s="1771"/>
      <c r="J8" s="1776"/>
      <c r="K8" s="1773"/>
      <c r="L8" s="1768" t="s">
        <v>1063</v>
      </c>
      <c r="M8" s="1769">
        <f ca="1">INDIRECT("'数据-取费表'!ai"&amp;$G$1)</f>
        <v>0</v>
      </c>
    </row>
    <row r="9" ht="18" customHeight="1" spans="1:13">
      <c r="A9" s="1775"/>
      <c r="B9" s="1777"/>
      <c r="C9" s="1776"/>
      <c r="D9" s="1773"/>
      <c r="E9" s="1768" t="s">
        <v>1064</v>
      </c>
      <c r="F9" s="1769">
        <f ca="1">INDIRECT("'数据-取费表'!w"&amp;$G$1)</f>
        <v>0</v>
      </c>
      <c r="G9" s="1736"/>
      <c r="H9" s="1775"/>
      <c r="I9" s="1777"/>
      <c r="J9" s="1776"/>
      <c r="K9" s="1773"/>
      <c r="L9" s="1780" t="s">
        <v>1064</v>
      </c>
      <c r="M9" s="1785">
        <f ca="1">INDIRECT("'数据-取费表'!ab"&amp;$G$1)</f>
        <v>0</v>
      </c>
    </row>
    <row r="10" ht="18" customHeight="1" spans="1:13">
      <c r="A10" s="1764" t="s">
        <v>800</v>
      </c>
      <c r="B10" s="1778" t="s">
        <v>1065</v>
      </c>
      <c r="C10" s="374">
        <f ca="1">ROUND(IF(F10="押一",C6/12*F11,IF(F10="押二",C6/12*2*F11,IF(F10="押三",C6/12*3*F11,C11*F11))),0)</f>
        <v>0</v>
      </c>
      <c r="D10" s="1779" t="s">
        <v>1066</v>
      </c>
      <c r="E10" s="1780" t="s">
        <v>1067</v>
      </c>
      <c r="F10" s="1781"/>
      <c r="G10" s="1736"/>
      <c r="H10" s="1764" t="s">
        <v>800</v>
      </c>
      <c r="I10" s="1778" t="s">
        <v>1065</v>
      </c>
      <c r="J10" s="1835">
        <f ca="1">ROUND(IF(M10="押一",J6/12*M11,IF(M10="押二",J6/12*2*M11,IF(M10="押三",J6/12*3*M11,J11*M11))),0)</f>
        <v>0</v>
      </c>
      <c r="K10" s="1906" t="s">
        <v>1236</v>
      </c>
      <c r="L10" s="1780" t="s">
        <v>1067</v>
      </c>
      <c r="M10" s="1781"/>
    </row>
    <row r="11" ht="18" customHeight="1" spans="1:13">
      <c r="A11" s="1782"/>
      <c r="B11" s="1783" t="s">
        <v>1237</v>
      </c>
      <c r="C11" s="1784"/>
      <c r="D11" s="1773"/>
      <c r="E11" s="1780" t="s">
        <v>1070</v>
      </c>
      <c r="F11" s="1785">
        <f ca="1">'数据-取费表'!B39</f>
        <v>0.015</v>
      </c>
      <c r="G11" s="1736"/>
      <c r="H11" s="1786"/>
      <c r="I11" s="1783" t="s">
        <v>1238</v>
      </c>
      <c r="J11" s="1784"/>
      <c r="K11" s="1907"/>
      <c r="L11" s="1780" t="s">
        <v>1070</v>
      </c>
      <c r="M11" s="1908">
        <f ca="1">'数据-取费表'!B39</f>
        <v>0.015</v>
      </c>
    </row>
    <row r="12" ht="18" customHeight="1" spans="1:13">
      <c r="A12" s="1787" t="s">
        <v>845</v>
      </c>
      <c r="B12" s="1788" t="s">
        <v>1071</v>
      </c>
      <c r="C12" s="1789"/>
      <c r="D12" s="1790"/>
      <c r="E12" s="1791"/>
      <c r="F12" s="1792"/>
      <c r="G12" s="1736"/>
      <c r="H12" s="1787" t="s">
        <v>845</v>
      </c>
      <c r="I12" s="1788" t="s">
        <v>1071</v>
      </c>
      <c r="J12" s="1789"/>
      <c r="K12" s="1909"/>
      <c r="L12" s="1791"/>
      <c r="M12" s="1910"/>
    </row>
    <row r="13" ht="18" customHeight="1" spans="1:13">
      <c r="A13" s="1793">
        <v>2</v>
      </c>
      <c r="B13" s="1794" t="s">
        <v>1072</v>
      </c>
      <c r="C13" s="1795" t="e">
        <f ca="1">ROUND(C29*F13,0)</f>
        <v>#VALUE!</v>
      </c>
      <c r="D13" s="1796" t="s">
        <v>1073</v>
      </c>
      <c r="E13" s="1796" t="s">
        <v>1074</v>
      </c>
      <c r="F13" s="1797">
        <f ca="1">INDIRECT("'数据-取费表'!y"&amp;$G$1)</f>
        <v>0</v>
      </c>
      <c r="G13" s="1736"/>
      <c r="H13" s="1793">
        <v>2</v>
      </c>
      <c r="I13" s="1794" t="s">
        <v>1072</v>
      </c>
      <c r="J13" s="1911" t="e">
        <f ca="1">ROUND(J14*J15,0)</f>
        <v>#VALUE!</v>
      </c>
      <c r="K13" s="1817" t="s">
        <v>1073</v>
      </c>
      <c r="L13" s="1912"/>
      <c r="M13" s="1913"/>
    </row>
    <row r="14" ht="18" customHeight="1" spans="1:13">
      <c r="A14" s="1798" t="s">
        <v>819</v>
      </c>
      <c r="B14" s="1768" t="s">
        <v>1075</v>
      </c>
      <c r="C14" s="1799">
        <f ca="1">ROUND(INDIRECT("'数据-取费表'!l"&amp;$G$1)*F43+'数据-取费表'!L14*INDIRECT("'数据-取费表'!S"&amp;$G$1),0)</f>
        <v>0</v>
      </c>
      <c r="D14" s="1800" t="s">
        <v>1076</v>
      </c>
      <c r="E14" s="1801"/>
      <c r="F14" s="1802"/>
      <c r="G14" s="1736"/>
      <c r="H14" s="1798" t="s">
        <v>796</v>
      </c>
      <c r="I14" s="1768" t="s">
        <v>1077</v>
      </c>
      <c r="J14" s="375" t="e">
        <f ca="1">C29</f>
        <v>#VALUE!</v>
      </c>
      <c r="K14" s="1914"/>
      <c r="L14" s="1915"/>
      <c r="M14" s="1916"/>
    </row>
    <row r="15" s="1735" customFormat="1" ht="18" customHeight="1" spans="1:37">
      <c r="A15" s="1798" t="s">
        <v>823</v>
      </c>
      <c r="B15" s="1768" t="s">
        <v>1005</v>
      </c>
      <c r="C15" s="375">
        <f ca="1">ROUND(C14*F15,0)</f>
        <v>0</v>
      </c>
      <c r="D15" s="1803" t="s">
        <v>1078</v>
      </c>
      <c r="E15" s="1803" t="s">
        <v>1079</v>
      </c>
      <c r="F15" s="1804">
        <f>'数据-取费表'!B33</f>
        <v>0</v>
      </c>
      <c r="G15" s="1805"/>
      <c r="H15" s="1806" t="s">
        <v>800</v>
      </c>
      <c r="I15" s="1791" t="s">
        <v>1074</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826</v>
      </c>
      <c r="B16" s="1768" t="s">
        <v>1008</v>
      </c>
      <c r="C16" s="375">
        <f ca="1">ROUND(INDIRECT("'数据-取费表'!l"&amp;$G$1)*F43*F16,0)</f>
        <v>0</v>
      </c>
      <c r="D16" s="1768" t="s">
        <v>1078</v>
      </c>
      <c r="E16" s="1768" t="s">
        <v>1079</v>
      </c>
      <c r="F16" s="1807">
        <f ca="1">IF(INDIRECT("'数据-取费表'!c"&amp;$G$1)="住宅",'数据-取费表'!B34,0)</f>
        <v>0</v>
      </c>
      <c r="G16" s="1736"/>
      <c r="H16" s="1793" t="s">
        <v>1080</v>
      </c>
      <c r="I16" s="1794" t="s">
        <v>1081</v>
      </c>
      <c r="J16" s="1795" t="e">
        <f ca="1">ROUND(J17+J22+J23+J24,0)</f>
        <v>#VALUE!</v>
      </c>
      <c r="K16" s="1817" t="s">
        <v>1082</v>
      </c>
      <c r="L16" s="1818"/>
      <c r="M16" s="1763"/>
    </row>
    <row r="17" s="1735" customFormat="1" ht="18" customHeight="1" spans="1:37">
      <c r="A17" s="1798" t="s">
        <v>1083</v>
      </c>
      <c r="B17" s="1768" t="s">
        <v>1084</v>
      </c>
      <c r="C17" s="375">
        <f ca="1">ROUND(F17*(F43+INDIRECT("'数据-取费表'!S"&amp;$G$1)),0)</f>
        <v>0</v>
      </c>
      <c r="D17" s="1768" t="s">
        <v>1085</v>
      </c>
      <c r="E17" s="1768" t="s">
        <v>1086</v>
      </c>
      <c r="F17" s="1808">
        <f>'数据-取费表'!B35</f>
        <v>0</v>
      </c>
      <c r="G17" s="1805"/>
      <c r="H17" s="1798" t="s">
        <v>796</v>
      </c>
      <c r="I17" s="1768" t="s">
        <v>1087</v>
      </c>
      <c r="J17" s="1820" t="e">
        <f ca="1">ROUND(IF(AND(项目基本情况!B11="自然人",项目基本情况!B10="北京市"),J6*M17/(1+'数据-取费表'!C42),J18+J19+J20),0)</f>
        <v>#VALUE!</v>
      </c>
      <c r="K17" s="1800" t="s">
        <v>1088</v>
      </c>
      <c r="L17" s="1821" t="s">
        <v>1089</v>
      </c>
      <c r="M17" s="1822">
        <f ca="1">IF(项目基本情况!B11="企业","",IF('数据-取费表'!B10="住宅",IF(M6*M7*M8/12/(1+'数据-取费表'!F30)&gt;100000,4%,2.5%),IF(M6*M7*M8/12/(1+'数据-取费表'!F30)&gt;100000,12%,7%)))</f>
        <v>0.07</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1090</v>
      </c>
      <c r="B18" s="1768" t="s">
        <v>1014</v>
      </c>
      <c r="C18" s="375">
        <f ca="1">ROUND(C14*F18,0)</f>
        <v>0</v>
      </c>
      <c r="D18" s="1768" t="s">
        <v>1078</v>
      </c>
      <c r="E18" s="1768" t="s">
        <v>1079</v>
      </c>
      <c r="F18" s="1807">
        <f>'数据-取费表'!B36</f>
        <v>0</v>
      </c>
      <c r="G18" s="1805"/>
      <c r="H18" s="1798" t="s">
        <v>819</v>
      </c>
      <c r="I18" s="1768" t="s">
        <v>1091</v>
      </c>
      <c r="J18" s="375">
        <f ca="1">ROUND(J6*M18/(1+'数据-取费表'!C42),0)</f>
        <v>0</v>
      </c>
      <c r="K18" s="1821" t="s">
        <v>1092</v>
      </c>
      <c r="L18" s="1768" t="s">
        <v>1079</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796</v>
      </c>
      <c r="B19" s="1768" t="s">
        <v>1093</v>
      </c>
      <c r="C19" s="375">
        <f ca="1">SUM(C14:C18)</f>
        <v>0</v>
      </c>
      <c r="D19" s="1809" t="s">
        <v>1094</v>
      </c>
      <c r="E19" s="377"/>
      <c r="F19" s="1808"/>
      <c r="G19" s="1736"/>
      <c r="H19" s="1798" t="s">
        <v>823</v>
      </c>
      <c r="I19" s="1768" t="s">
        <v>1095</v>
      </c>
      <c r="J19" s="375" t="e">
        <f ca="1">IF(K19="按租金收入计税",ROUND(J6*M19/(1+'数据-取费表'!C42),0),ROUND(C29*M19*0.7,0))</f>
        <v>#VALUE!</v>
      </c>
      <c r="K19" s="1824" t="s">
        <v>1096</v>
      </c>
      <c r="L19" s="1768" t="s">
        <v>1079</v>
      </c>
      <c r="M19" s="1807">
        <f>IF(K19="按租金收入计税",'数据-取费表'!B51,'数据-取费表'!B50)</f>
        <v>0.012</v>
      </c>
    </row>
    <row r="20" s="1735" customFormat="1" ht="18" customHeight="1" spans="1:37">
      <c r="A20" s="1798" t="s">
        <v>800</v>
      </c>
      <c r="B20" s="1768" t="s">
        <v>1097</v>
      </c>
      <c r="C20" s="375">
        <f ca="1">ROUND(C19*F20,0)</f>
        <v>0</v>
      </c>
      <c r="D20" s="1810" t="s">
        <v>1098</v>
      </c>
      <c r="E20" s="1768" t="s">
        <v>1079</v>
      </c>
      <c r="F20" s="1807">
        <f>'数据-取费表'!B37</f>
        <v>0</v>
      </c>
      <c r="G20" s="1805"/>
      <c r="H20" s="1798" t="s">
        <v>826</v>
      </c>
      <c r="I20" s="1767" t="s">
        <v>1099</v>
      </c>
      <c r="J20" s="1826">
        <f ca="1">ROUND(M20*M21,0)</f>
        <v>0</v>
      </c>
      <c r="K20" s="1827" t="s">
        <v>1100</v>
      </c>
      <c r="L20" s="1768" t="s">
        <v>1101</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845</v>
      </c>
      <c r="B21" s="1768" t="s">
        <v>1102</v>
      </c>
      <c r="C21" s="375" t="s">
        <v>124</v>
      </c>
      <c r="D21" s="1810" t="s">
        <v>1103</v>
      </c>
      <c r="E21" s="1768" t="s">
        <v>1104</v>
      </c>
      <c r="F21" s="1807">
        <f>'数据-取费表'!B38</f>
        <v>0</v>
      </c>
      <c r="G21" s="1805"/>
      <c r="H21" s="1811"/>
      <c r="I21" s="1920"/>
      <c r="J21" s="1829"/>
      <c r="K21" s="703"/>
      <c r="L21" s="1768" t="s">
        <v>1105</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848</v>
      </c>
      <c r="B22" s="1768" t="s">
        <v>1106</v>
      </c>
      <c r="C22" s="375"/>
      <c r="D22" s="1809" t="str">
        <f>IF(F23&lt;=1,"单利计息。","复利计息。")&amp;"建造成本、管理费用、销售费用产生的利息。"</f>
        <v>单利计息。建造成本、管理费用、销售费用产生的利息。</v>
      </c>
      <c r="E22" s="377"/>
      <c r="F22" s="1808"/>
      <c r="G22" s="1736"/>
      <c r="H22" s="1798" t="s">
        <v>800</v>
      </c>
      <c r="I22" s="1768" t="s">
        <v>1107</v>
      </c>
      <c r="J22" s="375" t="e">
        <f ca="1">ROUND(J14*M22,0)</f>
        <v>#VALUE!</v>
      </c>
      <c r="K22" s="1821" t="s">
        <v>1108</v>
      </c>
      <c r="L22" s="1768" t="s">
        <v>1079</v>
      </c>
      <c r="M22" s="1769">
        <f ca="1">INDIRECT("'数据-取费表'!Ak"&amp;$G$1)</f>
        <v>0</v>
      </c>
    </row>
    <row r="23" s="1735" customFormat="1" ht="18" customHeight="1" spans="1:37">
      <c r="A23" s="1798" t="s">
        <v>819</v>
      </c>
      <c r="B23" s="1768" t="s">
        <v>1109</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1110</v>
      </c>
      <c r="F23" s="1807">
        <f>'数据-取费表'!B20</f>
        <v>0</v>
      </c>
      <c r="G23" s="1805"/>
      <c r="H23" s="1798" t="s">
        <v>845</v>
      </c>
      <c r="I23" s="1768" t="s">
        <v>1111</v>
      </c>
      <c r="J23" s="375" t="e">
        <f ca="1">ROUND(J13*M23,0)</f>
        <v>#VALUE!</v>
      </c>
      <c r="K23" s="1821" t="s">
        <v>1112</v>
      </c>
      <c r="L23" s="1768" t="s">
        <v>1079</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823</v>
      </c>
      <c r="B24" s="1768" t="s">
        <v>1113</v>
      </c>
      <c r="C24" s="375" t="e">
        <f ca="1">ROUND(IF('数据-取费表'!B22&lt;=1,F21*F24*F23/2,F21*(POWER((1+F24),F23/2)-1)),4)</f>
        <v>#VALUE!</v>
      </c>
      <c r="D24" s="1812" t="str">
        <f>IF(F23&lt;=1,"销售费用×利率×(建设周期÷2)","销售费用×((1+利率)^(建设周期÷2)-1)")</f>
        <v>销售费用×利率×(建设周期÷2)</v>
      </c>
      <c r="E24" s="1768" t="s">
        <v>1114</v>
      </c>
      <c r="F24" s="1807" t="e">
        <f ca="1">'数据-取费表'!B40</f>
        <v>#VALUE!</v>
      </c>
      <c r="G24" s="1805"/>
      <c r="H24" s="1806" t="s">
        <v>848</v>
      </c>
      <c r="I24" s="1791" t="s">
        <v>1097</v>
      </c>
      <c r="J24" s="1813">
        <f ca="1">ROUND(J5*M24,0)</f>
        <v>0</v>
      </c>
      <c r="K24" s="1814" t="s">
        <v>1115</v>
      </c>
      <c r="L24" s="1791" t="s">
        <v>1079</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852</v>
      </c>
      <c r="B25" s="1768" t="s">
        <v>1116</v>
      </c>
      <c r="C25" s="375"/>
      <c r="D25" s="1809" t="s">
        <v>1117</v>
      </c>
      <c r="E25" s="377"/>
      <c r="F25" s="1808"/>
      <c r="G25" s="1736"/>
      <c r="H25" s="1793" t="s">
        <v>1118</v>
      </c>
      <c r="I25" s="1831" t="s">
        <v>1119</v>
      </c>
      <c r="J25" s="1795" t="e">
        <f ca="1">J5-J16</f>
        <v>#VALUE!</v>
      </c>
      <c r="K25" s="1832" t="s">
        <v>1120</v>
      </c>
      <c r="L25" s="1833"/>
      <c r="M25" s="1834"/>
    </row>
    <row r="26" ht="18" customHeight="1" spans="1:13">
      <c r="A26" s="1798" t="s">
        <v>819</v>
      </c>
      <c r="B26" s="1768" t="s">
        <v>1121</v>
      </c>
      <c r="C26" s="375">
        <f ca="1">ROUND((C19+C20)*F26,0)</f>
        <v>0</v>
      </c>
      <c r="D26" s="1810" t="s">
        <v>1122</v>
      </c>
      <c r="E26" s="1780" t="s">
        <v>1123</v>
      </c>
      <c r="F26" s="1769">
        <f ca="1">INDIRECT("'数据-取费表'!q"&amp;$G$1)</f>
        <v>0</v>
      </c>
      <c r="G26" s="1736"/>
      <c r="H26" s="1758" t="s">
        <v>1124</v>
      </c>
      <c r="I26" s="1759" t="s">
        <v>1125</v>
      </c>
      <c r="J26" s="1835">
        <f ca="1">IF(J5&lt;&gt;0,ROUND(J25*(1-((1+M28)/(1+M26))^M27)/(M26-M28),0),0)</f>
        <v>0</v>
      </c>
      <c r="K26" s="1827" t="s">
        <v>1126</v>
      </c>
      <c r="L26" s="1768" t="s">
        <v>1127</v>
      </c>
      <c r="M26" s="1769">
        <f ca="1">INDIRECT("'数据-取费表'!I"&amp;$G$1)</f>
        <v>0</v>
      </c>
    </row>
    <row r="27" ht="18" customHeight="1" spans="1:13">
      <c r="A27" s="1798" t="s">
        <v>823</v>
      </c>
      <c r="B27" s="1768" t="s">
        <v>1128</v>
      </c>
      <c r="C27" s="375">
        <f ca="1">ROUND(F21*F26,4)</f>
        <v>0</v>
      </c>
      <c r="D27" s="1810" t="s">
        <v>1129</v>
      </c>
      <c r="E27" s="1803"/>
      <c r="F27" s="1804"/>
      <c r="G27" s="1736"/>
      <c r="H27" s="1775"/>
      <c r="I27" s="1837"/>
      <c r="J27" s="1776"/>
      <c r="K27" s="1838" t="s">
        <v>1130</v>
      </c>
      <c r="L27" s="1768" t="s">
        <v>1131</v>
      </c>
      <c r="M27" s="1769">
        <f ca="1">INDIRECT("'数据-取费表'!ag"&amp;$G$1)</f>
        <v>0</v>
      </c>
    </row>
    <row r="28" s="1735" customFormat="1" ht="18" customHeight="1" spans="1:37">
      <c r="A28" s="1798" t="s">
        <v>853</v>
      </c>
      <c r="B28" s="1768" t="s">
        <v>1132</v>
      </c>
      <c r="C28" s="375">
        <f>ROUND(F28/(1+'数据-取费表'!C42),4)</f>
        <v>0</v>
      </c>
      <c r="D28" s="1810" t="s">
        <v>1133</v>
      </c>
      <c r="E28" s="1768" t="s">
        <v>1079</v>
      </c>
      <c r="F28" s="1807">
        <f>'数据-取费表'!B41</f>
        <v>0</v>
      </c>
      <c r="G28" s="1805"/>
      <c r="H28" s="1782"/>
      <c r="I28" s="1840"/>
      <c r="J28" s="1795"/>
      <c r="K28" s="703"/>
      <c r="L28" s="1768" t="s">
        <v>1134</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1039</v>
      </c>
      <c r="B29" s="1791" t="s">
        <v>1135</v>
      </c>
      <c r="C29" s="1813" t="e">
        <f ca="1">ROUND((C19+C20+C23+C26)/(1-F21-C24-C27-C28),0)</f>
        <v>#VALUE!</v>
      </c>
      <c r="D29" s="1814"/>
      <c r="E29" s="1791"/>
      <c r="F29" s="1815"/>
      <c r="G29" s="1805"/>
      <c r="H29" s="1816" t="s">
        <v>1136</v>
      </c>
      <c r="I29" s="1841" t="s">
        <v>1137</v>
      </c>
      <c r="J29" s="1842">
        <f ca="1">ROUND(J26/(1+F40)^F41,0)</f>
        <v>0</v>
      </c>
      <c r="K29" s="1843" t="s">
        <v>1138</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1080</v>
      </c>
      <c r="B30" s="1794" t="s">
        <v>1081</v>
      </c>
      <c r="C30" s="1795" t="e">
        <f ca="1">ROUND(C31+C36+C37+C38,0)</f>
        <v>#VALUE!</v>
      </c>
      <c r="D30" s="1817" t="s">
        <v>1082</v>
      </c>
      <c r="E30" s="1818"/>
      <c r="F30" s="1763"/>
      <c r="G30" s="1736"/>
      <c r="H30" s="1819"/>
      <c r="I30" s="1819"/>
      <c r="J30" s="1921"/>
      <c r="K30" s="1922"/>
      <c r="L30" s="1923"/>
      <c r="M30" s="1921"/>
    </row>
    <row r="31" ht="18" customHeight="1" spans="1:13">
      <c r="A31" s="1798" t="s">
        <v>796</v>
      </c>
      <c r="B31" s="1768" t="s">
        <v>1087</v>
      </c>
      <c r="C31" s="1820" t="e">
        <f ca="1">ROUND(IF(AND(项目基本情况!B11="自然人",项目基本情况!B10="北京市"),C6*F31/(1+'数据-取费表'!C42),C32+C33+C34),0)</f>
        <v>#VALUE!</v>
      </c>
      <c r="D31" s="1800" t="s">
        <v>1088</v>
      </c>
      <c r="E31" s="1821" t="s">
        <v>1089</v>
      </c>
      <c r="F31" s="1822">
        <f ca="1">IF(项目基本情况!B11="企业","——",IF('数据-取费表'!B10="住宅",IF(F6*F7*F8/12/(1+'数据-取费表'!F30)&gt;100000,4%,2.5%),IF(F6*F7*F8/12/(1+'数据-取费表'!F30)&gt;100000,12%,7%)))</f>
        <v>0.07</v>
      </c>
      <c r="G31" s="1736"/>
      <c r="H31" s="1823" t="s">
        <v>1139</v>
      </c>
      <c r="I31" s="1819"/>
      <c r="J31" s="1921"/>
      <c r="K31" s="1922"/>
      <c r="L31" s="1923"/>
      <c r="M31" s="1921"/>
    </row>
    <row r="32" ht="18" customHeight="1" spans="1:13">
      <c r="A32" s="1798" t="s">
        <v>819</v>
      </c>
      <c r="B32" s="1768" t="s">
        <v>1091</v>
      </c>
      <c r="C32" s="375">
        <f ca="1">IF(项目基本情况!B11="自然人","——",ROUND(C6*F32/(1+'数据-取费表'!C42),0))</f>
        <v>0</v>
      </c>
      <c r="D32" s="1821" t="s">
        <v>1092</v>
      </c>
      <c r="E32" s="1768" t="s">
        <v>1079</v>
      </c>
      <c r="F32" s="1807">
        <f>'数据-取费表'!B41</f>
        <v>0</v>
      </c>
      <c r="G32" s="1736"/>
      <c r="H32" s="1819"/>
      <c r="I32" s="1819"/>
      <c r="J32" s="1921"/>
      <c r="K32" s="1922"/>
      <c r="L32" s="1923"/>
      <c r="M32" s="1921"/>
    </row>
    <row r="33" ht="18" customHeight="1" spans="1:13">
      <c r="A33" s="1798" t="s">
        <v>823</v>
      </c>
      <c r="B33" s="1768" t="s">
        <v>1095</v>
      </c>
      <c r="C33" s="375" t="e">
        <f ca="1">IF(项目基本情况!B11="自然人","——",IF(D33="按租金收入计税",ROUND(C6*F33/(1+'数据-取费表'!C42),0),IF(D33="按房产原值计税",ROUND(C29*F33*0.7,0),INDIRECT("'数据-取费表'!Aj"&amp;$G$1))))</f>
        <v>#VALUE!</v>
      </c>
      <c r="D33" s="1824" t="s">
        <v>1096</v>
      </c>
      <c r="E33" s="1768" t="s">
        <v>1079</v>
      </c>
      <c r="F33" s="1807">
        <f>IF(D33="按票据","——",IF(D33="按租金收入计税",'数据-取费表'!B51,'数据-取费表'!B50))</f>
        <v>0.012</v>
      </c>
      <c r="G33" s="1736"/>
      <c r="H33" s="1825"/>
      <c r="I33" s="1819"/>
      <c r="J33" s="1921"/>
      <c r="K33" s="1924"/>
      <c r="L33" s="1825"/>
      <c r="M33" s="1825"/>
    </row>
    <row r="34" ht="18" customHeight="1" spans="1:13">
      <c r="A34" s="1764" t="s">
        <v>826</v>
      </c>
      <c r="B34" s="1767" t="s">
        <v>1099</v>
      </c>
      <c r="C34" s="1826">
        <f ca="1">IF(项目基本情况!B11="自然人","——",ROUND(F34*F35,))</f>
        <v>0</v>
      </c>
      <c r="D34" s="1827" t="s">
        <v>1100</v>
      </c>
      <c r="E34" s="1768" t="s">
        <v>1101</v>
      </c>
      <c r="F34" s="1807">
        <f>'数据-取费表'!B52</f>
        <v>0</v>
      </c>
      <c r="G34" s="1736"/>
      <c r="H34" s="1819"/>
      <c r="I34" s="1819"/>
      <c r="J34" s="1921"/>
      <c r="K34" s="1925"/>
      <c r="L34" s="1926"/>
      <c r="M34" s="1926"/>
    </row>
    <row r="35" ht="18" customHeight="1" spans="1:13">
      <c r="A35" s="1828"/>
      <c r="B35" s="1828"/>
      <c r="C35" s="1829"/>
      <c r="D35" s="703"/>
      <c r="E35" s="1768" t="s">
        <v>1105</v>
      </c>
      <c r="F35" s="1769">
        <f ca="1">INDIRECT("'数据-取费表'!r"&amp;$G$1)</f>
        <v>0</v>
      </c>
      <c r="G35" s="1736"/>
      <c r="H35" s="1819"/>
      <c r="I35" s="1819"/>
      <c r="J35" s="1921"/>
      <c r="K35" s="1924"/>
      <c r="L35" s="1825"/>
      <c r="M35" s="1825"/>
    </row>
    <row r="36" ht="18" customHeight="1" spans="1:13">
      <c r="A36" s="1830" t="s">
        <v>800</v>
      </c>
      <c r="B36" s="1768" t="s">
        <v>1107</v>
      </c>
      <c r="C36" s="375" t="e">
        <f ca="1">ROUND(C29*F36,0)</f>
        <v>#VALUE!</v>
      </c>
      <c r="D36" s="1821" t="s">
        <v>1140</v>
      </c>
      <c r="E36" s="1768" t="s">
        <v>1079</v>
      </c>
      <c r="F36" s="1769">
        <f ca="1">INDIRECT("'数据-取费表'!Ak"&amp;$G$1)</f>
        <v>0</v>
      </c>
      <c r="G36" s="1736"/>
      <c r="H36" s="1825"/>
      <c r="I36" s="1819"/>
      <c r="J36" s="1921"/>
      <c r="K36" s="1927"/>
      <c r="L36" s="1825"/>
      <c r="M36" s="1825"/>
    </row>
    <row r="37" ht="18" customHeight="1" spans="1:13">
      <c r="A37" s="1798" t="s">
        <v>845</v>
      </c>
      <c r="B37" s="1768" t="s">
        <v>1111</v>
      </c>
      <c r="C37" s="375" t="e">
        <f ca="1">ROUND(C13*F37,0)</f>
        <v>#VALUE!</v>
      </c>
      <c r="D37" s="1821" t="s">
        <v>1112</v>
      </c>
      <c r="E37" s="1768" t="s">
        <v>1079</v>
      </c>
      <c r="F37" s="1769">
        <f ca="1">INDIRECT("'数据-取费表'!Al"&amp;$G$1)</f>
        <v>0</v>
      </c>
      <c r="G37" s="1736"/>
      <c r="H37" s="1825"/>
      <c r="I37" s="1819"/>
      <c r="J37" s="1921"/>
      <c r="K37" s="1927"/>
      <c r="L37" s="1825"/>
      <c r="M37" s="1825"/>
    </row>
    <row r="38" ht="18" customHeight="1" spans="1:13">
      <c r="A38" s="1806" t="s">
        <v>848</v>
      </c>
      <c r="B38" s="1791" t="s">
        <v>1097</v>
      </c>
      <c r="C38" s="1813">
        <f ca="1">ROUND(C5*F38,1)</f>
        <v>0</v>
      </c>
      <c r="D38" s="1814" t="s">
        <v>1115</v>
      </c>
      <c r="E38" s="1791" t="s">
        <v>1079</v>
      </c>
      <c r="F38" s="1792">
        <f ca="1">INDIRECT("'数据-取费表'!Am"&amp;$G$1)</f>
        <v>0</v>
      </c>
      <c r="G38" s="1736"/>
      <c r="H38" s="1825"/>
      <c r="I38" s="1819"/>
      <c r="J38" s="1921"/>
      <c r="K38" s="1928"/>
      <c r="L38" s="1825"/>
      <c r="M38" s="1825"/>
    </row>
    <row r="39" ht="24.6" customHeight="1" spans="1:13">
      <c r="A39" s="1793" t="s">
        <v>1118</v>
      </c>
      <c r="B39" s="1831" t="s">
        <v>1119</v>
      </c>
      <c r="C39" s="1795" t="e">
        <f ca="1">C5-C30</f>
        <v>#VALUE!</v>
      </c>
      <c r="D39" s="1832" t="s">
        <v>1120</v>
      </c>
      <c r="E39" s="1833"/>
      <c r="F39" s="1834"/>
      <c r="G39" s="1736"/>
      <c r="H39" s="1825"/>
      <c r="I39" s="1819"/>
      <c r="J39" s="1921"/>
      <c r="K39" s="1928"/>
      <c r="L39" s="1825"/>
      <c r="M39" s="1825"/>
    </row>
    <row r="40" ht="18" customHeight="1" spans="1:13">
      <c r="A40" s="1758" t="s">
        <v>1124</v>
      </c>
      <c r="B40" s="1759" t="s">
        <v>1141</v>
      </c>
      <c r="C40" s="1835" t="e">
        <f ca="1">ROUND(C39*(1-((1+F42)/(1+F40))^F41)/(F40-F42),0)</f>
        <v>#VALUE!</v>
      </c>
      <c r="D40" s="1827" t="s">
        <v>1126</v>
      </c>
      <c r="E40" s="1768" t="s">
        <v>1127</v>
      </c>
      <c r="F40" s="1769">
        <f ca="1">INDIRECT("'数据-取费表'!I"&amp;$G$1)</f>
        <v>0</v>
      </c>
      <c r="G40" s="1736"/>
      <c r="H40" s="1836"/>
      <c r="I40" s="1819"/>
      <c r="J40" s="1921"/>
      <c r="K40" s="1928"/>
      <c r="L40" s="1836"/>
      <c r="M40" s="1836"/>
    </row>
    <row r="41" ht="18" customHeight="1" spans="1:13">
      <c r="A41" s="1775"/>
      <c r="B41" s="1837"/>
      <c r="C41" s="1776"/>
      <c r="D41" s="1838" t="s">
        <v>1130</v>
      </c>
      <c r="E41" s="1768" t="s">
        <v>1131</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1134</v>
      </c>
      <c r="F42" s="1769">
        <f ca="1">INDIRECT("'数据-取费表'!v"&amp;$G$1)</f>
        <v>0</v>
      </c>
      <c r="G42" s="1736"/>
      <c r="H42" s="1839"/>
      <c r="I42" s="1819"/>
      <c r="J42" s="1921"/>
      <c r="K42" s="1927"/>
      <c r="L42" s="1839"/>
      <c r="M42" s="1839"/>
    </row>
    <row r="43" ht="18" customHeight="1" spans="1:13">
      <c r="A43" s="1816" t="s">
        <v>1136</v>
      </c>
      <c r="B43" s="1841" t="s">
        <v>1142</v>
      </c>
      <c r="C43" s="1842" t="e">
        <f ca="1">ROUND(C40/F43,0)</f>
        <v>#VALUE!</v>
      </c>
      <c r="D43" s="1843" t="s">
        <v>1143</v>
      </c>
      <c r="E43" s="1844" t="s">
        <v>1144</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1239</v>
      </c>
      <c r="E45" s="1846"/>
      <c r="F45" s="1846"/>
      <c r="O45" s="1929" t="s">
        <v>1145</v>
      </c>
      <c r="P45" s="1836"/>
      <c r="Q45" s="1836"/>
      <c r="R45" s="1836"/>
    </row>
    <row r="46" s="1736" customFormat="1" ht="13.95" spans="1:18">
      <c r="A46" s="1850" t="s">
        <v>1146</v>
      </c>
      <c r="C46" s="1851" t="e">
        <f ca="1">ROUND(C45/10000,0)</f>
        <v>#VALUE!</v>
      </c>
      <c r="D46" s="1852" t="str">
        <f>C2</f>
        <v>万元</v>
      </c>
      <c r="I46" s="1930" t="s">
        <v>1147</v>
      </c>
      <c r="J46" s="1931"/>
      <c r="K46" s="1932"/>
      <c r="L46" s="1933" t="e">
        <f ca="1">IF(M47="住宅",0,IF(L48&gt;J51,L60,J60))</f>
        <v>#VALUE!</v>
      </c>
      <c r="O46" s="1934" t="s">
        <v>1148</v>
      </c>
      <c r="P46" s="1935" t="s">
        <v>1149</v>
      </c>
      <c r="Q46" s="1977" t="s">
        <v>1150</v>
      </c>
      <c r="R46" s="1977" t="s">
        <v>1151</v>
      </c>
    </row>
    <row r="47" s="1736" customFormat="1" ht="13.95" spans="1:18">
      <c r="A47" s="1853" t="s">
        <v>1051</v>
      </c>
      <c r="B47" s="1854" t="s">
        <v>1052</v>
      </c>
      <c r="C47" s="1854" t="s">
        <v>1053</v>
      </c>
      <c r="D47" s="1854" t="s">
        <v>1054</v>
      </c>
      <c r="E47" s="1855" t="s">
        <v>1055</v>
      </c>
      <c r="F47" s="368"/>
      <c r="G47" s="1856"/>
      <c r="I47" s="1936" t="s">
        <v>1152</v>
      </c>
      <c r="J47" s="1937"/>
      <c r="K47" s="1938" t="s">
        <v>1153</v>
      </c>
      <c r="L47" s="1939">
        <f ca="1">INDIRECT("'数据-取费表'!d"&amp;$G$1)</f>
        <v>0</v>
      </c>
      <c r="M47" s="1940" t="str">
        <f>IF(ISNUMBER(FIND("住宅",C1)),"住宅","非住宅")</f>
        <v>非住宅</v>
      </c>
      <c r="O47" s="1941" t="s">
        <v>901</v>
      </c>
      <c r="P47" s="1942" t="s">
        <v>1154</v>
      </c>
      <c r="Q47" s="1978" t="e">
        <f ca="1">C40+J29</f>
        <v>#VALUE!</v>
      </c>
      <c r="R47" s="1978" t="s">
        <v>1155</v>
      </c>
    </row>
    <row r="48" s="1736" customFormat="1" ht="41.55" spans="1:18">
      <c r="A48" s="1857" t="s">
        <v>1156</v>
      </c>
      <c r="B48" s="1759" t="s">
        <v>1056</v>
      </c>
      <c r="C48" s="376">
        <f ca="1">C49+C53+C55</f>
        <v>0</v>
      </c>
      <c r="D48" s="1858"/>
      <c r="E48" s="1859"/>
      <c r="F48" s="1860"/>
      <c r="G48" s="1856"/>
      <c r="H48" s="1861"/>
      <c r="I48" s="1943" t="s">
        <v>1157</v>
      </c>
      <c r="J48" s="1944"/>
      <c r="K48" s="1945" t="s">
        <v>1158</v>
      </c>
      <c r="L48" s="1946">
        <f ca="1">INDIRECT("'数据-取费表'!f"&amp;$G$1)</f>
        <v>0</v>
      </c>
      <c r="O48" s="1941" t="s">
        <v>904</v>
      </c>
      <c r="P48" s="1942" t="s">
        <v>1159</v>
      </c>
      <c r="Q48" s="1978" t="e">
        <f ca="1">J60</f>
        <v>#VALUE!</v>
      </c>
      <c r="R48" s="1978" t="s">
        <v>1160</v>
      </c>
    </row>
    <row r="49" s="1736" customFormat="1" ht="13.95" spans="1:18">
      <c r="A49" s="1862" t="s">
        <v>1161</v>
      </c>
      <c r="B49" s="1863" t="s">
        <v>1162</v>
      </c>
      <c r="C49" s="1864">
        <f ca="1">ROUND(F49*F51*F50*(1-F52),0)</f>
        <v>0</v>
      </c>
      <c r="D49" s="1865" t="s">
        <v>1240</v>
      </c>
      <c r="E49" s="1866" t="s">
        <v>1163</v>
      </c>
      <c r="F49" s="1867"/>
      <c r="G49" s="1868"/>
      <c r="H49" s="1861"/>
      <c r="I49" s="1943" t="s">
        <v>1164</v>
      </c>
      <c r="J49" s="1947"/>
      <c r="K49" s="1945" t="s">
        <v>1165</v>
      </c>
      <c r="L49" s="1948"/>
      <c r="O49" s="1949" t="s">
        <v>1166</v>
      </c>
      <c r="P49" s="1942" t="s">
        <v>1167</v>
      </c>
      <c r="Q49" s="1978" t="e">
        <f ca="1">C29</f>
        <v>#VALUE!</v>
      </c>
      <c r="R49" s="1978" t="s">
        <v>1155</v>
      </c>
    </row>
    <row r="50" s="1736" customFormat="1" ht="13.95" spans="1:18">
      <c r="A50" s="1869"/>
      <c r="B50" s="338"/>
      <c r="C50" s="1870"/>
      <c r="D50" s="1871"/>
      <c r="E50" s="1872" t="s">
        <v>1062</v>
      </c>
      <c r="F50" s="1873">
        <f ca="1">F7</f>
        <v>0</v>
      </c>
      <c r="H50" s="1861"/>
      <c r="I50" s="1943" t="s">
        <v>1168</v>
      </c>
      <c r="J50" s="1950">
        <f>SUMPRODUCT((I63:I65=J47)*(J62:L62=J48)*(J63:L65))</f>
        <v>0</v>
      </c>
      <c r="K50" s="1945" t="s">
        <v>1169</v>
      </c>
      <c r="L50" s="1948"/>
      <c r="M50" s="1951"/>
      <c r="O50" s="1949" t="s">
        <v>1170</v>
      </c>
      <c r="P50" s="1942" t="s">
        <v>1171</v>
      </c>
      <c r="Q50" s="1978" t="e">
        <f ca="1">J58</f>
        <v>#DIV/0!</v>
      </c>
      <c r="R50" s="1978"/>
    </row>
    <row r="51" s="1736" customFormat="1" ht="13.95" spans="1:18">
      <c r="A51" s="1874"/>
      <c r="B51" s="338"/>
      <c r="C51" s="1870"/>
      <c r="D51" s="1871"/>
      <c r="E51" s="1875" t="s">
        <v>1063</v>
      </c>
      <c r="F51" s="1769">
        <f ca="1">F8</f>
        <v>0</v>
      </c>
      <c r="I51" s="902" t="s">
        <v>1172</v>
      </c>
      <c r="J51" s="1946">
        <f>IF(J49="",J50,J49+J50-YEAR('数据-取费表'!B2))</f>
        <v>0</v>
      </c>
      <c r="K51" s="1952" t="s">
        <v>1173</v>
      </c>
      <c r="L51" s="1946" t="e">
        <f ca="1">ROUND(-PV(INDIRECT("'数据-取费表'!h"&amp;$G$1),J51,(C39-C13*C76),0),0)</f>
        <v>#VALUE!</v>
      </c>
      <c r="M51" s="1953"/>
      <c r="O51" s="1949" t="s">
        <v>1174</v>
      </c>
      <c r="P51" s="1942" t="s">
        <v>1175</v>
      </c>
      <c r="Q51" s="1978">
        <f>J52</f>
        <v>0</v>
      </c>
      <c r="R51" s="1978"/>
    </row>
    <row r="52" s="1736" customFormat="1" ht="13.95" spans="1:18">
      <c r="A52" s="1874"/>
      <c r="B52" s="338"/>
      <c r="C52" s="1870"/>
      <c r="D52" s="1871"/>
      <c r="E52" s="1875" t="s">
        <v>1064</v>
      </c>
      <c r="F52" s="1876"/>
      <c r="I52" s="1954" t="s">
        <v>1176</v>
      </c>
      <c r="J52" s="1955"/>
      <c r="K52" s="1954" t="s">
        <v>1177</v>
      </c>
      <c r="L52" s="1955"/>
      <c r="O52" s="1949" t="s">
        <v>1178</v>
      </c>
      <c r="P52" s="1942" t="s">
        <v>1179</v>
      </c>
      <c r="Q52" s="1978">
        <f ca="1">J53</f>
        <v>0</v>
      </c>
      <c r="R52" s="1978" t="s">
        <v>1180</v>
      </c>
    </row>
    <row r="53" s="1736" customFormat="1" ht="30.75" customHeight="1" spans="1:18">
      <c r="A53" s="1877" t="s">
        <v>1181</v>
      </c>
      <c r="B53" s="1810" t="s">
        <v>1065</v>
      </c>
      <c r="C53" s="374">
        <f ca="1">ROUND(IF(F53="押一",C49/12*F11,IF(F53="押二",C49/12*2*F11,IF(F53="押三",C49/12*3*F11,C54*F11))),0)</f>
        <v>0</v>
      </c>
      <c r="D53" s="1779" t="s">
        <v>1241</v>
      </c>
      <c r="E53" s="1780" t="s">
        <v>1067</v>
      </c>
      <c r="F53" s="1781"/>
      <c r="I53" s="1956" t="s">
        <v>1182</v>
      </c>
      <c r="J53" s="1957">
        <f ca="1">IF(M47="住宅",IF(D1="——",MAX(J51,L48),MAX(J51,L48-'数据-取费表'!B24)),IF(D1="——",MIN(J51,L48),MIN(J51,L48-'数据-取费表'!B24)))</f>
        <v>0</v>
      </c>
      <c r="K53" s="1958" t="s">
        <v>1183</v>
      </c>
      <c r="L53" s="1959"/>
      <c r="O53" s="1941" t="s">
        <v>1007</v>
      </c>
      <c r="P53" s="1942" t="s">
        <v>1184</v>
      </c>
      <c r="Q53" s="1978" t="e">
        <f ca="1">Q47+Q48</f>
        <v>#VALUE!</v>
      </c>
      <c r="R53" s="1978" t="s">
        <v>1185</v>
      </c>
    </row>
    <row r="54" s="1736" customFormat="1" ht="13.95" spans="1:18">
      <c r="A54" s="1862"/>
      <c r="B54" s="1878" t="s">
        <v>1238</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1186</v>
      </c>
      <c r="P54" s="1962"/>
      <c r="Q54" s="1962"/>
      <c r="R54" s="1962"/>
    </row>
    <row r="55" s="1736" customFormat="1" ht="13.95" spans="1:18">
      <c r="A55" s="1787" t="s">
        <v>845</v>
      </c>
      <c r="B55" s="1788" t="s">
        <v>1071</v>
      </c>
      <c r="C55" s="1789"/>
      <c r="D55" s="1779"/>
      <c r="E55" s="1879"/>
      <c r="F55" s="1880"/>
      <c r="I55" s="1963" t="s">
        <v>1187</v>
      </c>
      <c r="J55" s="1964" t="e">
        <f ca="1">ROUND(IF(J47="钢混",J57/J50,1-(1-2%)*(J50-J57)/J50),3)</f>
        <v>#DIV/0!</v>
      </c>
      <c r="K55" s="1965" t="s">
        <v>1188</v>
      </c>
      <c r="L55" s="1966"/>
      <c r="O55" s="1934" t="s">
        <v>1148</v>
      </c>
      <c r="P55" s="1935" t="s">
        <v>1149</v>
      </c>
      <c r="Q55" s="1977" t="s">
        <v>1150</v>
      </c>
      <c r="R55" s="1977" t="s">
        <v>1151</v>
      </c>
    </row>
    <row r="56" s="1736" customFormat="1" ht="36" customHeight="1" spans="1:18">
      <c r="A56" s="1881">
        <v>2</v>
      </c>
      <c r="B56" s="1882" t="s">
        <v>1072</v>
      </c>
      <c r="C56" s="276" t="e">
        <f ca="1">C13</f>
        <v>#VALUE!</v>
      </c>
      <c r="D56" s="1883"/>
      <c r="E56" s="1884"/>
      <c r="F56" s="1880"/>
      <c r="I56" s="1967" t="s">
        <v>1190</v>
      </c>
      <c r="J56" s="1968"/>
      <c r="K56" s="1943" t="s">
        <v>1191</v>
      </c>
      <c r="L56" s="1946">
        <f ca="1">IF(L48&lt;J51,"——",L48-J51)</f>
        <v>0</v>
      </c>
      <c r="O56" s="1941" t="s">
        <v>901</v>
      </c>
      <c r="P56" s="1942" t="s">
        <v>1154</v>
      </c>
      <c r="Q56" s="1978" t="e">
        <f ca="1">C40+J29</f>
        <v>#VALUE!</v>
      </c>
      <c r="R56" s="1978" t="s">
        <v>1155</v>
      </c>
    </row>
    <row r="57" s="1736" customFormat="1" ht="24.75" spans="1:18">
      <c r="A57" s="1885"/>
      <c r="B57" s="1886" t="s">
        <v>1135</v>
      </c>
      <c r="C57" s="283" t="e">
        <f ca="1">C29</f>
        <v>#VALUE!</v>
      </c>
      <c r="D57" s="1887"/>
      <c r="E57" s="1888"/>
      <c r="F57" s="1889"/>
      <c r="I57" s="1969" t="s">
        <v>1192</v>
      </c>
      <c r="J57" s="1970">
        <f ca="1">IF(OR(M47="住宅",J51&lt;L48,J56="是"),"——",J51-L48)</f>
        <v>0</v>
      </c>
      <c r="K57" s="1943" t="s">
        <v>1242</v>
      </c>
      <c r="L57" s="1946" t="e">
        <f ca="1">IF(L48&lt;J51,"——",IF(L55="比较法",L49,IF(L55="基准地价",L50,L51)))</f>
        <v>#VALUE!</v>
      </c>
      <c r="O57" s="1941" t="s">
        <v>904</v>
      </c>
      <c r="P57" s="1942" t="s">
        <v>1194</v>
      </c>
      <c r="Q57" s="1978" t="e">
        <f ca="1">L60</f>
        <v>#VALUE!</v>
      </c>
      <c r="R57" s="1978" t="s">
        <v>1195</v>
      </c>
    </row>
    <row r="58" s="1736" customFormat="1" ht="24.75" spans="1:18">
      <c r="A58" s="1890" t="s">
        <v>1080</v>
      </c>
      <c r="B58" s="1882" t="s">
        <v>1081</v>
      </c>
      <c r="C58" s="374" t="e">
        <f ca="1">ROUND(C59+C64+C65+C66,0)</f>
        <v>#VALUE!</v>
      </c>
      <c r="D58" s="1891" t="s">
        <v>1082</v>
      </c>
      <c r="E58" s="1892"/>
      <c r="F58" s="1860"/>
      <c r="I58" s="1969" t="s">
        <v>1196</v>
      </c>
      <c r="J58" s="1970" t="e">
        <f ca="1">IF(J55&lt;0.4,0.4,J55)</f>
        <v>#DIV/0!</v>
      </c>
      <c r="K58" s="1952" t="s">
        <v>1243</v>
      </c>
      <c r="L58" s="1946" t="e">
        <f ca="1">ROUND(POWER(1+L52,L47-L48)*(POWER(1+L52,L48)-1)/(POWER(1+L52,L47)-1),4)</f>
        <v>#DIV/0!</v>
      </c>
      <c r="O58" s="1949" t="s">
        <v>1166</v>
      </c>
      <c r="P58" s="1942" t="s">
        <v>1198</v>
      </c>
      <c r="Q58" s="1978">
        <f>IF(L55="比较法",L49,IF(L55="基准地价",L50,0))</f>
        <v>0</v>
      </c>
      <c r="R58" s="1978" t="s">
        <v>1155</v>
      </c>
    </row>
    <row r="59" s="1736" customFormat="1" ht="24.75" spans="1:18">
      <c r="A59" s="1798" t="s">
        <v>796</v>
      </c>
      <c r="B59" s="1886" t="s">
        <v>1087</v>
      </c>
      <c r="C59" s="1820" t="e">
        <f ca="1">ROUND(IF(AND(项目基本情况!B11="自然人",项目基本情况!B10="北京市"),C49*F59/(1+'数据-取费表'!C42),C60+C61+C62),0)</f>
        <v>#VALUE!</v>
      </c>
      <c r="D59" s="1893" t="s">
        <v>1088</v>
      </c>
      <c r="E59" s="1894" t="s">
        <v>1089</v>
      </c>
      <c r="F59" s="1822">
        <f ca="1">IF(项目基本情况!B11="企业","——",IF('数据-取费表'!B10="住宅",IF(F49*F50*F51/12/(1+'数据-取费表'!F30)&gt;100000,4%,2.5%),IF(F49*F50*F51/12/(1+'数据-取费表'!F30)&gt;100000,12%,7%)))</f>
        <v>0.07</v>
      </c>
      <c r="I59" s="1969" t="s">
        <v>1199</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1170</v>
      </c>
      <c r="P59" s="1942" t="s">
        <v>1200</v>
      </c>
      <c r="Q59" s="1978">
        <f>L52</f>
        <v>0</v>
      </c>
      <c r="R59" s="1978"/>
    </row>
    <row r="60" s="1736" customFormat="1" ht="17.55" spans="1:18">
      <c r="A60" s="1798" t="s">
        <v>819</v>
      </c>
      <c r="B60" s="1886" t="s">
        <v>1091</v>
      </c>
      <c r="C60" s="375">
        <f ca="1">IF(项目基本情况!B11="自然人","——",ROUND(C48*F60/(1+'数据-取费表'!C42),0))</f>
        <v>0</v>
      </c>
      <c r="D60" s="1894" t="s">
        <v>1092</v>
      </c>
      <c r="E60" s="1886" t="s">
        <v>1079</v>
      </c>
      <c r="F60" s="1807">
        <f t="shared" ref="F60:F66" si="0">F32</f>
        <v>0</v>
      </c>
      <c r="I60" s="1971" t="s">
        <v>1201</v>
      </c>
      <c r="J60" s="1972" t="e">
        <f ca="1">IF(OR(M47="住宅",J51&lt;L48,J56="是"),"0",ROUND(J59/(1+J52)^J53,0))</f>
        <v>#VALUE!</v>
      </c>
      <c r="K60" s="1973" t="s">
        <v>1202</v>
      </c>
      <c r="L60" s="1972" t="e">
        <f ca="1">IF(OR(M47="住宅",L48&lt;J51),0,ROUND(L57*(L58/L59-1),0))</f>
        <v>#VALUE!</v>
      </c>
      <c r="O60" s="1949" t="s">
        <v>1174</v>
      </c>
      <c r="P60" s="1942" t="s">
        <v>1203</v>
      </c>
      <c r="Q60" s="1978" t="e">
        <f ca="1">L58</f>
        <v>#DIV/0!</v>
      </c>
      <c r="R60" s="1978" t="s">
        <v>1204</v>
      </c>
    </row>
    <row r="61" s="1736" customFormat="1" ht="13.95" spans="1:18">
      <c r="A61" s="1798" t="s">
        <v>823</v>
      </c>
      <c r="B61" s="1886" t="s">
        <v>1095</v>
      </c>
      <c r="C61" s="375" t="e">
        <f ca="1">IF(项目基本情况!B11="自然人","——",IF(D61="按租金收入计税",ROUND(C49*F61/(1+'数据-取费表'!C42),0),IF(D61="按房产原值计税",ROUND(C57*F61*0.7,0),INDIRECT("'数据-取费表'!Aj"&amp;$G$1))))</f>
        <v>#VALUE!</v>
      </c>
      <c r="D61" s="1824" t="s">
        <v>1096</v>
      </c>
      <c r="E61" s="1886" t="s">
        <v>1079</v>
      </c>
      <c r="F61" s="1807">
        <f t="shared" si="0"/>
        <v>0.012</v>
      </c>
      <c r="I61" s="1836"/>
      <c r="J61" s="1836"/>
      <c r="K61" s="1836"/>
      <c r="L61" s="1836"/>
      <c r="O61" s="1949" t="s">
        <v>1178</v>
      </c>
      <c r="P61" s="1942" t="str">
        <f>K59</f>
        <v>建设期及建筑物耐用年限下的土地年期修正系数Kn</v>
      </c>
      <c r="Q61" s="1978" t="e">
        <f ca="1">L59</f>
        <v>#DIV/0!</v>
      </c>
      <c r="R61" s="1978" t="s">
        <v>1205</v>
      </c>
    </row>
    <row r="62" s="1736" customFormat="1" ht="13.95" spans="1:18">
      <c r="A62" s="1798" t="s">
        <v>826</v>
      </c>
      <c r="B62" s="1895" t="s">
        <v>1099</v>
      </c>
      <c r="C62" s="1826">
        <f ca="1">IF(项目基本情况!B11="自然人","——",ROUND(F62*F63,0))</f>
        <v>0</v>
      </c>
      <c r="D62" s="1896" t="s">
        <v>1100</v>
      </c>
      <c r="E62" s="1886" t="s">
        <v>1101</v>
      </c>
      <c r="F62" s="1807">
        <f t="shared" si="0"/>
        <v>0</v>
      </c>
      <c r="I62" s="1974" t="s">
        <v>1206</v>
      </c>
      <c r="J62" s="1975" t="s">
        <v>1207</v>
      </c>
      <c r="K62" s="1975" t="s">
        <v>1208</v>
      </c>
      <c r="L62" s="1975" t="s">
        <v>1209</v>
      </c>
      <c r="M62" s="1976" t="s">
        <v>1210</v>
      </c>
      <c r="O62" s="1941" t="s">
        <v>1007</v>
      </c>
      <c r="P62" s="1942" t="s">
        <v>1184</v>
      </c>
      <c r="Q62" s="1978" t="e">
        <f ca="1">Q56+Q57</f>
        <v>#VALUE!</v>
      </c>
      <c r="R62" s="1978" t="s">
        <v>1185</v>
      </c>
    </row>
    <row r="63" s="1736" customFormat="1" ht="13.95" spans="1:18">
      <c r="A63" s="1811"/>
      <c r="B63" s="1897"/>
      <c r="C63" s="1829"/>
      <c r="D63" s="1898"/>
      <c r="E63" s="1886" t="s">
        <v>1105</v>
      </c>
      <c r="F63" s="1769">
        <f ca="1" t="shared" si="0"/>
        <v>0</v>
      </c>
      <c r="I63" s="1974" t="s">
        <v>1211</v>
      </c>
      <c r="J63" s="1975">
        <v>70</v>
      </c>
      <c r="K63" s="1975">
        <v>50</v>
      </c>
      <c r="L63" s="1975">
        <v>80</v>
      </c>
      <c r="M63" s="1976">
        <v>0.02</v>
      </c>
      <c r="O63" s="1929" t="s">
        <v>1212</v>
      </c>
      <c r="P63" s="1962"/>
      <c r="Q63" s="1962"/>
      <c r="R63" s="1962"/>
    </row>
    <row r="64" s="1736" customFormat="1" ht="13.95" spans="1:18">
      <c r="A64" s="1798" t="s">
        <v>800</v>
      </c>
      <c r="B64" s="1886" t="s">
        <v>1107</v>
      </c>
      <c r="C64" s="375" t="e">
        <f ca="1">ROUND(C57*F64,0)</f>
        <v>#VALUE!</v>
      </c>
      <c r="D64" s="1894" t="s">
        <v>1140</v>
      </c>
      <c r="E64" s="1886" t="s">
        <v>1079</v>
      </c>
      <c r="F64" s="1769">
        <f ca="1" t="shared" si="0"/>
        <v>0</v>
      </c>
      <c r="I64" s="1974" t="s">
        <v>1213</v>
      </c>
      <c r="J64" s="1975">
        <v>50</v>
      </c>
      <c r="K64" s="1975">
        <v>35</v>
      </c>
      <c r="L64" s="1975">
        <v>60</v>
      </c>
      <c r="M64" s="1976">
        <v>0</v>
      </c>
      <c r="O64" s="1934" t="s">
        <v>1148</v>
      </c>
      <c r="P64" s="1935" t="s">
        <v>1149</v>
      </c>
      <c r="Q64" s="1977" t="s">
        <v>1150</v>
      </c>
      <c r="R64" s="1977" t="s">
        <v>1151</v>
      </c>
    </row>
    <row r="65" s="1736" customFormat="1" ht="13.95" spans="1:18">
      <c r="A65" s="1798" t="s">
        <v>845</v>
      </c>
      <c r="B65" s="1886" t="s">
        <v>1111</v>
      </c>
      <c r="C65" s="375" t="e">
        <f ca="1">ROUND(C56*F65,0)</f>
        <v>#VALUE!</v>
      </c>
      <c r="D65" s="1894" t="s">
        <v>1112</v>
      </c>
      <c r="E65" s="1886" t="s">
        <v>1079</v>
      </c>
      <c r="F65" s="1769">
        <f ca="1" t="shared" si="0"/>
        <v>0</v>
      </c>
      <c r="I65" s="1974" t="s">
        <v>1214</v>
      </c>
      <c r="J65" s="1975">
        <v>40</v>
      </c>
      <c r="K65" s="1975">
        <v>30</v>
      </c>
      <c r="L65" s="1975">
        <v>50</v>
      </c>
      <c r="M65" s="1976">
        <v>0.02</v>
      </c>
      <c r="O65" s="1941" t="s">
        <v>901</v>
      </c>
      <c r="P65" s="1942" t="s">
        <v>1154</v>
      </c>
      <c r="Q65" s="1978" t="e">
        <f ca="1">C40+J29</f>
        <v>#VALUE!</v>
      </c>
      <c r="R65" s="1978" t="s">
        <v>1155</v>
      </c>
    </row>
    <row r="66" s="1736" customFormat="1" ht="17.55" spans="1:18">
      <c r="A66" s="1798" t="s">
        <v>848</v>
      </c>
      <c r="B66" s="1886" t="s">
        <v>1097</v>
      </c>
      <c r="C66" s="375">
        <f ca="1">ROUND(C48*F66,0)</f>
        <v>0</v>
      </c>
      <c r="D66" s="1894" t="s">
        <v>1115</v>
      </c>
      <c r="E66" s="1886" t="s">
        <v>1079</v>
      </c>
      <c r="F66" s="1769">
        <f ca="1" t="shared" si="0"/>
        <v>0</v>
      </c>
      <c r="O66" s="1941" t="s">
        <v>904</v>
      </c>
      <c r="P66" s="1942" t="s">
        <v>1194</v>
      </c>
      <c r="Q66" s="1978" t="e">
        <f ca="1">L60</f>
        <v>#VALUE!</v>
      </c>
      <c r="R66" s="1978" t="s">
        <v>1195</v>
      </c>
    </row>
    <row r="67" s="1736" customFormat="1" ht="24.75" spans="1:18">
      <c r="A67" s="1881" t="s">
        <v>1118</v>
      </c>
      <c r="B67" s="1979" t="s">
        <v>1119</v>
      </c>
      <c r="C67" s="374" t="e">
        <f ca="1">C48-C58</f>
        <v>#VALUE!</v>
      </c>
      <c r="D67" s="1893" t="s">
        <v>1120</v>
      </c>
      <c r="E67" s="1980"/>
      <c r="F67" s="1981"/>
      <c r="O67" s="1949" t="s">
        <v>1166</v>
      </c>
      <c r="P67" s="1942" t="s">
        <v>1198</v>
      </c>
      <c r="Q67" s="1978" t="e">
        <f ca="1">L51</f>
        <v>#VALUE!</v>
      </c>
      <c r="R67" s="1978" t="s">
        <v>1215</v>
      </c>
    </row>
    <row r="68" s="1736" customFormat="1" ht="17.55" spans="1:18">
      <c r="A68" s="1982" t="s">
        <v>1124</v>
      </c>
      <c r="B68" s="1983" t="s">
        <v>1141</v>
      </c>
      <c r="C68" s="1835" t="e">
        <f ca="1">ROUND(C67*(1-((1+F70)/(1+F68))^F69)/(F68-F70),0)</f>
        <v>#VALUE!</v>
      </c>
      <c r="D68" s="1896" t="s">
        <v>1126</v>
      </c>
      <c r="E68" s="1886" t="s">
        <v>1127</v>
      </c>
      <c r="F68" s="1769">
        <f ca="1">F40</f>
        <v>0</v>
      </c>
      <c r="O68" s="1949" t="s">
        <v>1170</v>
      </c>
      <c r="P68" s="1998" t="s">
        <v>1216</v>
      </c>
      <c r="Q68" s="1978" t="e">
        <f ca="1">ROUND(Q69-Q70*Q71,0)</f>
        <v>#VALUE!</v>
      </c>
      <c r="R68" s="1978" t="s">
        <v>1217</v>
      </c>
    </row>
    <row r="69" s="1736" customFormat="1" ht="13.95" spans="1:18">
      <c r="A69" s="1984"/>
      <c r="B69" s="1985"/>
      <c r="C69" s="1776"/>
      <c r="D69" s="1986" t="s">
        <v>1130</v>
      </c>
      <c r="E69" s="1886" t="s">
        <v>1131</v>
      </c>
      <c r="F69" s="1769">
        <f ca="1">F41</f>
        <v>0</v>
      </c>
      <c r="O69" s="1949" t="s">
        <v>1218</v>
      </c>
      <c r="P69" s="1998" t="s">
        <v>1219</v>
      </c>
      <c r="Q69" s="1978" t="e">
        <f ca="1">C39</f>
        <v>#VALUE!</v>
      </c>
      <c r="R69" s="1978" t="s">
        <v>1155</v>
      </c>
    </row>
    <row r="70" s="1736" customFormat="1" ht="13.95" spans="1:18">
      <c r="A70" s="1987"/>
      <c r="B70" s="1988"/>
      <c r="C70" s="1795"/>
      <c r="D70" s="1898"/>
      <c r="E70" s="1886" t="s">
        <v>1134</v>
      </c>
      <c r="F70" s="1876">
        <f ca="1">F42</f>
        <v>0</v>
      </c>
      <c r="O70" s="1949" t="s">
        <v>1220</v>
      </c>
      <c r="P70" s="1998" t="s">
        <v>1221</v>
      </c>
      <c r="Q70" s="1978" t="e">
        <f ca="1">C13</f>
        <v>#VALUE!</v>
      </c>
      <c r="R70" s="1978" t="s">
        <v>1155</v>
      </c>
    </row>
    <row r="71" s="1736" customFormat="1" ht="13.95" spans="1:18">
      <c r="A71" s="1989" t="s">
        <v>1136</v>
      </c>
      <c r="B71" s="1990" t="s">
        <v>1142</v>
      </c>
      <c r="C71" s="1842" t="e">
        <f ca="1">ROUND(C68/F71,0)</f>
        <v>#VALUE!</v>
      </c>
      <c r="D71" s="1991" t="s">
        <v>1143</v>
      </c>
      <c r="E71" s="1992" t="s">
        <v>1144</v>
      </c>
      <c r="F71" s="1845">
        <f ca="1">F43</f>
        <v>0</v>
      </c>
      <c r="O71" s="1949" t="s">
        <v>1222</v>
      </c>
      <c r="P71" s="1998" t="s">
        <v>1223</v>
      </c>
      <c r="Q71" s="1978">
        <f ca="1">C76</f>
        <v>0</v>
      </c>
      <c r="R71" s="1978"/>
    </row>
    <row r="72" s="1736" customFormat="1" ht="13.95" spans="2:18">
      <c r="B72" s="407"/>
      <c r="C72" s="407"/>
      <c r="O72" s="1949" t="s">
        <v>1174</v>
      </c>
      <c r="P72" s="1942" t="s">
        <v>1200</v>
      </c>
      <c r="Q72" s="1978">
        <f>L52</f>
        <v>0</v>
      </c>
      <c r="R72" s="1978"/>
    </row>
    <row r="73" ht="17.55" spans="1:18">
      <c r="A73" s="1736"/>
      <c r="B73" s="407"/>
      <c r="C73" s="407"/>
      <c r="D73" s="1736"/>
      <c r="E73" s="1736"/>
      <c r="F73" s="1736"/>
      <c r="O73" s="1949" t="s">
        <v>1178</v>
      </c>
      <c r="P73" s="1942" t="s">
        <v>1203</v>
      </c>
      <c r="Q73" s="1978" t="e">
        <f ca="1">L58</f>
        <v>#DIV/0!</v>
      </c>
      <c r="R73" s="1978" t="s">
        <v>1204</v>
      </c>
    </row>
    <row r="74" ht="13.95" spans="1:18">
      <c r="A74" s="1736"/>
      <c r="B74" s="309" t="s">
        <v>1224</v>
      </c>
      <c r="C74" s="311"/>
      <c r="D74" s="1736"/>
      <c r="E74" s="1736"/>
      <c r="F74" s="1736"/>
      <c r="O74" s="1949" t="s">
        <v>1225</v>
      </c>
      <c r="P74" s="1942" t="str">
        <f>K59</f>
        <v>建设期及建筑物耐用年限下的土地年期修正系数Kn</v>
      </c>
      <c r="Q74" s="1978" t="e">
        <f ca="1">L59</f>
        <v>#DIV/0!</v>
      </c>
      <c r="R74" s="1978" t="s">
        <v>1205</v>
      </c>
    </row>
    <row r="75" ht="13.95" spans="1:18">
      <c r="A75" s="1736"/>
      <c r="B75" s="1993" t="s">
        <v>1226</v>
      </c>
      <c r="C75" s="310" t="e">
        <f ca="1">ROUND(C13*C76,0)</f>
        <v>#VALUE!</v>
      </c>
      <c r="D75" s="1736"/>
      <c r="E75" s="1736"/>
      <c r="F75" s="1736"/>
      <c r="K75" s="840"/>
      <c r="L75" s="1736"/>
      <c r="O75" s="1941" t="s">
        <v>1007</v>
      </c>
      <c r="P75" s="1942" t="s">
        <v>1184</v>
      </c>
      <c r="Q75" s="1978" t="e">
        <f ca="1">Q65+Q66</f>
        <v>#VALUE!</v>
      </c>
      <c r="R75" s="1978" t="s">
        <v>1185</v>
      </c>
    </row>
    <row r="76" spans="2:12">
      <c r="B76" s="1994" t="s">
        <v>1227</v>
      </c>
      <c r="C76" s="374">
        <f ca="1">INDIRECT("'数据-取费表'!j"&amp;$G$1)</f>
        <v>0</v>
      </c>
      <c r="I76" s="1736"/>
      <c r="J76" s="1736"/>
      <c r="K76" s="840"/>
      <c r="L76" s="1736"/>
    </row>
    <row r="77" spans="2:12">
      <c r="B77" s="1995" t="s">
        <v>1228</v>
      </c>
      <c r="C77" s="1996"/>
      <c r="I77" s="1736"/>
      <c r="J77" s="1736"/>
      <c r="K77" s="840"/>
      <c r="L77" s="1736"/>
    </row>
    <row r="78" spans="2:3">
      <c r="B78" s="307" t="s">
        <v>1229</v>
      </c>
      <c r="C78" s="1997"/>
    </row>
    <row r="79" spans="2:3">
      <c r="B79" s="1993" t="s">
        <v>1230</v>
      </c>
      <c r="C79" s="310" t="e">
        <f ca="1">1-C80</f>
        <v>#VALUE!</v>
      </c>
    </row>
    <row r="80" spans="2:3">
      <c r="B80" s="1993"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8888888888889" style="1581"/>
    <col min="3" max="5" width="12.8888888888889" style="1581" customWidth="1"/>
    <col min="6" max="6" width="47.4444444444444" style="1581" customWidth="1"/>
    <col min="7" max="7" width="13" style="1582" customWidth="1"/>
    <col min="8" max="8" width="8.88888888888889" style="1583"/>
    <col min="9" max="9" width="8.88888888888889"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8888888888889" style="1585"/>
    <col min="22" max="22" width="8.88888888888889" style="1584"/>
    <col min="23" max="256" width="8.88888888888889" style="1581"/>
    <col min="257" max="257" width="9.44444444444444" style="1581" customWidth="1"/>
    <col min="258" max="258" width="8.88888888888889" style="1581"/>
    <col min="259" max="261" width="12.8888888888889" style="1581" customWidth="1"/>
    <col min="262" max="262" width="47.4444444444444" style="1581" customWidth="1"/>
    <col min="263" max="263" width="13" style="1581" customWidth="1"/>
    <col min="264" max="265" width="8.88888888888889"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8888888888889" style="1581"/>
    <col min="513" max="513" width="9.44444444444444" style="1581" customWidth="1"/>
    <col min="514" max="514" width="8.88888888888889" style="1581"/>
    <col min="515" max="517" width="12.8888888888889" style="1581" customWidth="1"/>
    <col min="518" max="518" width="47.4444444444444" style="1581" customWidth="1"/>
    <col min="519" max="519" width="13" style="1581" customWidth="1"/>
    <col min="520" max="521" width="8.88888888888889"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8888888888889" style="1581"/>
    <col min="769" max="769" width="9.44444444444444" style="1581" customWidth="1"/>
    <col min="770" max="770" width="8.88888888888889" style="1581"/>
    <col min="771" max="773" width="12.8888888888889" style="1581" customWidth="1"/>
    <col min="774" max="774" width="47.4444444444444" style="1581" customWidth="1"/>
    <col min="775" max="775" width="13" style="1581" customWidth="1"/>
    <col min="776" max="777" width="8.88888888888889"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8888888888889" style="1581"/>
    <col min="1025" max="1025" width="9.44444444444444" style="1581" customWidth="1"/>
    <col min="1026" max="1026" width="8.88888888888889" style="1581"/>
    <col min="1027" max="1029" width="12.8888888888889" style="1581" customWidth="1"/>
    <col min="1030" max="1030" width="47.4444444444444" style="1581" customWidth="1"/>
    <col min="1031" max="1031" width="13" style="1581" customWidth="1"/>
    <col min="1032" max="1033" width="8.88888888888889"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8888888888889" style="1581"/>
    <col min="1281" max="1281" width="9.44444444444444" style="1581" customWidth="1"/>
    <col min="1282" max="1282" width="8.88888888888889" style="1581"/>
    <col min="1283" max="1285" width="12.8888888888889" style="1581" customWidth="1"/>
    <col min="1286" max="1286" width="47.4444444444444" style="1581" customWidth="1"/>
    <col min="1287" max="1287" width="13" style="1581" customWidth="1"/>
    <col min="1288" max="1289" width="8.88888888888889"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8888888888889" style="1581"/>
    <col min="1537" max="1537" width="9.44444444444444" style="1581" customWidth="1"/>
    <col min="1538" max="1538" width="8.88888888888889" style="1581"/>
    <col min="1539" max="1541" width="12.8888888888889" style="1581" customWidth="1"/>
    <col min="1542" max="1542" width="47.4444444444444" style="1581" customWidth="1"/>
    <col min="1543" max="1543" width="13" style="1581" customWidth="1"/>
    <col min="1544" max="1545" width="8.88888888888889"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8888888888889" style="1581"/>
    <col min="1793" max="1793" width="9.44444444444444" style="1581" customWidth="1"/>
    <col min="1794" max="1794" width="8.88888888888889" style="1581"/>
    <col min="1795" max="1797" width="12.8888888888889" style="1581" customWidth="1"/>
    <col min="1798" max="1798" width="47.4444444444444" style="1581" customWidth="1"/>
    <col min="1799" max="1799" width="13" style="1581" customWidth="1"/>
    <col min="1800" max="1801" width="8.88888888888889"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8888888888889" style="1581"/>
    <col min="2049" max="2049" width="9.44444444444444" style="1581" customWidth="1"/>
    <col min="2050" max="2050" width="8.88888888888889" style="1581"/>
    <col min="2051" max="2053" width="12.8888888888889" style="1581" customWidth="1"/>
    <col min="2054" max="2054" width="47.4444444444444" style="1581" customWidth="1"/>
    <col min="2055" max="2055" width="13" style="1581" customWidth="1"/>
    <col min="2056" max="2057" width="8.88888888888889"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8888888888889" style="1581"/>
    <col min="2305" max="2305" width="9.44444444444444" style="1581" customWidth="1"/>
    <col min="2306" max="2306" width="8.88888888888889" style="1581"/>
    <col min="2307" max="2309" width="12.8888888888889" style="1581" customWidth="1"/>
    <col min="2310" max="2310" width="47.4444444444444" style="1581" customWidth="1"/>
    <col min="2311" max="2311" width="13" style="1581" customWidth="1"/>
    <col min="2312" max="2313" width="8.88888888888889"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8888888888889" style="1581"/>
    <col min="2561" max="2561" width="9.44444444444444" style="1581" customWidth="1"/>
    <col min="2562" max="2562" width="8.88888888888889" style="1581"/>
    <col min="2563" max="2565" width="12.8888888888889" style="1581" customWidth="1"/>
    <col min="2566" max="2566" width="47.4444444444444" style="1581" customWidth="1"/>
    <col min="2567" max="2567" width="13" style="1581" customWidth="1"/>
    <col min="2568" max="2569" width="8.88888888888889"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8888888888889" style="1581"/>
    <col min="2817" max="2817" width="9.44444444444444" style="1581" customWidth="1"/>
    <col min="2818" max="2818" width="8.88888888888889" style="1581"/>
    <col min="2819" max="2821" width="12.8888888888889" style="1581" customWidth="1"/>
    <col min="2822" max="2822" width="47.4444444444444" style="1581" customWidth="1"/>
    <col min="2823" max="2823" width="13" style="1581" customWidth="1"/>
    <col min="2824" max="2825" width="8.88888888888889"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8888888888889" style="1581"/>
    <col min="3073" max="3073" width="9.44444444444444" style="1581" customWidth="1"/>
    <col min="3074" max="3074" width="8.88888888888889" style="1581"/>
    <col min="3075" max="3077" width="12.8888888888889" style="1581" customWidth="1"/>
    <col min="3078" max="3078" width="47.4444444444444" style="1581" customWidth="1"/>
    <col min="3079" max="3079" width="13" style="1581" customWidth="1"/>
    <col min="3080" max="3081" width="8.88888888888889"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8888888888889" style="1581"/>
    <col min="3329" max="3329" width="9.44444444444444" style="1581" customWidth="1"/>
    <col min="3330" max="3330" width="8.88888888888889" style="1581"/>
    <col min="3331" max="3333" width="12.8888888888889" style="1581" customWidth="1"/>
    <col min="3334" max="3334" width="47.4444444444444" style="1581" customWidth="1"/>
    <col min="3335" max="3335" width="13" style="1581" customWidth="1"/>
    <col min="3336" max="3337" width="8.88888888888889"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8888888888889" style="1581"/>
    <col min="3585" max="3585" width="9.44444444444444" style="1581" customWidth="1"/>
    <col min="3586" max="3586" width="8.88888888888889" style="1581"/>
    <col min="3587" max="3589" width="12.8888888888889" style="1581" customWidth="1"/>
    <col min="3590" max="3590" width="47.4444444444444" style="1581" customWidth="1"/>
    <col min="3591" max="3591" width="13" style="1581" customWidth="1"/>
    <col min="3592" max="3593" width="8.88888888888889"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8888888888889" style="1581"/>
    <col min="3841" max="3841" width="9.44444444444444" style="1581" customWidth="1"/>
    <col min="3842" max="3842" width="8.88888888888889" style="1581"/>
    <col min="3843" max="3845" width="12.8888888888889" style="1581" customWidth="1"/>
    <col min="3846" max="3846" width="47.4444444444444" style="1581" customWidth="1"/>
    <col min="3847" max="3847" width="13" style="1581" customWidth="1"/>
    <col min="3848" max="3849" width="8.88888888888889"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8888888888889" style="1581"/>
    <col min="4097" max="4097" width="9.44444444444444" style="1581" customWidth="1"/>
    <col min="4098" max="4098" width="8.88888888888889" style="1581"/>
    <col min="4099" max="4101" width="12.8888888888889" style="1581" customWidth="1"/>
    <col min="4102" max="4102" width="47.4444444444444" style="1581" customWidth="1"/>
    <col min="4103" max="4103" width="13" style="1581" customWidth="1"/>
    <col min="4104" max="4105" width="8.88888888888889"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8888888888889" style="1581"/>
    <col min="4353" max="4353" width="9.44444444444444" style="1581" customWidth="1"/>
    <col min="4354" max="4354" width="8.88888888888889" style="1581"/>
    <col min="4355" max="4357" width="12.8888888888889" style="1581" customWidth="1"/>
    <col min="4358" max="4358" width="47.4444444444444" style="1581" customWidth="1"/>
    <col min="4359" max="4359" width="13" style="1581" customWidth="1"/>
    <col min="4360" max="4361" width="8.88888888888889"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8888888888889" style="1581"/>
    <col min="4609" max="4609" width="9.44444444444444" style="1581" customWidth="1"/>
    <col min="4610" max="4610" width="8.88888888888889" style="1581"/>
    <col min="4611" max="4613" width="12.8888888888889" style="1581" customWidth="1"/>
    <col min="4614" max="4614" width="47.4444444444444" style="1581" customWidth="1"/>
    <col min="4615" max="4615" width="13" style="1581" customWidth="1"/>
    <col min="4616" max="4617" width="8.88888888888889"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8888888888889" style="1581"/>
    <col min="4865" max="4865" width="9.44444444444444" style="1581" customWidth="1"/>
    <col min="4866" max="4866" width="8.88888888888889" style="1581"/>
    <col min="4867" max="4869" width="12.8888888888889" style="1581" customWidth="1"/>
    <col min="4870" max="4870" width="47.4444444444444" style="1581" customWidth="1"/>
    <col min="4871" max="4871" width="13" style="1581" customWidth="1"/>
    <col min="4872" max="4873" width="8.88888888888889"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8888888888889" style="1581"/>
    <col min="5121" max="5121" width="9.44444444444444" style="1581" customWidth="1"/>
    <col min="5122" max="5122" width="8.88888888888889" style="1581"/>
    <col min="5123" max="5125" width="12.8888888888889" style="1581" customWidth="1"/>
    <col min="5126" max="5126" width="47.4444444444444" style="1581" customWidth="1"/>
    <col min="5127" max="5127" width="13" style="1581" customWidth="1"/>
    <col min="5128" max="5129" width="8.88888888888889"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8888888888889" style="1581"/>
    <col min="5377" max="5377" width="9.44444444444444" style="1581" customWidth="1"/>
    <col min="5378" max="5378" width="8.88888888888889" style="1581"/>
    <col min="5379" max="5381" width="12.8888888888889" style="1581" customWidth="1"/>
    <col min="5382" max="5382" width="47.4444444444444" style="1581" customWidth="1"/>
    <col min="5383" max="5383" width="13" style="1581" customWidth="1"/>
    <col min="5384" max="5385" width="8.88888888888889"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8888888888889" style="1581"/>
    <col min="5633" max="5633" width="9.44444444444444" style="1581" customWidth="1"/>
    <col min="5634" max="5634" width="8.88888888888889" style="1581"/>
    <col min="5635" max="5637" width="12.8888888888889" style="1581" customWidth="1"/>
    <col min="5638" max="5638" width="47.4444444444444" style="1581" customWidth="1"/>
    <col min="5639" max="5639" width="13" style="1581" customWidth="1"/>
    <col min="5640" max="5641" width="8.88888888888889"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8888888888889" style="1581"/>
    <col min="5889" max="5889" width="9.44444444444444" style="1581" customWidth="1"/>
    <col min="5890" max="5890" width="8.88888888888889" style="1581"/>
    <col min="5891" max="5893" width="12.8888888888889" style="1581" customWidth="1"/>
    <col min="5894" max="5894" width="47.4444444444444" style="1581" customWidth="1"/>
    <col min="5895" max="5895" width="13" style="1581" customWidth="1"/>
    <col min="5896" max="5897" width="8.88888888888889"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8888888888889" style="1581"/>
    <col min="6145" max="6145" width="9.44444444444444" style="1581" customWidth="1"/>
    <col min="6146" max="6146" width="8.88888888888889" style="1581"/>
    <col min="6147" max="6149" width="12.8888888888889" style="1581" customWidth="1"/>
    <col min="6150" max="6150" width="47.4444444444444" style="1581" customWidth="1"/>
    <col min="6151" max="6151" width="13" style="1581" customWidth="1"/>
    <col min="6152" max="6153" width="8.88888888888889"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8888888888889" style="1581"/>
    <col min="6401" max="6401" width="9.44444444444444" style="1581" customWidth="1"/>
    <col min="6402" max="6402" width="8.88888888888889" style="1581"/>
    <col min="6403" max="6405" width="12.8888888888889" style="1581" customWidth="1"/>
    <col min="6406" max="6406" width="47.4444444444444" style="1581" customWidth="1"/>
    <col min="6407" max="6407" width="13" style="1581" customWidth="1"/>
    <col min="6408" max="6409" width="8.88888888888889"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8888888888889" style="1581"/>
    <col min="6657" max="6657" width="9.44444444444444" style="1581" customWidth="1"/>
    <col min="6658" max="6658" width="8.88888888888889" style="1581"/>
    <col min="6659" max="6661" width="12.8888888888889" style="1581" customWidth="1"/>
    <col min="6662" max="6662" width="47.4444444444444" style="1581" customWidth="1"/>
    <col min="6663" max="6663" width="13" style="1581" customWidth="1"/>
    <col min="6664" max="6665" width="8.88888888888889"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8888888888889" style="1581"/>
    <col min="6913" max="6913" width="9.44444444444444" style="1581" customWidth="1"/>
    <col min="6914" max="6914" width="8.88888888888889" style="1581"/>
    <col min="6915" max="6917" width="12.8888888888889" style="1581" customWidth="1"/>
    <col min="6918" max="6918" width="47.4444444444444" style="1581" customWidth="1"/>
    <col min="6919" max="6919" width="13" style="1581" customWidth="1"/>
    <col min="6920" max="6921" width="8.88888888888889"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8888888888889" style="1581"/>
    <col min="7169" max="7169" width="9.44444444444444" style="1581" customWidth="1"/>
    <col min="7170" max="7170" width="8.88888888888889" style="1581"/>
    <col min="7171" max="7173" width="12.8888888888889" style="1581" customWidth="1"/>
    <col min="7174" max="7174" width="47.4444444444444" style="1581" customWidth="1"/>
    <col min="7175" max="7175" width="13" style="1581" customWidth="1"/>
    <col min="7176" max="7177" width="8.88888888888889"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8888888888889" style="1581"/>
    <col min="7425" max="7425" width="9.44444444444444" style="1581" customWidth="1"/>
    <col min="7426" max="7426" width="8.88888888888889" style="1581"/>
    <col min="7427" max="7429" width="12.8888888888889" style="1581" customWidth="1"/>
    <col min="7430" max="7430" width="47.4444444444444" style="1581" customWidth="1"/>
    <col min="7431" max="7431" width="13" style="1581" customWidth="1"/>
    <col min="7432" max="7433" width="8.88888888888889"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8888888888889" style="1581"/>
    <col min="7681" max="7681" width="9.44444444444444" style="1581" customWidth="1"/>
    <col min="7682" max="7682" width="8.88888888888889" style="1581"/>
    <col min="7683" max="7685" width="12.8888888888889" style="1581" customWidth="1"/>
    <col min="7686" max="7686" width="47.4444444444444" style="1581" customWidth="1"/>
    <col min="7687" max="7687" width="13" style="1581" customWidth="1"/>
    <col min="7688" max="7689" width="8.88888888888889"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8888888888889" style="1581"/>
    <col min="7937" max="7937" width="9.44444444444444" style="1581" customWidth="1"/>
    <col min="7938" max="7938" width="8.88888888888889" style="1581"/>
    <col min="7939" max="7941" width="12.8888888888889" style="1581" customWidth="1"/>
    <col min="7942" max="7942" width="47.4444444444444" style="1581" customWidth="1"/>
    <col min="7943" max="7943" width="13" style="1581" customWidth="1"/>
    <col min="7944" max="7945" width="8.88888888888889"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8888888888889" style="1581"/>
    <col min="8193" max="8193" width="9.44444444444444" style="1581" customWidth="1"/>
    <col min="8194" max="8194" width="8.88888888888889" style="1581"/>
    <col min="8195" max="8197" width="12.8888888888889" style="1581" customWidth="1"/>
    <col min="8198" max="8198" width="47.4444444444444" style="1581" customWidth="1"/>
    <col min="8199" max="8199" width="13" style="1581" customWidth="1"/>
    <col min="8200" max="8201" width="8.88888888888889"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8888888888889" style="1581"/>
    <col min="8449" max="8449" width="9.44444444444444" style="1581" customWidth="1"/>
    <col min="8450" max="8450" width="8.88888888888889" style="1581"/>
    <col min="8451" max="8453" width="12.8888888888889" style="1581" customWidth="1"/>
    <col min="8454" max="8454" width="47.4444444444444" style="1581" customWidth="1"/>
    <col min="8455" max="8455" width="13" style="1581" customWidth="1"/>
    <col min="8456" max="8457" width="8.88888888888889"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8888888888889" style="1581"/>
    <col min="8705" max="8705" width="9.44444444444444" style="1581" customWidth="1"/>
    <col min="8706" max="8706" width="8.88888888888889" style="1581"/>
    <col min="8707" max="8709" width="12.8888888888889" style="1581" customWidth="1"/>
    <col min="8710" max="8710" width="47.4444444444444" style="1581" customWidth="1"/>
    <col min="8711" max="8711" width="13" style="1581" customWidth="1"/>
    <col min="8712" max="8713" width="8.88888888888889"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8888888888889" style="1581"/>
    <col min="8961" max="8961" width="9.44444444444444" style="1581" customWidth="1"/>
    <col min="8962" max="8962" width="8.88888888888889" style="1581"/>
    <col min="8963" max="8965" width="12.8888888888889" style="1581" customWidth="1"/>
    <col min="8966" max="8966" width="47.4444444444444" style="1581" customWidth="1"/>
    <col min="8967" max="8967" width="13" style="1581" customWidth="1"/>
    <col min="8968" max="8969" width="8.88888888888889"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8888888888889" style="1581"/>
    <col min="9217" max="9217" width="9.44444444444444" style="1581" customWidth="1"/>
    <col min="9218" max="9218" width="8.88888888888889" style="1581"/>
    <col min="9219" max="9221" width="12.8888888888889" style="1581" customWidth="1"/>
    <col min="9222" max="9222" width="47.4444444444444" style="1581" customWidth="1"/>
    <col min="9223" max="9223" width="13" style="1581" customWidth="1"/>
    <col min="9224" max="9225" width="8.88888888888889"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8888888888889" style="1581"/>
    <col min="9473" max="9473" width="9.44444444444444" style="1581" customWidth="1"/>
    <col min="9474" max="9474" width="8.88888888888889" style="1581"/>
    <col min="9475" max="9477" width="12.8888888888889" style="1581" customWidth="1"/>
    <col min="9478" max="9478" width="47.4444444444444" style="1581" customWidth="1"/>
    <col min="9479" max="9479" width="13" style="1581" customWidth="1"/>
    <col min="9480" max="9481" width="8.88888888888889"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8888888888889" style="1581"/>
    <col min="9729" max="9729" width="9.44444444444444" style="1581" customWidth="1"/>
    <col min="9730" max="9730" width="8.88888888888889" style="1581"/>
    <col min="9731" max="9733" width="12.8888888888889" style="1581" customWidth="1"/>
    <col min="9734" max="9734" width="47.4444444444444" style="1581" customWidth="1"/>
    <col min="9735" max="9735" width="13" style="1581" customWidth="1"/>
    <col min="9736" max="9737" width="8.88888888888889"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8888888888889" style="1581"/>
    <col min="9985" max="9985" width="9.44444444444444" style="1581" customWidth="1"/>
    <col min="9986" max="9986" width="8.88888888888889" style="1581"/>
    <col min="9987" max="9989" width="12.8888888888889" style="1581" customWidth="1"/>
    <col min="9990" max="9990" width="47.4444444444444" style="1581" customWidth="1"/>
    <col min="9991" max="9991" width="13" style="1581" customWidth="1"/>
    <col min="9992" max="9993" width="8.88888888888889"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8888888888889" style="1581"/>
    <col min="10241" max="10241" width="9.44444444444444" style="1581" customWidth="1"/>
    <col min="10242" max="10242" width="8.88888888888889" style="1581"/>
    <col min="10243" max="10245" width="12.8888888888889" style="1581" customWidth="1"/>
    <col min="10246" max="10246" width="47.4444444444444" style="1581" customWidth="1"/>
    <col min="10247" max="10247" width="13" style="1581" customWidth="1"/>
    <col min="10248" max="10249" width="8.88888888888889"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8888888888889" style="1581"/>
    <col min="10497" max="10497" width="9.44444444444444" style="1581" customWidth="1"/>
    <col min="10498" max="10498" width="8.88888888888889" style="1581"/>
    <col min="10499" max="10501" width="12.8888888888889" style="1581" customWidth="1"/>
    <col min="10502" max="10502" width="47.4444444444444" style="1581" customWidth="1"/>
    <col min="10503" max="10503" width="13" style="1581" customWidth="1"/>
    <col min="10504" max="10505" width="8.88888888888889"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8888888888889" style="1581"/>
    <col min="10753" max="10753" width="9.44444444444444" style="1581" customWidth="1"/>
    <col min="10754" max="10754" width="8.88888888888889" style="1581"/>
    <col min="10755" max="10757" width="12.8888888888889" style="1581" customWidth="1"/>
    <col min="10758" max="10758" width="47.4444444444444" style="1581" customWidth="1"/>
    <col min="10759" max="10759" width="13" style="1581" customWidth="1"/>
    <col min="10760" max="10761" width="8.88888888888889"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8888888888889" style="1581"/>
    <col min="11009" max="11009" width="9.44444444444444" style="1581" customWidth="1"/>
    <col min="11010" max="11010" width="8.88888888888889" style="1581"/>
    <col min="11011" max="11013" width="12.8888888888889" style="1581" customWidth="1"/>
    <col min="11014" max="11014" width="47.4444444444444" style="1581" customWidth="1"/>
    <col min="11015" max="11015" width="13" style="1581" customWidth="1"/>
    <col min="11016" max="11017" width="8.88888888888889"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8888888888889" style="1581"/>
    <col min="11265" max="11265" width="9.44444444444444" style="1581" customWidth="1"/>
    <col min="11266" max="11266" width="8.88888888888889" style="1581"/>
    <col min="11267" max="11269" width="12.8888888888889" style="1581" customWidth="1"/>
    <col min="11270" max="11270" width="47.4444444444444" style="1581" customWidth="1"/>
    <col min="11271" max="11271" width="13" style="1581" customWidth="1"/>
    <col min="11272" max="11273" width="8.88888888888889"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8888888888889" style="1581"/>
    <col min="11521" max="11521" width="9.44444444444444" style="1581" customWidth="1"/>
    <col min="11522" max="11522" width="8.88888888888889" style="1581"/>
    <col min="11523" max="11525" width="12.8888888888889" style="1581" customWidth="1"/>
    <col min="11526" max="11526" width="47.4444444444444" style="1581" customWidth="1"/>
    <col min="11527" max="11527" width="13" style="1581" customWidth="1"/>
    <col min="11528" max="11529" width="8.88888888888889"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8888888888889" style="1581"/>
    <col min="11777" max="11777" width="9.44444444444444" style="1581" customWidth="1"/>
    <col min="11778" max="11778" width="8.88888888888889" style="1581"/>
    <col min="11779" max="11781" width="12.8888888888889" style="1581" customWidth="1"/>
    <col min="11782" max="11782" width="47.4444444444444" style="1581" customWidth="1"/>
    <col min="11783" max="11783" width="13" style="1581" customWidth="1"/>
    <col min="11784" max="11785" width="8.88888888888889"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8888888888889" style="1581"/>
    <col min="12033" max="12033" width="9.44444444444444" style="1581" customWidth="1"/>
    <col min="12034" max="12034" width="8.88888888888889" style="1581"/>
    <col min="12035" max="12037" width="12.8888888888889" style="1581" customWidth="1"/>
    <col min="12038" max="12038" width="47.4444444444444" style="1581" customWidth="1"/>
    <col min="12039" max="12039" width="13" style="1581" customWidth="1"/>
    <col min="12040" max="12041" width="8.88888888888889"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8888888888889" style="1581"/>
    <col min="12289" max="12289" width="9.44444444444444" style="1581" customWidth="1"/>
    <col min="12290" max="12290" width="8.88888888888889" style="1581"/>
    <col min="12291" max="12293" width="12.8888888888889" style="1581" customWidth="1"/>
    <col min="12294" max="12294" width="47.4444444444444" style="1581" customWidth="1"/>
    <col min="12295" max="12295" width="13" style="1581" customWidth="1"/>
    <col min="12296" max="12297" width="8.88888888888889"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8888888888889" style="1581"/>
    <col min="12545" max="12545" width="9.44444444444444" style="1581" customWidth="1"/>
    <col min="12546" max="12546" width="8.88888888888889" style="1581"/>
    <col min="12547" max="12549" width="12.8888888888889" style="1581" customWidth="1"/>
    <col min="12550" max="12550" width="47.4444444444444" style="1581" customWidth="1"/>
    <col min="12551" max="12551" width="13" style="1581" customWidth="1"/>
    <col min="12552" max="12553" width="8.88888888888889"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8888888888889" style="1581"/>
    <col min="12801" max="12801" width="9.44444444444444" style="1581" customWidth="1"/>
    <col min="12802" max="12802" width="8.88888888888889" style="1581"/>
    <col min="12803" max="12805" width="12.8888888888889" style="1581" customWidth="1"/>
    <col min="12806" max="12806" width="47.4444444444444" style="1581" customWidth="1"/>
    <col min="12807" max="12807" width="13" style="1581" customWidth="1"/>
    <col min="12808" max="12809" width="8.88888888888889"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8888888888889" style="1581"/>
    <col min="13057" max="13057" width="9.44444444444444" style="1581" customWidth="1"/>
    <col min="13058" max="13058" width="8.88888888888889" style="1581"/>
    <col min="13059" max="13061" width="12.8888888888889" style="1581" customWidth="1"/>
    <col min="13062" max="13062" width="47.4444444444444" style="1581" customWidth="1"/>
    <col min="13063" max="13063" width="13" style="1581" customWidth="1"/>
    <col min="13064" max="13065" width="8.88888888888889"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8888888888889" style="1581"/>
    <col min="13313" max="13313" width="9.44444444444444" style="1581" customWidth="1"/>
    <col min="13314" max="13314" width="8.88888888888889" style="1581"/>
    <col min="13315" max="13317" width="12.8888888888889" style="1581" customWidth="1"/>
    <col min="13318" max="13318" width="47.4444444444444" style="1581" customWidth="1"/>
    <col min="13319" max="13319" width="13" style="1581" customWidth="1"/>
    <col min="13320" max="13321" width="8.88888888888889"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8888888888889" style="1581"/>
    <col min="13569" max="13569" width="9.44444444444444" style="1581" customWidth="1"/>
    <col min="13570" max="13570" width="8.88888888888889" style="1581"/>
    <col min="13571" max="13573" width="12.8888888888889" style="1581" customWidth="1"/>
    <col min="13574" max="13574" width="47.4444444444444" style="1581" customWidth="1"/>
    <col min="13575" max="13575" width="13" style="1581" customWidth="1"/>
    <col min="13576" max="13577" width="8.88888888888889"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8888888888889" style="1581"/>
    <col min="13825" max="13825" width="9.44444444444444" style="1581" customWidth="1"/>
    <col min="13826" max="13826" width="8.88888888888889" style="1581"/>
    <col min="13827" max="13829" width="12.8888888888889" style="1581" customWidth="1"/>
    <col min="13830" max="13830" width="47.4444444444444" style="1581" customWidth="1"/>
    <col min="13831" max="13831" width="13" style="1581" customWidth="1"/>
    <col min="13832" max="13833" width="8.88888888888889"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8888888888889" style="1581"/>
    <col min="14081" max="14081" width="9.44444444444444" style="1581" customWidth="1"/>
    <col min="14082" max="14082" width="8.88888888888889" style="1581"/>
    <col min="14083" max="14085" width="12.8888888888889" style="1581" customWidth="1"/>
    <col min="14086" max="14086" width="47.4444444444444" style="1581" customWidth="1"/>
    <col min="14087" max="14087" width="13" style="1581" customWidth="1"/>
    <col min="14088" max="14089" width="8.88888888888889"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8888888888889" style="1581"/>
    <col min="14337" max="14337" width="9.44444444444444" style="1581" customWidth="1"/>
    <col min="14338" max="14338" width="8.88888888888889" style="1581"/>
    <col min="14339" max="14341" width="12.8888888888889" style="1581" customWidth="1"/>
    <col min="14342" max="14342" width="47.4444444444444" style="1581" customWidth="1"/>
    <col min="14343" max="14343" width="13" style="1581" customWidth="1"/>
    <col min="14344" max="14345" width="8.88888888888889"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8888888888889" style="1581"/>
    <col min="14593" max="14593" width="9.44444444444444" style="1581" customWidth="1"/>
    <col min="14594" max="14594" width="8.88888888888889" style="1581"/>
    <col min="14595" max="14597" width="12.8888888888889" style="1581" customWidth="1"/>
    <col min="14598" max="14598" width="47.4444444444444" style="1581" customWidth="1"/>
    <col min="14599" max="14599" width="13" style="1581" customWidth="1"/>
    <col min="14600" max="14601" width="8.88888888888889"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8888888888889" style="1581"/>
    <col min="14849" max="14849" width="9.44444444444444" style="1581" customWidth="1"/>
    <col min="14850" max="14850" width="8.88888888888889" style="1581"/>
    <col min="14851" max="14853" width="12.8888888888889" style="1581" customWidth="1"/>
    <col min="14854" max="14854" width="47.4444444444444" style="1581" customWidth="1"/>
    <col min="14855" max="14855" width="13" style="1581" customWidth="1"/>
    <col min="14856" max="14857" width="8.88888888888889"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8888888888889" style="1581"/>
    <col min="15105" max="15105" width="9.44444444444444" style="1581" customWidth="1"/>
    <col min="15106" max="15106" width="8.88888888888889" style="1581"/>
    <col min="15107" max="15109" width="12.8888888888889" style="1581" customWidth="1"/>
    <col min="15110" max="15110" width="47.4444444444444" style="1581" customWidth="1"/>
    <col min="15111" max="15111" width="13" style="1581" customWidth="1"/>
    <col min="15112" max="15113" width="8.88888888888889"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8888888888889" style="1581"/>
    <col min="15361" max="15361" width="9.44444444444444" style="1581" customWidth="1"/>
    <col min="15362" max="15362" width="8.88888888888889" style="1581"/>
    <col min="15363" max="15365" width="12.8888888888889" style="1581" customWidth="1"/>
    <col min="15366" max="15366" width="47.4444444444444" style="1581" customWidth="1"/>
    <col min="15367" max="15367" width="13" style="1581" customWidth="1"/>
    <col min="15368" max="15369" width="8.88888888888889"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8888888888889" style="1581"/>
    <col min="15617" max="15617" width="9.44444444444444" style="1581" customWidth="1"/>
    <col min="15618" max="15618" width="8.88888888888889" style="1581"/>
    <col min="15619" max="15621" width="12.8888888888889" style="1581" customWidth="1"/>
    <col min="15622" max="15622" width="47.4444444444444" style="1581" customWidth="1"/>
    <col min="15623" max="15623" width="13" style="1581" customWidth="1"/>
    <col min="15624" max="15625" width="8.88888888888889"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8888888888889" style="1581"/>
    <col min="15873" max="15873" width="9.44444444444444" style="1581" customWidth="1"/>
    <col min="15874" max="15874" width="8.88888888888889" style="1581"/>
    <col min="15875" max="15877" width="12.8888888888889" style="1581" customWidth="1"/>
    <col min="15878" max="15878" width="47.4444444444444" style="1581" customWidth="1"/>
    <col min="15879" max="15879" width="13" style="1581" customWidth="1"/>
    <col min="15880" max="15881" width="8.88888888888889"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8888888888889" style="1581"/>
    <col min="16129" max="16129" width="9.44444444444444" style="1581" customWidth="1"/>
    <col min="16130" max="16130" width="8.88888888888889" style="1581"/>
    <col min="16131" max="16133" width="12.8888888888889" style="1581" customWidth="1"/>
    <col min="16134" max="16134" width="47.4444444444444" style="1581" customWidth="1"/>
    <col min="16135" max="16135" width="13" style="1581" customWidth="1"/>
    <col min="16136" max="16137" width="8.88888888888889"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8888888888889" style="1581"/>
  </cols>
  <sheetData>
    <row r="1" ht="21" customHeight="1" spans="1:21">
      <c r="A1" s="1586" t="s">
        <v>1244</v>
      </c>
      <c r="B1" s="1587"/>
      <c r="C1" s="1588"/>
      <c r="D1" s="1588"/>
      <c r="E1" s="1589"/>
      <c r="F1" s="1589"/>
      <c r="G1" s="1590"/>
      <c r="J1" s="1671" t="s">
        <v>1245</v>
      </c>
      <c r="K1" s="1672"/>
      <c r="L1" s="1672"/>
      <c r="M1" s="1672"/>
      <c r="N1" s="1672"/>
      <c r="O1" s="1672"/>
      <c r="P1" s="1672"/>
      <c r="Q1" s="1672"/>
      <c r="R1" s="1717"/>
      <c r="S1" s="1718"/>
      <c r="T1" s="1718"/>
      <c r="U1" s="1718"/>
    </row>
    <row r="2" s="1579" customFormat="1" customHeight="1" spans="1:22">
      <c r="A2" s="1591" t="s">
        <v>1046</v>
      </c>
      <c r="B2" s="1592" t="e">
        <f>C40</f>
        <v>#DIV/0!</v>
      </c>
      <c r="C2" s="1588" t="s">
        <v>1047</v>
      </c>
      <c r="D2" s="1588"/>
      <c r="E2" s="1593"/>
      <c r="F2" s="1594"/>
      <c r="G2" s="1595"/>
      <c r="H2" s="1596"/>
      <c r="I2" s="1673"/>
      <c r="J2" s="1674" t="s">
        <v>1246</v>
      </c>
      <c r="K2" s="1675"/>
      <c r="L2" s="1622" t="s">
        <v>1247</v>
      </c>
      <c r="M2" s="1622" t="s">
        <v>1248</v>
      </c>
      <c r="N2" s="1622" t="s">
        <v>1249</v>
      </c>
      <c r="O2" s="1622" t="s">
        <v>1250</v>
      </c>
      <c r="P2" s="1622" t="s">
        <v>1251</v>
      </c>
      <c r="Q2" s="1719" t="s">
        <v>1252</v>
      </c>
      <c r="R2" s="1720" t="s">
        <v>1253</v>
      </c>
      <c r="S2" s="1718"/>
      <c r="T2" s="1718"/>
      <c r="U2" s="1718"/>
      <c r="V2" s="1673"/>
    </row>
    <row r="3" s="1579" customFormat="1" customHeight="1" spans="1:22">
      <c r="A3" s="1597" t="s">
        <v>1048</v>
      </c>
      <c r="B3" s="1598" t="e">
        <f>ROUND(B2*10000/B4,0)</f>
        <v>#DIV/0!</v>
      </c>
      <c r="C3" s="1588" t="s">
        <v>1049</v>
      </c>
      <c r="D3" s="1588"/>
      <c r="E3" s="1593"/>
      <c r="F3" s="1594"/>
      <c r="G3" s="1595"/>
      <c r="H3" s="1596"/>
      <c r="I3" s="1673"/>
      <c r="J3" s="1676" t="s">
        <v>1254</v>
      </c>
      <c r="K3" s="1677"/>
      <c r="L3" s="1678"/>
      <c r="M3" s="1678"/>
      <c r="N3" s="1678"/>
      <c r="O3" s="1678"/>
      <c r="P3" s="1678"/>
      <c r="Q3" s="1721"/>
      <c r="R3" s="1722">
        <f>SUM(L3:Q3)</f>
        <v>0</v>
      </c>
      <c r="S3" s="1718"/>
      <c r="T3" s="1718"/>
      <c r="U3" s="1718"/>
      <c r="V3" s="1673"/>
    </row>
    <row r="4" s="1579" customFormat="1" customHeight="1" spans="1:22">
      <c r="A4" s="1599" t="s">
        <v>1255</v>
      </c>
      <c r="B4" s="1600"/>
      <c r="C4" s="1588"/>
      <c r="D4" s="1588"/>
      <c r="E4" s="1593"/>
      <c r="F4" s="1594"/>
      <c r="G4" s="1595"/>
      <c r="H4" s="1596"/>
      <c r="I4" s="1673"/>
      <c r="J4" s="1676" t="s">
        <v>1256</v>
      </c>
      <c r="K4" s="1677"/>
      <c r="L4" s="1679"/>
      <c r="M4" s="1679"/>
      <c r="N4" s="1679"/>
      <c r="O4" s="1679"/>
      <c r="P4" s="1679"/>
      <c r="Q4" s="1723"/>
      <c r="R4" s="1724">
        <f>SUM(L4:Q4)</f>
        <v>0</v>
      </c>
      <c r="S4" s="1718"/>
      <c r="T4" s="1718"/>
      <c r="U4" s="1718"/>
      <c r="V4" s="1673"/>
    </row>
    <row r="5" s="1579" customFormat="1" customHeight="1" spans="1:22">
      <c r="A5" s="1601" t="s">
        <v>1257</v>
      </c>
      <c r="B5" s="1602"/>
      <c r="C5" s="1588"/>
      <c r="D5" s="1603"/>
      <c r="E5" s="1594"/>
      <c r="F5" s="1594"/>
      <c r="G5" s="1595"/>
      <c r="H5" s="1596"/>
      <c r="I5" s="1673"/>
      <c r="J5" s="1680" t="s">
        <v>1258</v>
      </c>
      <c r="K5" s="1681"/>
      <c r="L5" s="1681"/>
      <c r="M5" s="1682"/>
      <c r="N5" s="1682"/>
      <c r="O5" s="1682"/>
      <c r="P5" s="1682"/>
      <c r="Q5" s="1682"/>
      <c r="R5" s="1720">
        <f>SUM(R14,R19,R24,R25,R27,R28)</f>
        <v>0</v>
      </c>
      <c r="S5" s="1718"/>
      <c r="T5" s="1718" t="s">
        <v>1259</v>
      </c>
      <c r="U5" s="1718" t="e">
        <f>ROUND(R5*10000/365/R3,1)</f>
        <v>#DIV/0!</v>
      </c>
      <c r="V5" s="1673"/>
    </row>
    <row r="6" s="1579" customFormat="1" customHeight="1" spans="1:22">
      <c r="A6" s="1604" t="s">
        <v>1260</v>
      </c>
      <c r="B6" s="1605"/>
      <c r="C6" s="1606"/>
      <c r="D6" s="1607"/>
      <c r="E6" s="1608"/>
      <c r="F6" s="1609"/>
      <c r="G6" s="1610"/>
      <c r="H6" s="1596"/>
      <c r="I6" s="1673"/>
      <c r="J6" s="1683">
        <v>1</v>
      </c>
      <c r="K6" s="1684" t="s">
        <v>1261</v>
      </c>
      <c r="L6" s="1685" t="s">
        <v>1262</v>
      </c>
      <c r="M6" s="1686" t="s">
        <v>1263</v>
      </c>
      <c r="N6" s="1686" t="s">
        <v>1264</v>
      </c>
      <c r="O6" s="1686" t="s">
        <v>1265</v>
      </c>
      <c r="P6" s="1686" t="s">
        <v>1266</v>
      </c>
      <c r="Q6" s="1686" t="s">
        <v>1267</v>
      </c>
      <c r="R6" s="1722" t="s">
        <v>1268</v>
      </c>
      <c r="S6" s="1718"/>
      <c r="T6" s="1718" t="s">
        <v>1269</v>
      </c>
      <c r="U6" s="1718"/>
      <c r="V6" s="1673"/>
    </row>
    <row r="7" s="1579" customFormat="1" customHeight="1" spans="1:22">
      <c r="A7" s="1611" t="s">
        <v>1270</v>
      </c>
      <c r="B7" s="1612"/>
      <c r="C7" s="1613"/>
      <c r="D7" s="1614">
        <f>SUM(D9,D10,D11,D17,0)</f>
        <v>0</v>
      </c>
      <c r="E7" s="1612" t="e">
        <f>E9+E10+E11+E17</f>
        <v>#DIV/0!</v>
      </c>
      <c r="F7" s="1615"/>
      <c r="G7" s="1616"/>
      <c r="H7" s="1596"/>
      <c r="I7" s="1673"/>
      <c r="J7" s="1683"/>
      <c r="K7" s="1687"/>
      <c r="L7" s="1688" t="s">
        <v>1271</v>
      </c>
      <c r="M7" s="1689"/>
      <c r="N7" s="1600"/>
      <c r="O7" s="1600"/>
      <c r="P7" s="1600"/>
      <c r="Q7" s="1600">
        <v>365</v>
      </c>
      <c r="R7" s="1725">
        <f>ROUND(M7*N7*O7*P7*Q7/10000,0)</f>
        <v>0</v>
      </c>
      <c r="S7" s="1718"/>
      <c r="T7" s="1718" t="s">
        <v>1272</v>
      </c>
      <c r="U7" s="1718"/>
      <c r="V7" s="1673"/>
    </row>
    <row r="8" s="1579" customFormat="1" customHeight="1" spans="1:22">
      <c r="A8" s="1617" t="s">
        <v>1273</v>
      </c>
      <c r="B8" s="1618" t="s">
        <v>1274</v>
      </c>
      <c r="C8" s="1619"/>
      <c r="D8" s="1620" t="s">
        <v>1275</v>
      </c>
      <c r="E8" s="1620" t="s">
        <v>1276</v>
      </c>
      <c r="F8" s="1621" t="s">
        <v>1277</v>
      </c>
      <c r="G8" s="1616"/>
      <c r="H8" s="1596"/>
      <c r="I8" s="1673"/>
      <c r="J8" s="1683"/>
      <c r="K8" s="1687"/>
      <c r="L8" s="1688" t="s">
        <v>1278</v>
      </c>
      <c r="M8" s="1689"/>
      <c r="N8" s="1600"/>
      <c r="O8" s="1600"/>
      <c r="P8" s="1600"/>
      <c r="Q8" s="1600">
        <v>365</v>
      </c>
      <c r="R8" s="1725">
        <f t="shared" ref="R8:R13" si="0">ROUND(M8*N8*O8*P8*Q8/10000,0)</f>
        <v>0</v>
      </c>
      <c r="S8" s="1718"/>
      <c r="T8" s="1718" t="s">
        <v>1279</v>
      </c>
      <c r="U8" s="1718"/>
      <c r="V8" s="1673"/>
    </row>
    <row r="9" s="1579" customFormat="1" customHeight="1" spans="1:22">
      <c r="A9" s="1617">
        <v>1</v>
      </c>
      <c r="B9" s="1618" t="s">
        <v>1280</v>
      </c>
      <c r="C9" s="1619"/>
      <c r="D9" s="1620">
        <f>ROUND(D6*E9,0)</f>
        <v>0</v>
      </c>
      <c r="E9" s="1622"/>
      <c r="F9" s="1623" t="s">
        <v>1281</v>
      </c>
      <c r="G9" s="1610"/>
      <c r="H9" s="1596"/>
      <c r="I9" s="1673"/>
      <c r="J9" s="1683"/>
      <c r="K9" s="1687"/>
      <c r="L9" s="1688" t="s">
        <v>1282</v>
      </c>
      <c r="M9" s="1689"/>
      <c r="N9" s="1600"/>
      <c r="O9" s="1600"/>
      <c r="P9" s="1600"/>
      <c r="Q9" s="1600">
        <v>365</v>
      </c>
      <c r="R9" s="1725">
        <f t="shared" si="0"/>
        <v>0</v>
      </c>
      <c r="S9" s="1718"/>
      <c r="T9" s="1718"/>
      <c r="U9" s="1718"/>
      <c r="V9" s="1673"/>
    </row>
    <row r="10" s="1579" customFormat="1" customHeight="1" spans="1:22">
      <c r="A10" s="1617">
        <v>2</v>
      </c>
      <c r="B10" s="1618" t="s">
        <v>1283</v>
      </c>
      <c r="C10" s="1619"/>
      <c r="D10" s="1620">
        <f>ROUND(D6*E10,0)</f>
        <v>0</v>
      </c>
      <c r="E10" s="1622"/>
      <c r="F10" s="1623" t="s">
        <v>1284</v>
      </c>
      <c r="G10" s="1610"/>
      <c r="H10" s="1596"/>
      <c r="I10" s="1673"/>
      <c r="J10" s="1683"/>
      <c r="K10" s="1687"/>
      <c r="L10" s="1688" t="s">
        <v>1285</v>
      </c>
      <c r="M10" s="1689"/>
      <c r="N10" s="1600"/>
      <c r="O10" s="1600"/>
      <c r="P10" s="1600"/>
      <c r="Q10" s="1600">
        <v>365</v>
      </c>
      <c r="R10" s="1725">
        <f t="shared" si="0"/>
        <v>0</v>
      </c>
      <c r="S10" s="1718"/>
      <c r="T10" s="1718"/>
      <c r="U10" s="1718"/>
      <c r="V10" s="1673"/>
    </row>
    <row r="11" s="1579" customFormat="1" customHeight="1" spans="1:22">
      <c r="A11" s="1617">
        <v>3</v>
      </c>
      <c r="B11" s="1618" t="s">
        <v>1286</v>
      </c>
      <c r="C11" s="1619"/>
      <c r="D11" s="1620">
        <f>D12+D14+D15+D16</f>
        <v>0</v>
      </c>
      <c r="E11" s="1620" t="e">
        <f>D11/D6</f>
        <v>#DIV/0!</v>
      </c>
      <c r="F11" s="1621"/>
      <c r="G11" s="1616"/>
      <c r="H11" s="1596"/>
      <c r="I11" s="1673"/>
      <c r="J11" s="1683"/>
      <c r="K11" s="1687"/>
      <c r="L11" s="1688" t="s">
        <v>1287</v>
      </c>
      <c r="M11" s="1689"/>
      <c r="N11" s="1600"/>
      <c r="O11" s="1600"/>
      <c r="P11" s="1600"/>
      <c r="Q11" s="1600">
        <v>365</v>
      </c>
      <c r="R11" s="1725">
        <f t="shared" si="0"/>
        <v>0</v>
      </c>
      <c r="S11" s="1718"/>
      <c r="T11" s="1718"/>
      <c r="U11" s="1718"/>
      <c r="V11" s="1673"/>
    </row>
    <row r="12" s="1579" customFormat="1" customHeight="1" spans="1:22">
      <c r="A12" s="1624" t="s">
        <v>1288</v>
      </c>
      <c r="B12" s="1625" t="s">
        <v>1289</v>
      </c>
      <c r="C12" s="1626"/>
      <c r="D12" s="1627">
        <f>ROUND(D13*1.2%*(1-30%),0)</f>
        <v>0</v>
      </c>
      <c r="E12" s="1627">
        <v>0.012</v>
      </c>
      <c r="F12" s="1621" t="s">
        <v>1290</v>
      </c>
      <c r="G12" s="1616"/>
      <c r="H12" s="1596"/>
      <c r="I12" s="1673"/>
      <c r="J12" s="1683"/>
      <c r="K12" s="1687"/>
      <c r="L12" s="1688" t="s">
        <v>1291</v>
      </c>
      <c r="M12" s="1689"/>
      <c r="N12" s="1600"/>
      <c r="O12" s="1600"/>
      <c r="P12" s="1600"/>
      <c r="Q12" s="1600">
        <v>365</v>
      </c>
      <c r="R12" s="1725">
        <f t="shared" si="0"/>
        <v>0</v>
      </c>
      <c r="S12" s="1718"/>
      <c r="T12" s="1718"/>
      <c r="U12" s="1718"/>
      <c r="V12" s="1673"/>
    </row>
    <row r="13" s="1579" customFormat="1" customHeight="1" spans="1:22">
      <c r="A13" s="1624"/>
      <c r="B13" s="1625"/>
      <c r="C13" s="1628" t="s">
        <v>1292</v>
      </c>
      <c r="D13" s="1600"/>
      <c r="E13" s="1629"/>
      <c r="F13" s="1621"/>
      <c r="G13" s="1616"/>
      <c r="H13" s="1596"/>
      <c r="I13" s="1673"/>
      <c r="J13" s="1683"/>
      <c r="K13" s="1687"/>
      <c r="L13" s="1688" t="s">
        <v>1293</v>
      </c>
      <c r="M13" s="1689"/>
      <c r="N13" s="1600"/>
      <c r="O13" s="1600"/>
      <c r="P13" s="1600"/>
      <c r="Q13" s="1600">
        <v>365</v>
      </c>
      <c r="R13" s="1725">
        <f t="shared" si="0"/>
        <v>0</v>
      </c>
      <c r="S13" s="1718"/>
      <c r="T13" s="1718"/>
      <c r="U13" s="1718"/>
      <c r="V13" s="1673"/>
    </row>
    <row r="14" s="1579" customFormat="1" customHeight="1" spans="1:22">
      <c r="A14" s="1624" t="s">
        <v>1294</v>
      </c>
      <c r="B14" s="1625" t="s">
        <v>1295</v>
      </c>
      <c r="C14" s="1626"/>
      <c r="D14" s="1627">
        <f>ROUND(E14*B5/10000,0)</f>
        <v>0</v>
      </c>
      <c r="E14" s="1600"/>
      <c r="F14" s="1621" t="s">
        <v>1296</v>
      </c>
      <c r="G14" s="1616"/>
      <c r="H14" s="1596"/>
      <c r="I14" s="1673"/>
      <c r="J14" s="1683"/>
      <c r="K14" s="1690"/>
      <c r="L14" s="1691" t="s">
        <v>1297</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1298</v>
      </c>
      <c r="B15" s="1625" t="s">
        <v>1299</v>
      </c>
      <c r="C15" s="1626"/>
      <c r="D15" s="1627">
        <f>ROUND(D6*E15,0)</f>
        <v>0</v>
      </c>
      <c r="E15" s="1627">
        <v>0.055</v>
      </c>
      <c r="F15" s="1621" t="s">
        <v>1300</v>
      </c>
      <c r="G15" s="1610"/>
      <c r="H15" s="1596"/>
      <c r="I15" s="1673"/>
      <c r="J15" s="1683">
        <v>2</v>
      </c>
      <c r="K15" s="1684" t="s">
        <v>1301</v>
      </c>
      <c r="L15" s="1688" t="s">
        <v>1302</v>
      </c>
      <c r="M15" s="1689" t="s">
        <v>1303</v>
      </c>
      <c r="N15" s="1689" t="s">
        <v>1304</v>
      </c>
      <c r="O15" s="1600" t="s">
        <v>1305</v>
      </c>
      <c r="P15" s="1600" t="s">
        <v>1267</v>
      </c>
      <c r="Q15" s="1600" t="s">
        <v>124</v>
      </c>
      <c r="R15" s="1725" t="s">
        <v>1268</v>
      </c>
      <c r="S15" s="1718"/>
      <c r="T15" s="1718"/>
      <c r="U15" s="1718"/>
      <c r="V15" s="1673"/>
    </row>
    <row r="16" s="1579" customFormat="1" customHeight="1" spans="1:22">
      <c r="A16" s="1624" t="s">
        <v>1306</v>
      </c>
      <c r="B16" s="1625" t="s">
        <v>1307</v>
      </c>
      <c r="C16" s="1626"/>
      <c r="D16" s="1600">
        <f>D6*E16</f>
        <v>0</v>
      </c>
      <c r="E16" s="1600"/>
      <c r="F16" s="1623" t="s">
        <v>1308</v>
      </c>
      <c r="G16" s="1610"/>
      <c r="H16" s="1596"/>
      <c r="I16" s="1673"/>
      <c r="J16" s="1683"/>
      <c r="K16" s="1687"/>
      <c r="L16" s="1688" t="s">
        <v>1309</v>
      </c>
      <c r="M16" s="1689"/>
      <c r="N16" s="1689"/>
      <c r="O16" s="1600"/>
      <c r="P16" s="1600">
        <v>365</v>
      </c>
      <c r="Q16" s="1600"/>
      <c r="R16" s="1725">
        <f>ROUND(M16*N16*O16*P16/10000,0)</f>
        <v>0</v>
      </c>
      <c r="S16" s="1718"/>
      <c r="T16" s="1718"/>
      <c r="U16" s="1718"/>
      <c r="V16" s="1673"/>
    </row>
    <row r="17" s="1579" customFormat="1" customHeight="1" spans="1:22">
      <c r="A17" s="1630">
        <v>4</v>
      </c>
      <c r="B17" s="1631" t="s">
        <v>1310</v>
      </c>
      <c r="C17" s="1632"/>
      <c r="D17" s="1633">
        <f>ROUND(D6*E17,0)</f>
        <v>0</v>
      </c>
      <c r="E17" s="1634"/>
      <c r="F17" s="1635" t="s">
        <v>1311</v>
      </c>
      <c r="G17" s="1610"/>
      <c r="H17" s="1596"/>
      <c r="I17" s="1673"/>
      <c r="J17" s="1683"/>
      <c r="K17" s="1687"/>
      <c r="L17" s="1688" t="s">
        <v>1312</v>
      </c>
      <c r="M17" s="1689"/>
      <c r="N17" s="1689"/>
      <c r="O17" s="1600"/>
      <c r="P17" s="1600">
        <v>365</v>
      </c>
      <c r="Q17" s="1600"/>
      <c r="R17" s="1725">
        <f>ROUND(M17*N17*O17*P17/10000,0)</f>
        <v>0</v>
      </c>
      <c r="S17" s="1718"/>
      <c r="T17" s="1718"/>
      <c r="U17" s="1718"/>
      <c r="V17" s="1673"/>
    </row>
    <row r="18" s="1579" customFormat="1" customHeight="1" spans="1:22">
      <c r="A18" s="1611" t="s">
        <v>1313</v>
      </c>
      <c r="B18" s="1612"/>
      <c r="C18" s="1612"/>
      <c r="D18" s="1612">
        <f>ROUND(D6*E18,0)</f>
        <v>0</v>
      </c>
      <c r="E18" s="1636"/>
      <c r="F18" s="1637" t="s">
        <v>1314</v>
      </c>
      <c r="G18" s="1610"/>
      <c r="H18" s="1596"/>
      <c r="I18" s="1673"/>
      <c r="J18" s="1683"/>
      <c r="K18" s="1687"/>
      <c r="L18" s="1688" t="s">
        <v>1315</v>
      </c>
      <c r="M18" s="1689"/>
      <c r="N18" s="1689"/>
      <c r="O18" s="1600"/>
      <c r="P18" s="1600">
        <v>365</v>
      </c>
      <c r="Q18" s="1600"/>
      <c r="R18" s="1725">
        <f>ROUND(M18*N18*O18*P18/10000,0)</f>
        <v>0</v>
      </c>
      <c r="S18" s="1718"/>
      <c r="T18" s="1718"/>
      <c r="U18" s="1718"/>
      <c r="V18" s="1673"/>
    </row>
    <row r="19" s="1579" customFormat="1" customHeight="1" spans="1:22">
      <c r="A19" s="1638" t="s">
        <v>1316</v>
      </c>
      <c r="B19" s="1608"/>
      <c r="C19" s="1608"/>
      <c r="D19" s="1608"/>
      <c r="E19" s="1608"/>
      <c r="F19" s="1609"/>
      <c r="G19" s="1616"/>
      <c r="H19" s="1596"/>
      <c r="I19" s="1673"/>
      <c r="J19" s="1683"/>
      <c r="K19" s="1690"/>
      <c r="L19" s="1691" t="s">
        <v>1297</v>
      </c>
      <c r="M19" s="1692"/>
      <c r="N19" s="1692">
        <f>SUM(N16:N18)</f>
        <v>0</v>
      </c>
      <c r="O19" s="1693"/>
      <c r="P19" s="1694" t="s">
        <v>1317</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1318</v>
      </c>
      <c r="L20" s="1688" t="s">
        <v>1319</v>
      </c>
      <c r="M20" s="1689" t="s">
        <v>1320</v>
      </c>
      <c r="N20" s="1695" t="s">
        <v>1321</v>
      </c>
      <c r="O20" s="1600" t="s">
        <v>1322</v>
      </c>
      <c r="P20" s="1600" t="s">
        <v>1267</v>
      </c>
      <c r="Q20" s="1600" t="s">
        <v>124</v>
      </c>
      <c r="R20" s="1725" t="s">
        <v>1268</v>
      </c>
      <c r="S20" s="1715"/>
      <c r="T20" s="1715"/>
      <c r="U20" s="1715"/>
      <c r="V20" s="1673"/>
    </row>
    <row r="21" s="1579" customFormat="1" customHeight="1" spans="1:22">
      <c r="A21" s="1611"/>
      <c r="B21" s="1612"/>
      <c r="C21" s="1618" t="s">
        <v>1323</v>
      </c>
      <c r="D21" s="1639" t="s">
        <v>1324</v>
      </c>
      <c r="E21" s="1619" t="s">
        <v>1325</v>
      </c>
      <c r="F21" s="1615"/>
      <c r="G21" s="1616"/>
      <c r="H21" s="1596"/>
      <c r="I21" s="1673"/>
      <c r="J21" s="1683"/>
      <c r="K21" s="1687"/>
      <c r="L21" s="1688" t="s">
        <v>1326</v>
      </c>
      <c r="M21" s="1689"/>
      <c r="N21" s="1689"/>
      <c r="O21" s="1600"/>
      <c r="P21" s="1600">
        <v>365</v>
      </c>
      <c r="Q21" s="1600"/>
      <c r="R21" s="1727">
        <f>ROUND(M21*N21*O21*P21/10000,0)</f>
        <v>0</v>
      </c>
      <c r="S21" s="1715"/>
      <c r="T21" s="1715"/>
      <c r="U21" s="1715"/>
      <c r="V21" s="1673"/>
    </row>
    <row r="22" s="1579" customFormat="1" customHeight="1" spans="1:22">
      <c r="A22" s="1611"/>
      <c r="B22" s="1612"/>
      <c r="C22" s="1640" t="s">
        <v>1327</v>
      </c>
      <c r="D22" s="1641" t="s">
        <v>1328</v>
      </c>
      <c r="E22" s="1642" t="s">
        <v>1329</v>
      </c>
      <c r="F22" s="1615"/>
      <c r="G22" s="1643"/>
      <c r="H22" s="1596"/>
      <c r="I22" s="1673"/>
      <c r="J22" s="1683"/>
      <c r="K22" s="1687"/>
      <c r="L22" s="1688" t="s">
        <v>1330</v>
      </c>
      <c r="M22" s="1689"/>
      <c r="N22" s="1689"/>
      <c r="O22" s="1600"/>
      <c r="P22" s="1600">
        <v>365</v>
      </c>
      <c r="Q22" s="1600"/>
      <c r="R22" s="1727">
        <f>ROUND(M22*N22*O22*P22/10000,0)</f>
        <v>0</v>
      </c>
      <c r="S22" s="1715"/>
      <c r="T22" s="1715"/>
      <c r="U22" s="1715"/>
      <c r="V22" s="1673"/>
    </row>
    <row r="23" s="1579" customFormat="1" customHeight="1" spans="1:22">
      <c r="A23" s="1644">
        <v>1</v>
      </c>
      <c r="B23" s="1627" t="s">
        <v>1331</v>
      </c>
      <c r="C23" s="1625">
        <f>D6</f>
        <v>0</v>
      </c>
      <c r="D23" s="1645">
        <f>C23*(1+D24)</f>
        <v>0</v>
      </c>
      <c r="E23" s="1626">
        <f>D23*(1+E24)</f>
        <v>0</v>
      </c>
      <c r="F23" s="1646"/>
      <c r="G23" s="1647"/>
      <c r="H23" s="1596"/>
      <c r="I23" s="1673"/>
      <c r="J23" s="1683"/>
      <c r="K23" s="1687"/>
      <c r="L23" s="1688" t="s">
        <v>1332</v>
      </c>
      <c r="M23" s="1689"/>
      <c r="N23" s="1689"/>
      <c r="O23" s="1600"/>
      <c r="P23" s="1600">
        <v>365</v>
      </c>
      <c r="Q23" s="1600"/>
      <c r="R23" s="1727">
        <f>ROUND(M23*N23*O23*P23/10000,0)</f>
        <v>0</v>
      </c>
      <c r="S23" s="1718"/>
      <c r="T23" s="1718"/>
      <c r="U23" s="1718"/>
      <c r="V23" s="1673"/>
    </row>
    <row r="24" s="1579" customFormat="1" customHeight="1" spans="1:22">
      <c r="A24" s="1648"/>
      <c r="B24" s="1649" t="s">
        <v>1333</v>
      </c>
      <c r="C24" s="1650"/>
      <c r="D24" s="1651"/>
      <c r="E24" s="1652"/>
      <c r="F24" s="1653"/>
      <c r="G24" s="1647"/>
      <c r="H24" s="1596"/>
      <c r="I24" s="1673"/>
      <c r="J24" s="1683"/>
      <c r="K24" s="1690"/>
      <c r="L24" s="1691" t="s">
        <v>1297</v>
      </c>
      <c r="M24" s="1692">
        <f>SUM(M21:M23)</f>
        <v>0</v>
      </c>
      <c r="N24" s="1692"/>
      <c r="O24" s="1693"/>
      <c r="P24" s="1694" t="s">
        <v>1317</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1334</v>
      </c>
      <c r="L25" s="1697"/>
      <c r="M25" s="1697"/>
      <c r="N25" s="1697"/>
      <c r="O25" s="1697"/>
      <c r="P25" s="1698"/>
      <c r="Q25" s="1689">
        <v>0</v>
      </c>
      <c r="R25" s="1726">
        <f>ROUND(R14*Q25,0)</f>
        <v>0</v>
      </c>
      <c r="S25" s="1718"/>
      <c r="T25" s="1718"/>
      <c r="U25" s="1718"/>
      <c r="V25" s="1704"/>
    </row>
    <row r="26" s="1580" customFormat="1" customHeight="1" spans="1:22">
      <c r="A26" s="1644">
        <v>2</v>
      </c>
      <c r="B26" s="1627" t="s">
        <v>1335</v>
      </c>
      <c r="C26" s="1625">
        <f>D7</f>
        <v>0</v>
      </c>
      <c r="D26" s="1645">
        <f>D23*D27</f>
        <v>0</v>
      </c>
      <c r="E26" s="1626">
        <f>E23*E27</f>
        <v>0</v>
      </c>
      <c r="F26" s="1646"/>
      <c r="G26" s="1647"/>
      <c r="H26" s="1596"/>
      <c r="I26" s="1673"/>
      <c r="J26" s="1699">
        <v>5</v>
      </c>
      <c r="K26" s="1700" t="s">
        <v>1336</v>
      </c>
      <c r="L26" s="1701"/>
      <c r="M26" s="1702"/>
      <c r="N26" s="1703" t="s">
        <v>364</v>
      </c>
      <c r="O26" s="1703" t="s">
        <v>1337</v>
      </c>
      <c r="P26" s="1703" t="s">
        <v>1338</v>
      </c>
      <c r="Q26" s="1703" t="s">
        <v>1339</v>
      </c>
      <c r="R26" s="1722" t="s">
        <v>1268</v>
      </c>
      <c r="S26" s="1728"/>
      <c r="T26" s="1728"/>
      <c r="U26" s="1728"/>
      <c r="V26" s="1704"/>
    </row>
    <row r="27" s="1579" customFormat="1" customHeight="1" spans="1:22">
      <c r="A27" s="1648"/>
      <c r="B27" s="1649" t="s">
        <v>1340</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1341</v>
      </c>
      <c r="F28" s="1653"/>
      <c r="G28" s="1643"/>
      <c r="H28" s="1654"/>
      <c r="I28" s="1704"/>
      <c r="J28" s="1710">
        <v>6</v>
      </c>
      <c r="K28" s="1711" t="s">
        <v>1342</v>
      </c>
      <c r="L28" s="1712" t="s">
        <v>1343</v>
      </c>
      <c r="M28" s="1713"/>
      <c r="N28" s="1712" t="s">
        <v>1344</v>
      </c>
      <c r="O28" s="1714"/>
      <c r="P28" s="1712" t="s">
        <v>1345</v>
      </c>
      <c r="Q28" s="1729">
        <v>0.015</v>
      </c>
      <c r="R28" s="1730"/>
      <c r="S28" s="1715"/>
      <c r="T28" s="1715"/>
      <c r="U28" s="1715"/>
      <c r="V28" s="1704"/>
    </row>
    <row r="29" s="1580" customFormat="1" customHeight="1" spans="1:22">
      <c r="A29" s="1644">
        <v>3</v>
      </c>
      <c r="B29" s="1627" t="s">
        <v>1346</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1340</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1347</v>
      </c>
      <c r="K31" s="1672"/>
      <c r="L31" s="1672"/>
      <c r="M31" s="1672"/>
      <c r="N31" s="1672"/>
      <c r="O31" s="1672"/>
      <c r="P31" s="1672"/>
      <c r="Q31" s="1672"/>
      <c r="R31" s="1717"/>
      <c r="S31" s="1715"/>
      <c r="T31" s="1718"/>
      <c r="U31" s="1718"/>
      <c r="V31" s="1704"/>
    </row>
    <row r="32" s="1580" customFormat="1" customHeight="1" spans="1:22">
      <c r="A32" s="1644">
        <v>4</v>
      </c>
      <c r="B32" s="1627" t="s">
        <v>1348</v>
      </c>
      <c r="C32" s="1625">
        <f>C23-C26-C29</f>
        <v>0</v>
      </c>
      <c r="D32" s="1645">
        <f>D23-D26-D29</f>
        <v>0</v>
      </c>
      <c r="E32" s="1626">
        <f>E23-E26-E29</f>
        <v>0</v>
      </c>
      <c r="F32" s="1646"/>
      <c r="G32" s="1643"/>
      <c r="H32" s="1596"/>
      <c r="I32" s="1673"/>
      <c r="J32" s="1674" t="s">
        <v>1246</v>
      </c>
      <c r="K32" s="1675"/>
      <c r="L32" s="1622" t="s">
        <v>1247</v>
      </c>
      <c r="M32" s="1622" t="s">
        <v>1248</v>
      </c>
      <c r="N32" s="1622" t="s">
        <v>1249</v>
      </c>
      <c r="O32" s="1622" t="s">
        <v>1250</v>
      </c>
      <c r="P32" s="1622" t="s">
        <v>1251</v>
      </c>
      <c r="Q32" s="1719" t="s">
        <v>1252</v>
      </c>
      <c r="R32" s="1693" t="s">
        <v>1253</v>
      </c>
      <c r="S32" s="1715"/>
      <c r="T32" s="1718"/>
      <c r="U32" s="1718"/>
      <c r="V32" s="1704"/>
    </row>
    <row r="33" s="1579" customFormat="1" customHeight="1" spans="1:22">
      <c r="A33" s="1644"/>
      <c r="B33" s="1627"/>
      <c r="C33" s="1625"/>
      <c r="D33" s="1645"/>
      <c r="E33" s="1626"/>
      <c r="F33" s="1646"/>
      <c r="G33" s="1643"/>
      <c r="H33" s="1654"/>
      <c r="I33" s="1704"/>
      <c r="J33" s="1676" t="s">
        <v>1254</v>
      </c>
      <c r="K33" s="1677"/>
      <c r="L33" s="1678"/>
      <c r="M33" s="1678"/>
      <c r="N33" s="1678"/>
      <c r="O33" s="1678"/>
      <c r="P33" s="1678"/>
      <c r="Q33" s="1721"/>
      <c r="R33" s="1686">
        <f>SUM(L33:Q33)</f>
        <v>0</v>
      </c>
      <c r="S33" s="1715"/>
      <c r="T33" s="1718"/>
      <c r="U33" s="1718"/>
      <c r="V33" s="1673"/>
    </row>
    <row r="34" s="1579" customFormat="1" customHeight="1" spans="1:22">
      <c r="A34" s="1644">
        <v>5</v>
      </c>
      <c r="B34" s="1627" t="s">
        <v>1349</v>
      </c>
      <c r="C34" s="1657"/>
      <c r="D34" s="1658"/>
      <c r="E34" s="1659"/>
      <c r="F34" s="1646"/>
      <c r="G34" s="1643"/>
      <c r="H34" s="1654"/>
      <c r="I34" s="1704"/>
      <c r="J34" s="1676" t="s">
        <v>1256</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1350</v>
      </c>
      <c r="C35" s="1657"/>
      <c r="D35" s="1658"/>
      <c r="E35" s="1659"/>
      <c r="F35" s="1646"/>
      <c r="G35" s="1643"/>
      <c r="H35" s="1596"/>
      <c r="I35" s="1704"/>
      <c r="J35" s="1680" t="s">
        <v>1258</v>
      </c>
      <c r="K35" s="1681"/>
      <c r="L35" s="1681"/>
      <c r="M35" s="1682"/>
      <c r="N35" s="1682"/>
      <c r="O35" s="1682"/>
      <c r="P35" s="1682"/>
      <c r="Q35" s="1682"/>
      <c r="R35" s="1732">
        <f>R40+R41+R43</f>
        <v>0</v>
      </c>
      <c r="S35" s="1715"/>
      <c r="T35" s="1718" t="s">
        <v>1259</v>
      </c>
      <c r="U35" s="1718"/>
      <c r="V35" s="1673"/>
    </row>
    <row r="36" s="1579" customFormat="1" customHeight="1" spans="1:22">
      <c r="A36" s="1644">
        <v>7</v>
      </c>
      <c r="B36" s="1660" t="s">
        <v>1351</v>
      </c>
      <c r="C36" s="1661"/>
      <c r="D36" s="1662"/>
      <c r="E36" s="1663"/>
      <c r="F36" s="1646">
        <f>C36+D36+E36</f>
        <v>0</v>
      </c>
      <c r="G36" s="1643"/>
      <c r="H36" s="1596"/>
      <c r="I36" s="1673"/>
      <c r="J36" s="1683">
        <v>1</v>
      </c>
      <c r="K36" s="1684" t="s">
        <v>1352</v>
      </c>
      <c r="L36" s="1685"/>
      <c r="M36" s="1686"/>
      <c r="N36" s="1686"/>
      <c r="O36" s="1686"/>
      <c r="P36" s="1686"/>
      <c r="Q36" s="1686"/>
      <c r="R36" s="1722" t="s">
        <v>1268</v>
      </c>
      <c r="S36" s="1715"/>
      <c r="T36" s="1718" t="s">
        <v>1269</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1272</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1279</v>
      </c>
      <c r="U38" s="1718"/>
      <c r="V38" s="1673"/>
    </row>
    <row r="39" s="1579" customFormat="1" customHeight="1" spans="1:22">
      <c r="A39" s="1644">
        <v>9</v>
      </c>
      <c r="B39" s="1627" t="s">
        <v>1353</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1354</v>
      </c>
      <c r="C40" s="1665" t="e">
        <f>C39+D39+E39</f>
        <v>#DIV/0!</v>
      </c>
      <c r="D40" s="1665"/>
      <c r="E40" s="1665"/>
      <c r="F40" s="1666"/>
      <c r="G40" s="1643"/>
      <c r="H40" s="1596"/>
      <c r="I40" s="1673"/>
      <c r="J40" s="1683"/>
      <c r="K40" s="1690"/>
      <c r="L40" s="1691" t="s">
        <v>1297</v>
      </c>
      <c r="M40" s="1692"/>
      <c r="N40" s="1692"/>
      <c r="O40" s="1693"/>
      <c r="P40" s="1693"/>
      <c r="Q40" s="1693"/>
      <c r="R40" s="1720">
        <f>SUM(R37:R39)</f>
        <v>0</v>
      </c>
      <c r="S40" s="1715"/>
      <c r="T40" s="1718"/>
      <c r="U40" s="1718"/>
      <c r="V40" s="1673"/>
    </row>
    <row r="41" s="1579" customFormat="1" customHeight="1" spans="1:22">
      <c r="A41" s="1667">
        <v>11</v>
      </c>
      <c r="B41" s="1660" t="s">
        <v>1355</v>
      </c>
      <c r="C41" s="1660" t="e">
        <f>ROUND(C40*10000/B4,0)</f>
        <v>#DIV/0!</v>
      </c>
      <c r="D41" s="1668"/>
      <c r="E41" s="1668"/>
      <c r="F41" s="1669"/>
      <c r="G41" s="1670"/>
      <c r="H41" s="1596"/>
      <c r="I41" s="1673"/>
      <c r="J41" s="1683">
        <v>2</v>
      </c>
      <c r="K41" s="1696" t="s">
        <v>1334</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1336</v>
      </c>
      <c r="L42" s="1701"/>
      <c r="M42" s="1702"/>
      <c r="N42" s="1703" t="s">
        <v>364</v>
      </c>
      <c r="O42" s="1703" t="s">
        <v>1337</v>
      </c>
      <c r="P42" s="1703" t="s">
        <v>1338</v>
      </c>
      <c r="Q42" s="1703" t="s">
        <v>1339</v>
      </c>
      <c r="R42" s="1722" t="s">
        <v>1268</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1342</v>
      </c>
      <c r="L44" s="1716" t="s">
        <v>1343</v>
      </c>
      <c r="M44" s="1713"/>
      <c r="N44" s="1716" t="s">
        <v>1344</v>
      </c>
      <c r="O44" s="1713"/>
      <c r="P44" s="1716" t="s">
        <v>1345</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1356</v>
      </c>
      <c r="B1" s="1555"/>
      <c r="C1" s="1555"/>
      <c r="D1" s="1555"/>
      <c r="E1" s="1556"/>
      <c r="F1" s="1557"/>
      <c r="G1" s="1558"/>
      <c r="H1" s="1558"/>
      <c r="I1" s="1558"/>
      <c r="J1" s="1558"/>
      <c r="K1" s="1558"/>
      <c r="L1" s="1558"/>
      <c r="M1" s="1558"/>
      <c r="N1" s="1558"/>
      <c r="O1" s="1558"/>
      <c r="P1" s="1558"/>
      <c r="Q1" s="1558"/>
      <c r="R1" s="1558"/>
      <c r="S1" s="1558"/>
    </row>
    <row r="2" ht="15.6" spans="1:19">
      <c r="A2" s="1559" t="s">
        <v>886</v>
      </c>
      <c r="B2" s="1560">
        <f ca="1">SUMIF(B6:B13,"&lt;&gt;#ref!",B6:B13)</f>
        <v>0</v>
      </c>
      <c r="C2" s="1561" t="s">
        <v>1357</v>
      </c>
      <c r="D2" s="1562" t="s">
        <v>1358</v>
      </c>
      <c r="E2" s="1563">
        <f>SUM(E6:E13)</f>
        <v>0</v>
      </c>
      <c r="F2" s="1557"/>
      <c r="G2" s="1558"/>
      <c r="H2" s="1558"/>
      <c r="I2" s="1558"/>
      <c r="J2" s="1558"/>
      <c r="K2" s="1558"/>
      <c r="L2" s="1558"/>
      <c r="M2" s="1558"/>
      <c r="N2" s="1558"/>
      <c r="O2" s="1558"/>
      <c r="P2" s="1558"/>
      <c r="Q2" s="1558"/>
      <c r="R2" s="1558"/>
      <c r="S2" s="1558"/>
    </row>
    <row r="3" ht="15.6" spans="1:19">
      <c r="A3" s="1559" t="s">
        <v>888</v>
      </c>
      <c r="B3" s="1564" t="e">
        <f ca="1">ROUND(B2*10000/E2,0)</f>
        <v>#DIV/0!</v>
      </c>
      <c r="C3" s="1561" t="s">
        <v>1359</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1360</v>
      </c>
      <c r="B5" s="1569" t="s">
        <v>1361</v>
      </c>
      <c r="C5" s="1570"/>
      <c r="D5" s="1571"/>
      <c r="E5" s="1572" t="s">
        <v>1362</v>
      </c>
      <c r="F5" s="1573" t="s">
        <v>1363</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1357</v>
      </c>
      <c r="D6" s="1565"/>
      <c r="E6" s="835">
        <f>IF(OR(A6=0,F6="否"),0,'数据-取费表'!K6+'数据-取费表'!S6)</f>
        <v>0</v>
      </c>
      <c r="F6" s="1575" t="s">
        <v>1364</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1357</v>
      </c>
      <c r="D7" s="1565"/>
      <c r="E7" s="835">
        <f>IF(OR(A7=0,F7="否"),0,'数据-取费表'!K7+'数据-取费表'!S7)</f>
        <v>0</v>
      </c>
      <c r="F7" s="1575" t="s">
        <v>1364</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1357</v>
      </c>
      <c r="D8" s="1565"/>
      <c r="E8" s="835">
        <f>IF(OR(A8=0,F8="否"),0,'数据-取费表'!K8+'数据-取费表'!S8)</f>
        <v>0</v>
      </c>
      <c r="F8" s="1575" t="s">
        <v>1364</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1357</v>
      </c>
      <c r="D9" s="1565"/>
      <c r="E9" s="835">
        <f>IF(OR(A9=0,F9="否"),0,'数据-取费表'!K9+'数据-取费表'!S9)</f>
        <v>0</v>
      </c>
      <c r="F9" s="1575" t="s">
        <v>1364</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1357</v>
      </c>
      <c r="D10" s="1565"/>
      <c r="E10" s="835">
        <f>IF(OR(A10=0,F10="否"),0,'数据-取费表'!K10+'数据-取费表'!S10)</f>
        <v>0</v>
      </c>
      <c r="F10" s="1575" t="s">
        <v>1364</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1357</v>
      </c>
      <c r="D11" s="1565"/>
      <c r="E11" s="835">
        <f>IF(OR(A11=0,F11="否"),0,'数据-取费表'!K11+'数据-取费表'!S11)</f>
        <v>0</v>
      </c>
      <c r="F11" s="1575" t="s">
        <v>1364</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1357</v>
      </c>
      <c r="D12" s="1565"/>
      <c r="E12" s="835">
        <f>IF(OR(A12=0,F12="否"),0,'数据-取费表'!K12+'数据-取费表'!S12)</f>
        <v>0</v>
      </c>
      <c r="F12" s="1575" t="s">
        <v>1364</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1357</v>
      </c>
      <c r="D13" s="1578"/>
      <c r="E13" s="835">
        <f>IF(OR(A13=0,F13="否"),0,'数据-取费表'!K13+'数据-取费表'!S13)</f>
        <v>0</v>
      </c>
      <c r="F13" s="1575" t="s">
        <v>1364</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1365</v>
      </c>
      <c r="B1" s="1462" t="s">
        <v>1366</v>
      </c>
      <c r="C1" s="1339" t="s">
        <v>1367</v>
      </c>
      <c r="D1" s="1312"/>
      <c r="E1" s="1482"/>
      <c r="F1" s="1314" t="s">
        <v>1368</v>
      </c>
      <c r="G1" s="1315" t="s">
        <v>1369</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886</v>
      </c>
      <c r="B2" s="1317" t="e">
        <f ca="1">IF(C2="——",ROUND(C49*D3/10000,0),ROUND(C49*D3/10000,0)-D2)</f>
        <v>#DIV/0!</v>
      </c>
      <c r="C2" s="1318"/>
      <c r="D2" s="1430" t="e">
        <f ca="1">SUMIF(INDIRECT("'"&amp;F2&amp;"'"&amp;"!A:A"),"承租人权益价值",INDIRECT("'"&amp;F2&amp;"'"&amp;"!c:c"))</f>
        <v>#REF!</v>
      </c>
      <c r="E2" s="1319" t="s">
        <v>887</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888</v>
      </c>
      <c r="B3" s="966" t="e">
        <f ca="1">IF(C2="——",C49,ROUND(B2*10000/D3,0))</f>
        <v>#DIV/0!</v>
      </c>
      <c r="C3" s="1321" t="s">
        <v>1370</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1371</v>
      </c>
      <c r="B4" s="969"/>
      <c r="C4" s="970" t="s">
        <v>1372</v>
      </c>
      <c r="D4" s="971"/>
      <c r="E4" s="972" t="s">
        <v>1373</v>
      </c>
      <c r="F4" s="973"/>
      <c r="G4" s="970" t="s">
        <v>1374</v>
      </c>
      <c r="H4" s="971"/>
      <c r="I4" s="970" t="s">
        <v>1375</v>
      </c>
      <c r="J4" s="971"/>
      <c r="K4" s="1495"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78" t="s">
        <v>1374</v>
      </c>
      <c r="AC4" s="1178" t="s">
        <v>1375</v>
      </c>
    </row>
    <row r="5" spans="1:29">
      <c r="A5" s="974"/>
      <c r="B5" s="975"/>
      <c r="C5" s="976" t="s">
        <v>1378</v>
      </c>
      <c r="D5" s="977"/>
      <c r="E5" s="978" t="s">
        <v>1379</v>
      </c>
      <c r="F5" s="979"/>
      <c r="G5" s="976" t="s">
        <v>1380</v>
      </c>
      <c r="H5" s="977"/>
      <c r="I5" s="976" t="s">
        <v>1381</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1382</v>
      </c>
      <c r="D6" s="1281"/>
      <c r="E6" s="1282" t="s">
        <v>1382</v>
      </c>
      <c r="F6" s="1283"/>
      <c r="G6" s="1280" t="s">
        <v>1382</v>
      </c>
      <c r="H6" s="1281"/>
      <c r="I6" s="1280" t="s">
        <v>1382</v>
      </c>
      <c r="J6" s="1281"/>
      <c r="K6" s="1496" t="s">
        <v>1383</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19" si="3">D8/F8</f>
        <v>#DIV/0!</v>
      </c>
      <c r="AB8" s="1180" t="e">
        <f t="shared" ref="AB8:AB19" si="4">D8/H8</f>
        <v>#DIV/0!</v>
      </c>
      <c r="AC8" s="1180" t="e">
        <f t="shared" ref="AC8:AC19" si="5">D8/J8</f>
        <v>#DIV/0!</v>
      </c>
    </row>
    <row r="9" s="952" customFormat="1" ht="14.4" spans="1:29">
      <c r="A9" s="994" t="s">
        <v>1390</v>
      </c>
      <c r="B9" s="995" t="s">
        <v>1391</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180">
        <f t="shared" si="5"/>
        <v>1</v>
      </c>
    </row>
    <row r="10" s="953" customFormat="1" ht="28.8" spans="1:29">
      <c r="A10" s="998"/>
      <c r="B10" s="999" t="s">
        <v>1394</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1395</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180">
        <f t="shared" si="5"/>
        <v>1</v>
      </c>
    </row>
    <row r="15" ht="100.8" spans="1:29">
      <c r="A15" s="1016" t="s">
        <v>1396</v>
      </c>
      <c r="B15" s="1285" t="s">
        <v>1397</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1398</v>
      </c>
      <c r="Q15" s="1092" t="str">
        <f t="shared" si="6"/>
        <v>居住社区成熟度</v>
      </c>
      <c r="R15" s="1076" t="s">
        <v>1386</v>
      </c>
      <c r="S15" s="1145">
        <f t="shared" si="0"/>
        <v>100</v>
      </c>
      <c r="T15" s="1076" t="s">
        <v>1386</v>
      </c>
      <c r="U15" s="1145">
        <f t="shared" si="1"/>
        <v>100</v>
      </c>
      <c r="V15" s="1076" t="s">
        <v>1386</v>
      </c>
      <c r="W15" s="1145">
        <f t="shared" si="2"/>
        <v>100</v>
      </c>
      <c r="X15" s="1159"/>
      <c r="Y15" s="1133" t="s">
        <v>1398</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1399</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1386</v>
      </c>
      <c r="S17" s="1145">
        <f>F17</f>
        <v>100</v>
      </c>
      <c r="T17" s="1076" t="s">
        <v>1386</v>
      </c>
      <c r="U17" s="1145">
        <f>H17</f>
        <v>100</v>
      </c>
      <c r="V17" s="1076" t="s">
        <v>1386</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1400</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1386</v>
      </c>
      <c r="S19" s="1145">
        <f>F19</f>
        <v>100</v>
      </c>
      <c r="T19" s="1076" t="s">
        <v>1386</v>
      </c>
      <c r="U19" s="1145">
        <f>H19</f>
        <v>100</v>
      </c>
      <c r="V19" s="1076" t="s">
        <v>1386</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1401</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1386</v>
      </c>
      <c r="S21" s="1145">
        <f>F21</f>
        <v>100</v>
      </c>
      <c r="T21" s="1076" t="s">
        <v>1386</v>
      </c>
      <c r="U21" s="1145">
        <f>H21</f>
        <v>100</v>
      </c>
      <c r="V21" s="1076" t="s">
        <v>1386</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1402</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1386</v>
      </c>
      <c r="S23" s="1145">
        <f>F23</f>
        <v>100</v>
      </c>
      <c r="T23" s="1076" t="s">
        <v>1386</v>
      </c>
      <c r="U23" s="1145">
        <f>H23</f>
        <v>100</v>
      </c>
      <c r="V23" s="1076" t="s">
        <v>1386</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1403</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1386</v>
      </c>
      <c r="S25" s="1145">
        <f t="shared" ref="S25:S46" si="12">F25</f>
        <v>100</v>
      </c>
      <c r="T25" s="1076" t="s">
        <v>1386</v>
      </c>
      <c r="U25" s="1145">
        <f t="shared" ref="U25:U46" si="13">H25</f>
        <v>100</v>
      </c>
      <c r="V25" s="1076" t="s">
        <v>1386</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1404</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1386</v>
      </c>
      <c r="S26" s="1145">
        <f t="shared" si="12"/>
        <v>100</v>
      </c>
      <c r="T26" s="1076" t="s">
        <v>1386</v>
      </c>
      <c r="U26" s="1145">
        <f t="shared" si="13"/>
        <v>100</v>
      </c>
      <c r="V26" s="1076" t="s">
        <v>1386</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1386</v>
      </c>
      <c r="S27" s="1167">
        <f t="shared" si="12"/>
        <v>100</v>
      </c>
      <c r="T27" s="1122" t="s">
        <v>1386</v>
      </c>
      <c r="U27" s="1167">
        <f t="shared" si="13"/>
        <v>100</v>
      </c>
      <c r="V27" s="1122" t="s">
        <v>1386</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1386</v>
      </c>
      <c r="S28" s="1145">
        <f t="shared" si="12"/>
        <v>100</v>
      </c>
      <c r="T28" s="1076" t="s">
        <v>1386</v>
      </c>
      <c r="U28" s="1145">
        <f t="shared" si="13"/>
        <v>100</v>
      </c>
      <c r="V28" s="1076" t="s">
        <v>1386</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1386</v>
      </c>
      <c r="S29" s="1145">
        <f t="shared" si="12"/>
        <v>100</v>
      </c>
      <c r="T29" s="1076" t="s">
        <v>1386</v>
      </c>
      <c r="U29" s="1145">
        <f t="shared" si="13"/>
        <v>100</v>
      </c>
      <c r="V29" s="1076" t="s">
        <v>1386</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1386</v>
      </c>
      <c r="S30" s="1145">
        <f t="shared" si="12"/>
        <v>100</v>
      </c>
      <c r="T30" s="1076" t="s">
        <v>1386</v>
      </c>
      <c r="U30" s="1145">
        <f t="shared" si="13"/>
        <v>100</v>
      </c>
      <c r="V30" s="1076" t="s">
        <v>1386</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1386</v>
      </c>
      <c r="S31" s="1145">
        <f t="shared" si="12"/>
        <v>100</v>
      </c>
      <c r="T31" s="1076" t="s">
        <v>1386</v>
      </c>
      <c r="U31" s="1145">
        <f t="shared" si="13"/>
        <v>100</v>
      </c>
      <c r="V31" s="1076" t="s">
        <v>1386</v>
      </c>
      <c r="W31" s="1145">
        <f t="shared" si="14"/>
        <v>100</v>
      </c>
      <c r="X31" s="1159"/>
      <c r="Y31" s="1134"/>
      <c r="Z31" s="1149">
        <f t="shared" si="18"/>
        <v>111</v>
      </c>
      <c r="AA31" s="1149">
        <f t="shared" si="15"/>
        <v>1</v>
      </c>
      <c r="AB31" s="1149">
        <f t="shared" si="16"/>
        <v>1</v>
      </c>
      <c r="AC31" s="1149">
        <f t="shared" si="17"/>
        <v>1</v>
      </c>
    </row>
    <row r="32" ht="15" spans="1:29">
      <c r="A32" s="1016" t="s">
        <v>1405</v>
      </c>
      <c r="B32" s="995" t="s">
        <v>1406</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1407</v>
      </c>
      <c r="Q32" s="1092" t="str">
        <f t="shared" si="11"/>
        <v>建筑类型</v>
      </c>
      <c r="R32" s="1076" t="s">
        <v>1386</v>
      </c>
      <c r="S32" s="1145">
        <f t="shared" si="12"/>
        <v>100</v>
      </c>
      <c r="T32" s="1076" t="s">
        <v>1386</v>
      </c>
      <c r="U32" s="1145">
        <f t="shared" si="13"/>
        <v>100</v>
      </c>
      <c r="V32" s="1076" t="s">
        <v>1386</v>
      </c>
      <c r="W32" s="1145">
        <f t="shared" si="14"/>
        <v>100</v>
      </c>
      <c r="X32" s="1159"/>
      <c r="Y32" s="1142" t="s">
        <v>1407</v>
      </c>
      <c r="Z32" s="1149" t="str">
        <f t="shared" si="18"/>
        <v>建筑类型</v>
      </c>
      <c r="AA32" s="1149">
        <f t="shared" si="15"/>
        <v>1</v>
      </c>
      <c r="AB32" s="1149">
        <f t="shared" si="16"/>
        <v>1</v>
      </c>
      <c r="AC32" s="1149">
        <f t="shared" si="17"/>
        <v>1</v>
      </c>
    </row>
    <row r="33" s="954" customFormat="1" ht="15" spans="1:29">
      <c r="A33" s="1055"/>
      <c r="B33" s="999" t="s">
        <v>1408</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1386</v>
      </c>
      <c r="S33" s="1171" t="e">
        <f t="shared" si="12"/>
        <v>#N/A</v>
      </c>
      <c r="T33" s="1170" t="s">
        <v>1386</v>
      </c>
      <c r="U33" s="1171" t="e">
        <f t="shared" si="13"/>
        <v>#N/A</v>
      </c>
      <c r="V33" s="1170" t="s">
        <v>1386</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1409</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1386</v>
      </c>
      <c r="S34" s="1145">
        <f t="shared" si="12"/>
        <v>100</v>
      </c>
      <c r="T34" s="1076" t="s">
        <v>1386</v>
      </c>
      <c r="U34" s="1145">
        <f t="shared" si="13"/>
        <v>100</v>
      </c>
      <c r="V34" s="1076" t="s">
        <v>1386</v>
      </c>
      <c r="W34" s="1145">
        <f t="shared" si="14"/>
        <v>100</v>
      </c>
      <c r="X34" s="1159"/>
      <c r="Y34" s="1142"/>
      <c r="Z34" s="1149" t="str">
        <f t="shared" si="18"/>
        <v>建筑结构</v>
      </c>
      <c r="AA34" s="1149">
        <f t="shared" si="15"/>
        <v>1</v>
      </c>
      <c r="AB34" s="1149">
        <f t="shared" si="16"/>
        <v>1</v>
      </c>
      <c r="AC34" s="1149">
        <f t="shared" si="17"/>
        <v>1</v>
      </c>
    </row>
    <row r="35" ht="15" spans="1:29">
      <c r="A35" s="1050"/>
      <c r="B35" s="999" t="s">
        <v>1410</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1386</v>
      </c>
      <c r="S35" s="1145">
        <f t="shared" si="12"/>
        <v>100</v>
      </c>
      <c r="T35" s="1076" t="s">
        <v>1386</v>
      </c>
      <c r="U35" s="1145">
        <f t="shared" si="13"/>
        <v>100</v>
      </c>
      <c r="V35" s="1076" t="s">
        <v>1386</v>
      </c>
      <c r="W35" s="1145">
        <f t="shared" si="14"/>
        <v>100</v>
      </c>
      <c r="X35" s="1159"/>
      <c r="Y35" s="1142"/>
      <c r="Z35" s="1149" t="str">
        <f t="shared" si="18"/>
        <v>建筑品质</v>
      </c>
      <c r="AA35" s="1149">
        <f t="shared" si="15"/>
        <v>1</v>
      </c>
      <c r="AB35" s="1149">
        <f t="shared" si="16"/>
        <v>1</v>
      </c>
      <c r="AC35" s="1149">
        <f t="shared" si="17"/>
        <v>1</v>
      </c>
    </row>
    <row r="36" ht="15" spans="1:29">
      <c r="A36" s="1050"/>
      <c r="B36" s="999" t="s">
        <v>1411</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1386</v>
      </c>
      <c r="S36" s="1145">
        <f t="shared" si="12"/>
        <v>100</v>
      </c>
      <c r="T36" s="1076" t="s">
        <v>1386</v>
      </c>
      <c r="U36" s="1145">
        <f t="shared" si="13"/>
        <v>100</v>
      </c>
      <c r="V36" s="1076" t="s">
        <v>1386</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539</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1386</v>
      </c>
      <c r="S37" s="1167" t="e">
        <f t="shared" si="12"/>
        <v>#N/A</v>
      </c>
      <c r="T37" s="1122" t="s">
        <v>1386</v>
      </c>
      <c r="U37" s="1167" t="e">
        <f t="shared" si="13"/>
        <v>#N/A</v>
      </c>
      <c r="V37" s="1122" t="s">
        <v>1386</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1412</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1407</v>
      </c>
      <c r="Q38" s="1092" t="str">
        <f t="shared" si="11"/>
        <v>物业管理</v>
      </c>
      <c r="R38" s="1076" t="s">
        <v>1386</v>
      </c>
      <c r="S38" s="1145">
        <f t="shared" si="12"/>
        <v>100</v>
      </c>
      <c r="T38" s="1076" t="s">
        <v>1386</v>
      </c>
      <c r="U38" s="1145">
        <f t="shared" si="13"/>
        <v>100</v>
      </c>
      <c r="V38" s="1076" t="s">
        <v>1386</v>
      </c>
      <c r="W38" s="1145">
        <f t="shared" si="14"/>
        <v>100</v>
      </c>
      <c r="X38" s="1159"/>
      <c r="Y38" s="1142" t="s">
        <v>1407</v>
      </c>
      <c r="Z38" s="1149" t="str">
        <f t="shared" si="18"/>
        <v>物业管理</v>
      </c>
      <c r="AA38" s="1149">
        <f t="shared" si="15"/>
        <v>1</v>
      </c>
      <c r="AB38" s="1149">
        <f t="shared" si="16"/>
        <v>1</v>
      </c>
      <c r="AC38" s="1149">
        <f t="shared" si="17"/>
        <v>1</v>
      </c>
    </row>
    <row r="39" ht="15" spans="1:29">
      <c r="A39" s="1050"/>
      <c r="B39" s="999" t="s">
        <v>1413</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1386</v>
      </c>
      <c r="S39" s="1145">
        <f t="shared" si="12"/>
        <v>100</v>
      </c>
      <c r="T39" s="1076" t="s">
        <v>1386</v>
      </c>
      <c r="U39" s="1145">
        <f t="shared" si="13"/>
        <v>100</v>
      </c>
      <c r="V39" s="1076" t="s">
        <v>1386</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1414</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1386</v>
      </c>
      <c r="S40" s="1145">
        <f t="shared" si="12"/>
        <v>100</v>
      </c>
      <c r="T40" s="1076" t="s">
        <v>1386</v>
      </c>
      <c r="U40" s="1145">
        <f t="shared" si="13"/>
        <v>100</v>
      </c>
      <c r="V40" s="1076" t="s">
        <v>1386</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1415</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1386</v>
      </c>
      <c r="S41" s="1171">
        <f t="shared" si="12"/>
        <v>100</v>
      </c>
      <c r="T41" s="1170" t="s">
        <v>1386</v>
      </c>
      <c r="U41" s="1171">
        <f t="shared" si="13"/>
        <v>100</v>
      </c>
      <c r="V41" s="1170" t="s">
        <v>1386</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1416</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1386</v>
      </c>
      <c r="S42" s="1145">
        <f t="shared" si="12"/>
        <v>100</v>
      </c>
      <c r="T42" s="1076" t="s">
        <v>1386</v>
      </c>
      <c r="U42" s="1145">
        <f t="shared" si="13"/>
        <v>100</v>
      </c>
      <c r="V42" s="1076" t="s">
        <v>1386</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1417</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1386</v>
      </c>
      <c r="S43" s="1145">
        <f t="shared" si="12"/>
        <v>100</v>
      </c>
      <c r="T43" s="1076" t="s">
        <v>1386</v>
      </c>
      <c r="U43" s="1145">
        <f t="shared" si="13"/>
        <v>100</v>
      </c>
      <c r="V43" s="1076" t="s">
        <v>1386</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1386</v>
      </c>
      <c r="S44" s="1167">
        <f t="shared" si="12"/>
        <v>100</v>
      </c>
      <c r="T44" s="1122" t="s">
        <v>1386</v>
      </c>
      <c r="U44" s="1167">
        <f t="shared" si="13"/>
        <v>100</v>
      </c>
      <c r="V44" s="1122" t="s">
        <v>1386</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1386</v>
      </c>
      <c r="S45" s="1145">
        <f t="shared" si="12"/>
        <v>100</v>
      </c>
      <c r="T45" s="1076" t="s">
        <v>1386</v>
      </c>
      <c r="U45" s="1145">
        <f t="shared" si="13"/>
        <v>100</v>
      </c>
      <c r="V45" s="1076" t="s">
        <v>1386</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1386</v>
      </c>
      <c r="S46" s="1145">
        <f t="shared" si="12"/>
        <v>100</v>
      </c>
      <c r="T46" s="1076" t="s">
        <v>1386</v>
      </c>
      <c r="U46" s="1145">
        <f t="shared" si="13"/>
        <v>100</v>
      </c>
      <c r="V46" s="1076" t="s">
        <v>1386</v>
      </c>
      <c r="W46" s="1145">
        <f t="shared" si="14"/>
        <v>100</v>
      </c>
      <c r="X46" s="1159"/>
      <c r="Y46" s="1415"/>
      <c r="Z46" s="1149">
        <f t="shared" si="18"/>
        <v>111</v>
      </c>
      <c r="AA46" s="1149">
        <f t="shared" si="15"/>
        <v>1</v>
      </c>
      <c r="AB46" s="1149">
        <f t="shared" si="16"/>
        <v>1</v>
      </c>
      <c r="AC46" s="1149">
        <f t="shared" si="17"/>
        <v>1</v>
      </c>
    </row>
    <row r="47" ht="14.4" spans="1:29">
      <c r="A47" s="1057" t="s">
        <v>1418</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1419</v>
      </c>
      <c r="B48" s="1335"/>
      <c r="C48" s="1070" t="e">
        <f>R49</f>
        <v>#DIV/0!</v>
      </c>
      <c r="D48" s="1068" t="s">
        <v>1420</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1421</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1422</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1423</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1424</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1425</v>
      </c>
      <c r="B57" s="1080"/>
      <c r="C57" s="1107"/>
      <c r="D57" s="1107"/>
      <c r="E57" s="1107"/>
      <c r="F57" s="1108"/>
      <c r="G57" s="1108"/>
      <c r="H57" s="1107"/>
      <c r="I57" s="1107"/>
      <c r="J57" s="1107"/>
      <c r="K57" s="1305"/>
      <c r="L57" s="1154"/>
      <c r="M57" s="1154"/>
      <c r="N57" s="1154"/>
      <c r="O57" s="1154"/>
      <c r="P57" s="1505"/>
      <c r="Q57" s="1420"/>
    </row>
    <row r="58" s="952" customFormat="1" ht="14.4" spans="1:16">
      <c r="A58" s="1336" t="s">
        <v>1384</v>
      </c>
      <c r="B58" s="1337"/>
      <c r="C58" s="1488" t="str">
        <f>YEAR(C7)&amp;"-"&amp;MONTH(C7)</f>
        <v>2022-8</v>
      </c>
      <c r="D58" s="1219">
        <f>EDATE(C58,-1)</f>
        <v>44743</v>
      </c>
      <c r="E58" s="1219">
        <f>EDATE(D58,-1)</f>
        <v>44713</v>
      </c>
      <c r="F58" s="1219">
        <f t="shared" ref="F58:O58" si="19">EDATE(E58,-1)</f>
        <v>44682</v>
      </c>
      <c r="G58" s="1219">
        <f t="shared" si="19"/>
        <v>44652</v>
      </c>
      <c r="H58" s="1219">
        <f t="shared" si="19"/>
        <v>44621</v>
      </c>
      <c r="I58" s="1219">
        <f t="shared" si="19"/>
        <v>44593</v>
      </c>
      <c r="J58" s="1219">
        <f t="shared" si="19"/>
        <v>44562</v>
      </c>
      <c r="K58" s="1219">
        <f t="shared" si="19"/>
        <v>44531</v>
      </c>
      <c r="L58" s="1219">
        <f t="shared" si="19"/>
        <v>44501</v>
      </c>
      <c r="M58" s="1219">
        <f t="shared" si="19"/>
        <v>44470</v>
      </c>
      <c r="N58" s="1219">
        <f t="shared" si="19"/>
        <v>44440</v>
      </c>
      <c r="O58" s="1219">
        <f t="shared" si="19"/>
        <v>44409</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1426</v>
      </c>
      <c r="B60" s="1190"/>
      <c r="C60" s="1191"/>
      <c r="D60" s="1192"/>
      <c r="E60" s="1192"/>
      <c r="F60" s="1192"/>
      <c r="G60" s="1192"/>
      <c r="H60" s="1192"/>
      <c r="I60" s="1192"/>
      <c r="J60" s="1192"/>
      <c r="K60" s="1192"/>
      <c r="L60" s="1192"/>
      <c r="M60" s="1231"/>
      <c r="N60" s="1192"/>
      <c r="O60" s="1231"/>
      <c r="P60" s="1507"/>
      <c r="Q60" s="1420"/>
    </row>
    <row r="61" s="952" customFormat="1" ht="14.4" spans="1:17">
      <c r="A61" s="1193" t="s">
        <v>1387</v>
      </c>
      <c r="B61" s="1194"/>
      <c r="C61" s="1195" t="s">
        <v>1388</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1427</v>
      </c>
      <c r="B63" s="1199" t="s">
        <v>1391</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1394</v>
      </c>
      <c r="C65" s="1203" t="s">
        <v>1428</v>
      </c>
      <c r="D65" s="1203" t="s">
        <v>1429</v>
      </c>
      <c r="E65" s="1203" t="s">
        <v>1430</v>
      </c>
      <c r="F65" s="1203" t="s">
        <v>1431</v>
      </c>
      <c r="G65" s="1203" t="s">
        <v>1432</v>
      </c>
      <c r="H65" s="1203" t="s">
        <v>1433</v>
      </c>
      <c r="I65" s="1203" t="s">
        <v>1434</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1395</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1396</v>
      </c>
      <c r="B76" s="1199" t="s">
        <v>1397</v>
      </c>
      <c r="C76" s="1219" t="s">
        <v>1435</v>
      </c>
      <c r="D76" s="1219" t="s">
        <v>1436</v>
      </c>
      <c r="E76" s="1219" t="s">
        <v>1437</v>
      </c>
      <c r="F76" s="1219" t="s">
        <v>1438</v>
      </c>
      <c r="G76" s="1219" t="s">
        <v>1439</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1399</v>
      </c>
      <c r="C78" s="1220" t="s">
        <v>1435</v>
      </c>
      <c r="D78" s="1220" t="s">
        <v>1436</v>
      </c>
      <c r="E78" s="1220" t="s">
        <v>1437</v>
      </c>
      <c r="F78" s="1220" t="s">
        <v>1438</v>
      </c>
      <c r="G78" s="1220" t="s">
        <v>1439</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1400</v>
      </c>
      <c r="C80" s="1220" t="s">
        <v>1435</v>
      </c>
      <c r="D80" s="1220" t="s">
        <v>1436</v>
      </c>
      <c r="E80" s="1220" t="s">
        <v>1437</v>
      </c>
      <c r="F80" s="1220" t="s">
        <v>1438</v>
      </c>
      <c r="G80" s="1220" t="s">
        <v>1439</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1401</v>
      </c>
      <c r="C82" s="1203" t="s">
        <v>1440</v>
      </c>
      <c r="D82" s="1203" t="s">
        <v>1441</v>
      </c>
      <c r="E82" s="1203" t="s">
        <v>1442</v>
      </c>
      <c r="F82" s="1203" t="s">
        <v>1443</v>
      </c>
      <c r="G82" s="1203" t="s">
        <v>1444</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1402</v>
      </c>
      <c r="C84" s="1220" t="s">
        <v>1435</v>
      </c>
      <c r="D84" s="1220" t="s">
        <v>1436</v>
      </c>
      <c r="E84" s="1220" t="s">
        <v>1437</v>
      </c>
      <c r="F84" s="1220" t="s">
        <v>1438</v>
      </c>
      <c r="G84" s="1220" t="s">
        <v>1439</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1403</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1404</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1405</v>
      </c>
      <c r="B100" s="1199" t="s">
        <v>1406</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1408</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1409</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1410</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1411</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539</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1412</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1413</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1414</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1415</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1416</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1417</v>
      </c>
      <c r="C124" s="1220" t="s">
        <v>1435</v>
      </c>
      <c r="D124" s="1220" t="s">
        <v>1436</v>
      </c>
      <c r="E124" s="1220" t="s">
        <v>1437</v>
      </c>
      <c r="F124" s="1220" t="s">
        <v>1438</v>
      </c>
      <c r="G124" s="1220" t="s">
        <v>1439</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1445</v>
      </c>
    </row>
    <row r="137" ht="15" spans="2:11">
      <c r="B137" s="1519" t="s">
        <v>1446</v>
      </c>
      <c r="C137" s="1520"/>
      <c r="D137" s="1520"/>
      <c r="E137" s="1520"/>
      <c r="F137" s="1520"/>
      <c r="G137" s="1521"/>
      <c r="H137" s="1522"/>
      <c r="I137" s="1545" t="s">
        <v>1447</v>
      </c>
      <c r="J137" s="1520"/>
      <c r="K137" s="1546"/>
    </row>
    <row r="138" ht="15" spans="2:11">
      <c r="B138" s="1523"/>
      <c r="C138" s="1524" t="s">
        <v>1448</v>
      </c>
      <c r="D138" s="1524" t="s">
        <v>1449</v>
      </c>
      <c r="E138" s="1525" t="s">
        <v>1450</v>
      </c>
      <c r="F138" s="1526" t="s">
        <v>1451</v>
      </c>
      <c r="G138" s="1524" t="s">
        <v>1449</v>
      </c>
      <c r="H138" s="1527" t="s">
        <v>1450</v>
      </c>
      <c r="I138" s="1547"/>
      <c r="J138" s="1524" t="s">
        <v>1452</v>
      </c>
      <c r="K138" s="1527" t="s">
        <v>1453</v>
      </c>
    </row>
    <row r="139" ht="15" spans="2:11">
      <c r="B139" s="1528">
        <v>6</v>
      </c>
      <c r="C139" s="1529">
        <v>96</v>
      </c>
      <c r="D139" s="1530" t="s">
        <v>1454</v>
      </c>
      <c r="E139" s="1531">
        <v>100</v>
      </c>
      <c r="F139" s="1532">
        <v>102.5</v>
      </c>
      <c r="G139" s="1530" t="s">
        <v>1454</v>
      </c>
      <c r="H139" s="1533">
        <v>105</v>
      </c>
      <c r="I139" s="1548" t="s">
        <v>1455</v>
      </c>
      <c r="J139" s="1529">
        <v>20</v>
      </c>
      <c r="K139" s="1549">
        <f>C145/(J139-2)</f>
        <v>0.00405555555555556</v>
      </c>
    </row>
    <row r="140" ht="15" spans="2:11">
      <c r="B140" s="1534">
        <v>5</v>
      </c>
      <c r="C140" s="1535">
        <v>100</v>
      </c>
      <c r="D140" s="1535"/>
      <c r="E140" s="1536"/>
      <c r="F140" s="1537">
        <v>102</v>
      </c>
      <c r="G140" s="1535"/>
      <c r="H140" s="1538"/>
      <c r="I140" s="1550" t="s">
        <v>1456</v>
      </c>
      <c r="J140" s="308">
        <f>ROUNDUP((J139-1)/2,0)</f>
        <v>10</v>
      </c>
      <c r="K140" s="1551">
        <v>100</v>
      </c>
    </row>
    <row r="141" ht="15" spans="2:11">
      <c r="B141" s="1534">
        <v>4</v>
      </c>
      <c r="C141" s="1535">
        <v>102</v>
      </c>
      <c r="D141" s="1535"/>
      <c r="E141" s="1536"/>
      <c r="F141" s="1537">
        <v>101.5</v>
      </c>
      <c r="G141" s="1535"/>
      <c r="H141" s="1538"/>
      <c r="I141" s="1550" t="s">
        <v>1457</v>
      </c>
      <c r="J141" s="308">
        <v>1</v>
      </c>
      <c r="K141" s="1551">
        <f>ROUND(100+(J141-J140)*K139*100,1)</f>
        <v>96.4</v>
      </c>
    </row>
    <row r="142" ht="15" spans="2:11">
      <c r="B142" s="1534">
        <v>3</v>
      </c>
      <c r="C142" s="1535">
        <v>103</v>
      </c>
      <c r="D142" s="1535"/>
      <c r="E142" s="1536"/>
      <c r="F142" s="1537">
        <v>101</v>
      </c>
      <c r="G142" s="1535"/>
      <c r="H142" s="1538"/>
      <c r="I142" s="1550" t="s">
        <v>1458</v>
      </c>
      <c r="J142" s="308">
        <f>J139</f>
        <v>20</v>
      </c>
      <c r="K142" s="1538">
        <v>95</v>
      </c>
    </row>
    <row r="143" ht="15" spans="2:11">
      <c r="B143" s="1534">
        <v>2</v>
      </c>
      <c r="C143" s="1535">
        <v>100</v>
      </c>
      <c r="D143" s="1535"/>
      <c r="E143" s="1536"/>
      <c r="F143" s="1537">
        <v>100.5</v>
      </c>
      <c r="G143" s="1535"/>
      <c r="H143" s="1538"/>
      <c r="I143" s="1550" t="s">
        <v>1459</v>
      </c>
      <c r="J143" s="1535">
        <v>15</v>
      </c>
      <c r="K143" s="1551">
        <f>ROUND(100+(J143-J140)*K139*100,1)</f>
        <v>102</v>
      </c>
    </row>
    <row r="144" ht="15" spans="2:11">
      <c r="B144" s="1534">
        <v>1</v>
      </c>
      <c r="C144" s="1535">
        <v>98</v>
      </c>
      <c r="D144" s="1539" t="s">
        <v>1460</v>
      </c>
      <c r="E144" s="1536">
        <v>102</v>
      </c>
      <c r="F144" s="1540">
        <v>100</v>
      </c>
      <c r="G144" s="1539" t="s">
        <v>1460</v>
      </c>
      <c r="H144" s="1538">
        <v>105</v>
      </c>
      <c r="I144" s="1550" t="s">
        <v>1459</v>
      </c>
      <c r="J144" s="1535">
        <v>18</v>
      </c>
      <c r="K144" s="1551">
        <f>ROUND(100+(J144-J140)*K139*100,1)</f>
        <v>103.2</v>
      </c>
    </row>
    <row r="145" ht="16.35" spans="2:11">
      <c r="B145" s="1541" t="s">
        <v>1461</v>
      </c>
      <c r="C145" s="1542">
        <f>ROUND(MAX(C139:C144)/MIN(C139:C144)-1,3)</f>
        <v>0.073</v>
      </c>
      <c r="D145" s="1543"/>
      <c r="E145" s="1543"/>
      <c r="F145" s="1544" t="s">
        <v>1462</v>
      </c>
      <c r="G145" s="1451"/>
      <c r="H145" s="1456"/>
      <c r="I145" s="1552" t="s">
        <v>1459</v>
      </c>
      <c r="J145" s="1553">
        <v>8</v>
      </c>
      <c r="K145" s="1554">
        <f>ROUND(100+(J145-J140)*K139*100,1)</f>
        <v>99.2</v>
      </c>
    </row>
    <row r="147" ht="14.4" spans="2:2">
      <c r="B147" s="1518" t="s">
        <v>1463</v>
      </c>
    </row>
    <row r="148" ht="14.4" spans="2:2">
      <c r="B148" s="1518" t="s">
        <v>1464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1365</v>
      </c>
      <c r="B1" s="1462" t="s">
        <v>1465</v>
      </c>
      <c r="C1" s="1339" t="s">
        <v>1367</v>
      </c>
      <c r="D1" s="1312"/>
      <c r="E1" s="1463"/>
      <c r="F1" s="1314"/>
      <c r="G1" s="1315" t="s">
        <v>1369</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886</v>
      </c>
      <c r="B2" s="1317" t="e">
        <f ca="1">IF(C2="——",ROUND(C49*D3/10000,0),ROUND(C49*D3/10000,0)-D2)</f>
        <v>#DIV/0!</v>
      </c>
      <c r="C2" s="1318"/>
      <c r="D2" s="1430" t="e">
        <f ca="1">SUMIF(INDIRECT("'"&amp;F2&amp;"'"&amp;"!A:A"),"承租人权益价值",INDIRECT("'"&amp;F2&amp;"'"&amp;"!c:c"))</f>
        <v>#REF!</v>
      </c>
      <c r="E2" s="1319" t="s">
        <v>887</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888</v>
      </c>
      <c r="B3" s="966" t="e">
        <f ca="1">IF(C2="——",C49,ROUND(B2*10000/D3,0))</f>
        <v>#DIV/0!</v>
      </c>
      <c r="C3" s="1321" t="s">
        <v>1370</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1371</v>
      </c>
      <c r="B4" s="969"/>
      <c r="C4" s="970" t="s">
        <v>1372</v>
      </c>
      <c r="D4" s="971"/>
      <c r="E4" s="972" t="s">
        <v>1373</v>
      </c>
      <c r="F4" s="973"/>
      <c r="G4" s="970" t="s">
        <v>1374</v>
      </c>
      <c r="H4" s="971"/>
      <c r="I4" s="970" t="s">
        <v>1375</v>
      </c>
      <c r="J4" s="971"/>
      <c r="K4" s="1114"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49" t="s">
        <v>1374</v>
      </c>
      <c r="AC4" s="1178" t="s">
        <v>1375</v>
      </c>
    </row>
    <row r="5" spans="1:29">
      <c r="A5" s="974"/>
      <c r="B5" s="975"/>
      <c r="C5" s="976" t="s">
        <v>1378</v>
      </c>
      <c r="D5" s="977"/>
      <c r="E5" s="978" t="s">
        <v>1379</v>
      </c>
      <c r="F5" s="979"/>
      <c r="G5" s="976" t="s">
        <v>1380</v>
      </c>
      <c r="H5" s="977"/>
      <c r="I5" s="976" t="s">
        <v>1381</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1382</v>
      </c>
      <c r="D6" s="1281"/>
      <c r="E6" s="1282" t="s">
        <v>1382</v>
      </c>
      <c r="F6" s="1283"/>
      <c r="G6" s="1280" t="s">
        <v>1382</v>
      </c>
      <c r="H6" s="1281"/>
      <c r="I6" s="1280" t="s">
        <v>1382</v>
      </c>
      <c r="J6" s="1281"/>
      <c r="K6" s="1114" t="s">
        <v>1383</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1384</v>
      </c>
      <c r="B7" s="987"/>
      <c r="C7" s="988">
        <f>'数据-取费表'!B2</f>
        <v>44783</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46" si="3">D8/F8</f>
        <v>#DIV/0!</v>
      </c>
      <c r="AB8" s="1180" t="e">
        <f t="shared" ref="AB8:AB46" si="4">D8/H8</f>
        <v>#DIV/0!</v>
      </c>
      <c r="AC8" s="1180" t="e">
        <f t="shared" ref="AC8:AC46" si="5">D8/J8</f>
        <v>#DIV/0!</v>
      </c>
    </row>
    <row r="9" s="952" customFormat="1" ht="14.4" spans="1:29">
      <c r="A9" s="994" t="s">
        <v>1390</v>
      </c>
      <c r="B9" s="995" t="s">
        <v>1391</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180">
        <f t="shared" si="5"/>
        <v>1</v>
      </c>
    </row>
    <row r="10" s="953" customFormat="1" ht="28.8" spans="1:29">
      <c r="A10" s="998"/>
      <c r="B10" s="999" t="s">
        <v>1394</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1395</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180">
        <f t="shared" si="5"/>
        <v>1</v>
      </c>
    </row>
    <row r="15" ht="72" spans="1:29">
      <c r="A15" s="1016" t="s">
        <v>1396</v>
      </c>
      <c r="B15" s="1285" t="s">
        <v>1466</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1398</v>
      </c>
      <c r="Q15" s="1092" t="str">
        <f t="shared" si="6"/>
        <v>商业繁华度</v>
      </c>
      <c r="R15" s="1076" t="s">
        <v>1386</v>
      </c>
      <c r="S15" s="1145">
        <f t="shared" si="0"/>
        <v>100</v>
      </c>
      <c r="T15" s="1076" t="s">
        <v>1386</v>
      </c>
      <c r="U15" s="1145">
        <f t="shared" si="1"/>
        <v>100</v>
      </c>
      <c r="V15" s="1076" t="s">
        <v>1386</v>
      </c>
      <c r="W15" s="1145">
        <f t="shared" si="2"/>
        <v>100</v>
      </c>
      <c r="X15" s="1159"/>
      <c r="Y15" s="1133" t="s">
        <v>1398</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1399</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1386</v>
      </c>
      <c r="S17" s="1145">
        <f>F17</f>
        <v>100</v>
      </c>
      <c r="T17" s="1076" t="s">
        <v>1386</v>
      </c>
      <c r="U17" s="1145">
        <f>H17</f>
        <v>100</v>
      </c>
      <c r="V17" s="1076" t="s">
        <v>1386</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1400</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1386</v>
      </c>
      <c r="S19" s="1145">
        <f>F19</f>
        <v>100</v>
      </c>
      <c r="T19" s="1076" t="s">
        <v>1386</v>
      </c>
      <c r="U19" s="1145">
        <f>H19</f>
        <v>100</v>
      </c>
      <c r="V19" s="1076" t="s">
        <v>1386</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1401</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1386</v>
      </c>
      <c r="S21" s="1145">
        <f>F21</f>
        <v>100</v>
      </c>
      <c r="T21" s="1076" t="s">
        <v>1386</v>
      </c>
      <c r="U21" s="1145">
        <f>H21</f>
        <v>100</v>
      </c>
      <c r="V21" s="1076" t="s">
        <v>1386</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1402</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1386</v>
      </c>
      <c r="S23" s="1145">
        <f>F23</f>
        <v>100</v>
      </c>
      <c r="T23" s="1076" t="s">
        <v>1386</v>
      </c>
      <c r="U23" s="1145">
        <f>H23</f>
        <v>100</v>
      </c>
      <c r="V23" s="1076" t="s">
        <v>1386</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1467</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1386</v>
      </c>
      <c r="S25" s="1145">
        <f>F25</f>
        <v>100</v>
      </c>
      <c r="T25" s="1076" t="s">
        <v>1386</v>
      </c>
      <c r="U25" s="1145">
        <f>H25</f>
        <v>100</v>
      </c>
      <c r="V25" s="1076" t="s">
        <v>1386</v>
      </c>
      <c r="W25" s="1145">
        <f>J25</f>
        <v>100</v>
      </c>
      <c r="X25" s="1159"/>
      <c r="Y25" s="1134"/>
      <c r="Z25" s="1149" t="str">
        <f>Q25</f>
        <v>临街状况</v>
      </c>
      <c r="AA25" s="1149">
        <f t="shared" si="3"/>
        <v>1</v>
      </c>
      <c r="AB25" s="1149">
        <f t="shared" si="4"/>
        <v>1</v>
      </c>
      <c r="AC25" s="1149">
        <f t="shared" si="5"/>
        <v>1</v>
      </c>
    </row>
    <row r="26" ht="15" spans="1:29">
      <c r="A26" s="1002"/>
      <c r="B26" s="1230" t="s">
        <v>1468</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1386</v>
      </c>
      <c r="S26" s="1145">
        <f>F26</f>
        <v>100</v>
      </c>
      <c r="T26" s="1076" t="s">
        <v>1386</v>
      </c>
      <c r="U26" s="1145">
        <f>H26</f>
        <v>100</v>
      </c>
      <c r="V26" s="1076" t="s">
        <v>1386</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1469</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1386</v>
      </c>
      <c r="S27" s="1167">
        <f>F27</f>
        <v>100</v>
      </c>
      <c r="T27" s="1122" t="s">
        <v>1386</v>
      </c>
      <c r="U27" s="1167">
        <f>H27</f>
        <v>100</v>
      </c>
      <c r="V27" s="1122" t="s">
        <v>1386</v>
      </c>
      <c r="W27" s="1167">
        <f>J27</f>
        <v>100</v>
      </c>
      <c r="X27" s="1168"/>
      <c r="Y27" s="1134"/>
      <c r="Z27" s="1180" t="str">
        <f>Q27</f>
        <v>人流量</v>
      </c>
      <c r="AA27" s="1149">
        <f t="shared" si="3"/>
        <v>1</v>
      </c>
      <c r="AB27" s="1149">
        <f t="shared" si="4"/>
        <v>1</v>
      </c>
      <c r="AC27" s="1149">
        <f t="shared" si="5"/>
        <v>1</v>
      </c>
    </row>
    <row r="28" ht="15" spans="1:29">
      <c r="A28" s="1002"/>
      <c r="B28" s="999" t="s">
        <v>1470</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1386</v>
      </c>
      <c r="S28" s="1145">
        <f t="shared" ref="S28:S46" si="12">F28</f>
        <v>100</v>
      </c>
      <c r="T28" s="1076" t="s">
        <v>1386</v>
      </c>
      <c r="U28" s="1145">
        <f t="shared" ref="U28:U46" si="13">H28</f>
        <v>100</v>
      </c>
      <c r="V28" s="1076" t="s">
        <v>1386</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1386</v>
      </c>
      <c r="S29" s="1145">
        <f t="shared" si="12"/>
        <v>100</v>
      </c>
      <c r="T29" s="1076" t="s">
        <v>1386</v>
      </c>
      <c r="U29" s="1145">
        <f t="shared" si="13"/>
        <v>100</v>
      </c>
      <c r="V29" s="1076" t="s">
        <v>1386</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1386</v>
      </c>
      <c r="S30" s="1145">
        <f t="shared" si="12"/>
        <v>100</v>
      </c>
      <c r="T30" s="1076" t="s">
        <v>1386</v>
      </c>
      <c r="U30" s="1145">
        <f t="shared" si="13"/>
        <v>100</v>
      </c>
      <c r="V30" s="1076" t="s">
        <v>1386</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1386</v>
      </c>
      <c r="S31" s="1145">
        <f t="shared" si="12"/>
        <v>100</v>
      </c>
      <c r="T31" s="1076" t="s">
        <v>1386</v>
      </c>
      <c r="U31" s="1145">
        <f t="shared" si="13"/>
        <v>100</v>
      </c>
      <c r="V31" s="1076" t="s">
        <v>1386</v>
      </c>
      <c r="W31" s="1145">
        <f t="shared" si="14"/>
        <v>100</v>
      </c>
      <c r="X31" s="1159"/>
      <c r="Y31" s="1134"/>
      <c r="Z31" s="1149">
        <f t="shared" si="15"/>
        <v>111</v>
      </c>
      <c r="AA31" s="1149">
        <f t="shared" si="3"/>
        <v>1</v>
      </c>
      <c r="AB31" s="1149">
        <f t="shared" si="4"/>
        <v>1</v>
      </c>
      <c r="AC31" s="1149">
        <f t="shared" si="5"/>
        <v>1</v>
      </c>
    </row>
    <row r="32" ht="15" spans="1:29">
      <c r="A32" s="1016" t="s">
        <v>1405</v>
      </c>
      <c r="B32" s="995" t="s">
        <v>1471</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1407</v>
      </c>
      <c r="Q32" s="1092" t="str">
        <f t="shared" si="11"/>
        <v>商业类型</v>
      </c>
      <c r="R32" s="1076" t="s">
        <v>1386</v>
      </c>
      <c r="S32" s="1145">
        <f t="shared" si="12"/>
        <v>100</v>
      </c>
      <c r="T32" s="1076" t="s">
        <v>1386</v>
      </c>
      <c r="U32" s="1145">
        <f t="shared" si="13"/>
        <v>100</v>
      </c>
      <c r="V32" s="1076" t="s">
        <v>1386</v>
      </c>
      <c r="W32" s="1145">
        <f t="shared" si="14"/>
        <v>100</v>
      </c>
      <c r="X32" s="1159"/>
      <c r="Y32" s="1142" t="s">
        <v>1407</v>
      </c>
      <c r="Z32" s="1149" t="str">
        <f t="shared" si="15"/>
        <v>商业类型</v>
      </c>
      <c r="AA32" s="1149">
        <f t="shared" si="3"/>
        <v>1</v>
      </c>
      <c r="AB32" s="1149">
        <f t="shared" si="4"/>
        <v>1</v>
      </c>
      <c r="AC32" s="1149">
        <f t="shared" si="5"/>
        <v>1</v>
      </c>
    </row>
    <row r="33" s="954" customFormat="1" ht="15" spans="1:29">
      <c r="A33" s="1055"/>
      <c r="B33" s="999" t="s">
        <v>1408</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1386</v>
      </c>
      <c r="S33" s="1171" t="e">
        <f t="shared" si="12"/>
        <v>#N/A</v>
      </c>
      <c r="T33" s="1170" t="s">
        <v>1386</v>
      </c>
      <c r="U33" s="1171" t="e">
        <f t="shared" si="13"/>
        <v>#N/A</v>
      </c>
      <c r="V33" s="1170" t="s">
        <v>1386</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1409</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1386</v>
      </c>
      <c r="S34" s="1145">
        <f t="shared" si="12"/>
        <v>100</v>
      </c>
      <c r="T34" s="1076" t="s">
        <v>1386</v>
      </c>
      <c r="U34" s="1145">
        <f t="shared" si="13"/>
        <v>100</v>
      </c>
      <c r="V34" s="1076" t="s">
        <v>1386</v>
      </c>
      <c r="W34" s="1145">
        <f t="shared" si="14"/>
        <v>100</v>
      </c>
      <c r="X34" s="1159"/>
      <c r="Y34" s="1142"/>
      <c r="Z34" s="1149" t="str">
        <f t="shared" si="15"/>
        <v>建筑结构</v>
      </c>
      <c r="AA34" s="1149">
        <f t="shared" si="3"/>
        <v>1</v>
      </c>
      <c r="AB34" s="1149">
        <f t="shared" si="4"/>
        <v>1</v>
      </c>
      <c r="AC34" s="1149">
        <f t="shared" si="5"/>
        <v>1</v>
      </c>
    </row>
    <row r="35" ht="15" spans="1:29">
      <c r="A35" s="1050"/>
      <c r="B35" s="999" t="s">
        <v>1411</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1386</v>
      </c>
      <c r="S35" s="1145">
        <f t="shared" si="12"/>
        <v>100</v>
      </c>
      <c r="T35" s="1076" t="s">
        <v>1386</v>
      </c>
      <c r="U35" s="1145">
        <f t="shared" si="13"/>
        <v>100</v>
      </c>
      <c r="V35" s="1076" t="s">
        <v>1386</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539</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1386</v>
      </c>
      <c r="S36" s="1145" t="e">
        <f t="shared" si="12"/>
        <v>#N/A</v>
      </c>
      <c r="T36" s="1076" t="s">
        <v>1386</v>
      </c>
      <c r="U36" s="1145" t="e">
        <f t="shared" si="13"/>
        <v>#N/A</v>
      </c>
      <c r="V36" s="1076" t="s">
        <v>1386</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1413</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1386</v>
      </c>
      <c r="S37" s="1167">
        <f t="shared" si="12"/>
        <v>100</v>
      </c>
      <c r="T37" s="1122" t="s">
        <v>1386</v>
      </c>
      <c r="U37" s="1167">
        <f t="shared" si="13"/>
        <v>100</v>
      </c>
      <c r="V37" s="1122" t="s">
        <v>1386</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1472</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1407</v>
      </c>
      <c r="Q38" s="1092" t="str">
        <f t="shared" si="11"/>
        <v>业态</v>
      </c>
      <c r="R38" s="1076" t="s">
        <v>1386</v>
      </c>
      <c r="S38" s="1145">
        <f t="shared" si="12"/>
        <v>100</v>
      </c>
      <c r="T38" s="1076" t="s">
        <v>1386</v>
      </c>
      <c r="U38" s="1145">
        <f t="shared" si="13"/>
        <v>100</v>
      </c>
      <c r="V38" s="1076" t="s">
        <v>1386</v>
      </c>
      <c r="W38" s="1145">
        <f t="shared" si="14"/>
        <v>100</v>
      </c>
      <c r="X38" s="1159"/>
      <c r="Y38" s="1142" t="s">
        <v>1407</v>
      </c>
      <c r="Z38" s="1149" t="str">
        <f t="shared" si="15"/>
        <v>业态</v>
      </c>
      <c r="AA38" s="1149">
        <f t="shared" si="3"/>
        <v>1</v>
      </c>
      <c r="AB38" s="1149">
        <f t="shared" si="4"/>
        <v>1</v>
      </c>
      <c r="AC38" s="1149">
        <f t="shared" si="5"/>
        <v>1</v>
      </c>
    </row>
    <row r="39" ht="15" spans="1:29">
      <c r="A39" s="1050"/>
      <c r="B39" s="999" t="s">
        <v>1473</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1386</v>
      </c>
      <c r="S39" s="1145">
        <f t="shared" si="12"/>
        <v>100</v>
      </c>
      <c r="T39" s="1076" t="s">
        <v>1386</v>
      </c>
      <c r="U39" s="1145">
        <f t="shared" si="13"/>
        <v>100</v>
      </c>
      <c r="V39" s="1076" t="s">
        <v>1386</v>
      </c>
      <c r="W39" s="1145">
        <f t="shared" si="14"/>
        <v>100</v>
      </c>
      <c r="X39" s="1159"/>
      <c r="Y39" s="1142"/>
      <c r="Z39" s="1149" t="str">
        <f t="shared" si="15"/>
        <v>层高</v>
      </c>
      <c r="AA39" s="1149">
        <f t="shared" si="3"/>
        <v>1</v>
      </c>
      <c r="AB39" s="1149">
        <f t="shared" si="4"/>
        <v>1</v>
      </c>
      <c r="AC39" s="1149">
        <f t="shared" si="5"/>
        <v>1</v>
      </c>
    </row>
    <row r="40" ht="15" spans="1:29">
      <c r="A40" s="1050"/>
      <c r="B40" s="999" t="s">
        <v>1474</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1386</v>
      </c>
      <c r="S40" s="1145">
        <f t="shared" si="12"/>
        <v>100</v>
      </c>
      <c r="T40" s="1076" t="s">
        <v>1386</v>
      </c>
      <c r="U40" s="1145">
        <f t="shared" si="13"/>
        <v>100</v>
      </c>
      <c r="V40" s="1076" t="s">
        <v>1386</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1475</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1386</v>
      </c>
      <c r="S41" s="1171">
        <f t="shared" si="12"/>
        <v>100</v>
      </c>
      <c r="T41" s="1170" t="s">
        <v>1386</v>
      </c>
      <c r="U41" s="1171">
        <f t="shared" si="13"/>
        <v>100</v>
      </c>
      <c r="V41" s="1170" t="s">
        <v>1386</v>
      </c>
      <c r="W41" s="1171">
        <f t="shared" si="14"/>
        <v>100</v>
      </c>
      <c r="X41" s="1172"/>
      <c r="Y41" s="1142"/>
      <c r="Z41" s="1181" t="str">
        <f t="shared" si="15"/>
        <v>进深比</v>
      </c>
      <c r="AA41" s="1149">
        <f t="shared" si="3"/>
        <v>1</v>
      </c>
      <c r="AB41" s="1149">
        <f t="shared" si="4"/>
        <v>1</v>
      </c>
      <c r="AC41" s="1149">
        <f t="shared" si="5"/>
        <v>1</v>
      </c>
    </row>
    <row r="42" ht="15" spans="1:29">
      <c r="A42" s="1050"/>
      <c r="B42" s="999" t="s">
        <v>1416</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1386</v>
      </c>
      <c r="S42" s="1145">
        <f t="shared" si="12"/>
        <v>100</v>
      </c>
      <c r="T42" s="1076" t="s">
        <v>1386</v>
      </c>
      <c r="U42" s="1145">
        <f t="shared" si="13"/>
        <v>100</v>
      </c>
      <c r="V42" s="1076" t="s">
        <v>1386</v>
      </c>
      <c r="W42" s="1145">
        <f t="shared" si="14"/>
        <v>100</v>
      </c>
      <c r="X42" s="1159"/>
      <c r="Y42" s="1142"/>
      <c r="Z42" s="1149" t="str">
        <f t="shared" si="15"/>
        <v>内部装修</v>
      </c>
      <c r="AA42" s="1149">
        <f t="shared" si="3"/>
        <v>1</v>
      </c>
      <c r="AB42" s="1149">
        <f t="shared" si="4"/>
        <v>1</v>
      </c>
      <c r="AC42" s="1149">
        <f t="shared" si="5"/>
        <v>1</v>
      </c>
    </row>
    <row r="43" ht="28.8" spans="1:29">
      <c r="A43" s="1050"/>
      <c r="B43" s="999" t="s">
        <v>1417</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1386</v>
      </c>
      <c r="S43" s="1145">
        <f t="shared" si="12"/>
        <v>100</v>
      </c>
      <c r="T43" s="1076" t="s">
        <v>1386</v>
      </c>
      <c r="U43" s="1145">
        <f t="shared" si="13"/>
        <v>100</v>
      </c>
      <c r="V43" s="1076" t="s">
        <v>1386</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1386</v>
      </c>
      <c r="S44" s="1167">
        <f t="shared" si="12"/>
        <v>100</v>
      </c>
      <c r="T44" s="1122" t="s">
        <v>1386</v>
      </c>
      <c r="U44" s="1167">
        <f t="shared" si="13"/>
        <v>100</v>
      </c>
      <c r="V44" s="1122" t="s">
        <v>1386</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1386</v>
      </c>
      <c r="S45" s="1145">
        <f t="shared" si="12"/>
        <v>100</v>
      </c>
      <c r="T45" s="1076" t="s">
        <v>1386</v>
      </c>
      <c r="U45" s="1145">
        <f t="shared" si="13"/>
        <v>100</v>
      </c>
      <c r="V45" s="1076" t="s">
        <v>1386</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1386</v>
      </c>
      <c r="S46" s="1145">
        <f t="shared" si="12"/>
        <v>100</v>
      </c>
      <c r="T46" s="1076" t="s">
        <v>1386</v>
      </c>
      <c r="U46" s="1145">
        <f t="shared" si="13"/>
        <v>100</v>
      </c>
      <c r="V46" s="1076" t="s">
        <v>1386</v>
      </c>
      <c r="W46" s="1145">
        <f t="shared" si="14"/>
        <v>100</v>
      </c>
      <c r="X46" s="1159"/>
      <c r="Y46" s="1415"/>
      <c r="Z46" s="1149">
        <f t="shared" si="15"/>
        <v>111</v>
      </c>
      <c r="AA46" s="1149">
        <f t="shared" si="3"/>
        <v>1</v>
      </c>
      <c r="AB46" s="1149">
        <f t="shared" si="4"/>
        <v>1</v>
      </c>
      <c r="AC46" s="1149">
        <f t="shared" si="5"/>
        <v>1</v>
      </c>
    </row>
    <row r="47" ht="14.4" spans="1:29">
      <c r="A47" s="1057" t="s">
        <v>1418</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1419</v>
      </c>
      <c r="B48" s="1335"/>
      <c r="C48" s="1070" t="e">
        <f>R49</f>
        <v>#DIV/0!</v>
      </c>
      <c r="D48" s="1068" t="s">
        <v>1420</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1421</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1422</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1423</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1424</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1425</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1384</v>
      </c>
      <c r="B58" s="1337"/>
      <c r="C58" s="1185" t="str">
        <f>YEAR(C7)&amp;"-"&amp;MONTH(C7)</f>
        <v>2022-8</v>
      </c>
      <c r="D58" s="1219">
        <f>EDATE(C58,-1)</f>
        <v>44743</v>
      </c>
      <c r="E58" s="1219">
        <f t="shared" ref="E58:O58" si="16">EDATE(D58,-1)</f>
        <v>44713</v>
      </c>
      <c r="F58" s="1219">
        <f t="shared" si="16"/>
        <v>44682</v>
      </c>
      <c r="G58" s="1219">
        <f t="shared" si="16"/>
        <v>44652</v>
      </c>
      <c r="H58" s="1219">
        <f t="shared" si="16"/>
        <v>44621</v>
      </c>
      <c r="I58" s="1219">
        <f t="shared" si="16"/>
        <v>44593</v>
      </c>
      <c r="J58" s="1219">
        <f t="shared" si="16"/>
        <v>44562</v>
      </c>
      <c r="K58" s="1219">
        <f t="shared" si="16"/>
        <v>44531</v>
      </c>
      <c r="L58" s="1219">
        <f t="shared" si="16"/>
        <v>44501</v>
      </c>
      <c r="M58" s="1219">
        <f t="shared" si="16"/>
        <v>44470</v>
      </c>
      <c r="N58" s="1219">
        <f t="shared" si="16"/>
        <v>44440</v>
      </c>
      <c r="O58" s="1219">
        <f t="shared" si="16"/>
        <v>44409</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1426</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1387</v>
      </c>
      <c r="B61" s="1194"/>
      <c r="C61" s="1195" t="s">
        <v>1388</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1427</v>
      </c>
      <c r="B63" s="1199" t="s">
        <v>1391</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1394</v>
      </c>
      <c r="C65" s="1203" t="s">
        <v>1428</v>
      </c>
      <c r="D65" s="1203" t="s">
        <v>1429</v>
      </c>
      <c r="E65" s="1203" t="s">
        <v>1430</v>
      </c>
      <c r="F65" s="1203" t="s">
        <v>1431</v>
      </c>
      <c r="G65" s="1203" t="s">
        <v>1432</v>
      </c>
      <c r="H65" s="1203" t="s">
        <v>1433</v>
      </c>
      <c r="I65" s="1203" t="s">
        <v>1434</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1476</v>
      </c>
      <c r="D66" s="1205" t="s">
        <v>1476</v>
      </c>
      <c r="E66" s="1205" t="s">
        <v>1476</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1395</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1396</v>
      </c>
      <c r="B76" s="1199" t="s">
        <v>1397</v>
      </c>
      <c r="C76" s="1219" t="s">
        <v>1435</v>
      </c>
      <c r="D76" s="1219" t="s">
        <v>1436</v>
      </c>
      <c r="E76" s="1219" t="s">
        <v>1437</v>
      </c>
      <c r="F76" s="1219" t="s">
        <v>1438</v>
      </c>
      <c r="G76" s="1219" t="s">
        <v>1439</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1399</v>
      </c>
      <c r="C78" s="1220" t="s">
        <v>1435</v>
      </c>
      <c r="D78" s="1220" t="s">
        <v>1436</v>
      </c>
      <c r="E78" s="1220" t="s">
        <v>1437</v>
      </c>
      <c r="F78" s="1220" t="s">
        <v>1438</v>
      </c>
      <c r="G78" s="1220" t="s">
        <v>1439</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1400</v>
      </c>
      <c r="C80" s="1220" t="s">
        <v>1435</v>
      </c>
      <c r="D80" s="1220" t="s">
        <v>1436</v>
      </c>
      <c r="E80" s="1220" t="s">
        <v>1437</v>
      </c>
      <c r="F80" s="1220" t="s">
        <v>1438</v>
      </c>
      <c r="G80" s="1220" t="s">
        <v>1439</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1401</v>
      </c>
      <c r="C82" s="1134" t="s">
        <v>1440</v>
      </c>
      <c r="D82" s="1134" t="s">
        <v>1441</v>
      </c>
      <c r="E82" s="1134" t="s">
        <v>1442</v>
      </c>
      <c r="F82" s="1134" t="s">
        <v>1443</v>
      </c>
      <c r="G82" s="1134" t="s">
        <v>1444</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1402</v>
      </c>
      <c r="C84" s="1220" t="s">
        <v>1435</v>
      </c>
      <c r="D84" s="1220" t="s">
        <v>1436</v>
      </c>
      <c r="E84" s="1220" t="s">
        <v>1437</v>
      </c>
      <c r="F84" s="1220" t="s">
        <v>1438</v>
      </c>
      <c r="G84" s="1220" t="s">
        <v>1439</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1467</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1405</v>
      </c>
      <c r="B100" s="1199" t="s">
        <v>1471</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1408</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1409</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1411</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539</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1413</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1472</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1473</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1474</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1477</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1416</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1417</v>
      </c>
      <c r="C124" s="1220" t="s">
        <v>1435</v>
      </c>
      <c r="D124" s="1220" t="s">
        <v>1436</v>
      </c>
      <c r="E124" s="1220" t="s">
        <v>1437</v>
      </c>
      <c r="F124" s="1220" t="s">
        <v>1438</v>
      </c>
      <c r="G124" s="1220" t="s">
        <v>1439</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1365</v>
      </c>
      <c r="B1" s="1400" t="s">
        <v>1478</v>
      </c>
      <c r="C1" s="1311" t="s">
        <v>1367</v>
      </c>
      <c r="D1" s="1312"/>
      <c r="E1" s="1313"/>
      <c r="F1" s="1314"/>
      <c r="G1" s="1315" t="s">
        <v>1369</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886</v>
      </c>
      <c r="B2" s="1317" t="e">
        <f ca="1">IF(C2="——",ROUND(C50*D3/10000,0),ROUND(C50*D3/10000,0)-D2)</f>
        <v>#DIV/0!</v>
      </c>
      <c r="C2" s="1318"/>
      <c r="D2" s="1430" t="e">
        <f ca="1">SUMIF(INDIRECT("'"&amp;F2&amp;"'"&amp;"!A:A"),"承租人权益价值",INDIRECT("'"&amp;F2&amp;"'"&amp;"!c:c"))</f>
        <v>#REF!</v>
      </c>
      <c r="E2" s="1319" t="s">
        <v>887</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888</v>
      </c>
      <c r="B3" s="966" t="e">
        <f ca="1">IF(C2="——",C50,ROUND(B2*10000/D3,0))</f>
        <v>#DIV/0!</v>
      </c>
      <c r="C3" s="1321" t="s">
        <v>1370</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1371</v>
      </c>
      <c r="B4" s="969"/>
      <c r="C4" s="970" t="s">
        <v>1372</v>
      </c>
      <c r="D4" s="971"/>
      <c r="E4" s="972" t="s">
        <v>1373</v>
      </c>
      <c r="F4" s="973"/>
      <c r="G4" s="970" t="s">
        <v>1374</v>
      </c>
      <c r="H4" s="971"/>
      <c r="I4" s="970" t="s">
        <v>1375</v>
      </c>
      <c r="J4" s="971"/>
      <c r="K4" s="1114" t="s">
        <v>1376</v>
      </c>
      <c r="L4" s="1115"/>
      <c r="M4" s="1116"/>
      <c r="N4" s="1116"/>
      <c r="O4" s="1116"/>
      <c r="P4" s="1438" t="s">
        <v>1377</v>
      </c>
      <c r="Q4" s="1432"/>
      <c r="R4" s="1446" t="s">
        <v>1373</v>
      </c>
      <c r="S4" s="1447"/>
      <c r="T4" s="1446" t="s">
        <v>1374</v>
      </c>
      <c r="U4" s="1447"/>
      <c r="V4" s="1083" t="s">
        <v>1375</v>
      </c>
      <c r="W4" s="1083"/>
      <c r="X4" s="1448"/>
      <c r="Y4" s="1446" t="s">
        <v>1377</v>
      </c>
      <c r="Z4" s="1447"/>
      <c r="AA4" s="1448" t="s">
        <v>1373</v>
      </c>
      <c r="AB4" s="1448" t="s">
        <v>1374</v>
      </c>
      <c r="AC4" s="1452" t="s">
        <v>1375</v>
      </c>
    </row>
    <row r="5" spans="1:29">
      <c r="A5" s="974"/>
      <c r="B5" s="975"/>
      <c r="C5" s="976" t="s">
        <v>1378</v>
      </c>
      <c r="D5" s="977"/>
      <c r="E5" s="978" t="s">
        <v>1379</v>
      </c>
      <c r="F5" s="979"/>
      <c r="G5" s="976" t="s">
        <v>1380</v>
      </c>
      <c r="H5" s="977"/>
      <c r="I5" s="976" t="s">
        <v>1381</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1382</v>
      </c>
      <c r="D6" s="1281"/>
      <c r="E6" s="1282" t="s">
        <v>1382</v>
      </c>
      <c r="F6" s="1283"/>
      <c r="G6" s="1280" t="s">
        <v>1382</v>
      </c>
      <c r="H6" s="1281"/>
      <c r="I6" s="1280" t="s">
        <v>1382</v>
      </c>
      <c r="J6" s="1281"/>
      <c r="K6" s="1114" t="s">
        <v>1383</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1384</v>
      </c>
      <c r="B7" s="987"/>
      <c r="C7" s="988">
        <f>'数据-取费表'!B2</f>
        <v>44783</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454" t="e">
        <f>D7/J7</f>
        <v>#DIV/0!</v>
      </c>
    </row>
    <row r="8" s="952" customFormat="1" ht="15.15" spans="1:29">
      <c r="A8" s="986" t="s">
        <v>1387</v>
      </c>
      <c r="B8" s="987"/>
      <c r="C8" s="993" t="s">
        <v>1388</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1389</v>
      </c>
      <c r="Q8" s="1167"/>
      <c r="R8" s="1122" t="s">
        <v>1386</v>
      </c>
      <c r="S8" s="1167">
        <f t="shared" si="0"/>
        <v>0</v>
      </c>
      <c r="T8" s="1122" t="s">
        <v>1386</v>
      </c>
      <c r="U8" s="1167">
        <f t="shared" si="1"/>
        <v>0</v>
      </c>
      <c r="V8" s="1122" t="s">
        <v>1386</v>
      </c>
      <c r="W8" s="1167">
        <f t="shared" si="2"/>
        <v>0</v>
      </c>
      <c r="X8" s="1168"/>
      <c r="Y8" s="1122" t="s">
        <v>1389</v>
      </c>
      <c r="Z8" s="1167"/>
      <c r="AA8" s="1180" t="e">
        <f t="shared" ref="AA8:AA47" si="3">D8/F8</f>
        <v>#DIV/0!</v>
      </c>
      <c r="AB8" s="1180" t="e">
        <f t="shared" ref="AB8:AB47" si="4">D8/H8</f>
        <v>#DIV/0!</v>
      </c>
      <c r="AC8" s="1454" t="e">
        <f t="shared" ref="AC8:AC47" si="5">D8/J8</f>
        <v>#DIV/0!</v>
      </c>
    </row>
    <row r="9" s="952" customFormat="1" ht="14.4" spans="1:29">
      <c r="A9" s="994" t="s">
        <v>1390</v>
      </c>
      <c r="B9" s="995" t="s">
        <v>1391</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454">
        <f t="shared" si="5"/>
        <v>1</v>
      </c>
    </row>
    <row r="10" s="953" customFormat="1" ht="28.8" spans="1:29">
      <c r="A10" s="998"/>
      <c r="B10" s="999" t="s">
        <v>1394</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1395</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454">
        <f t="shared" si="5"/>
        <v>1</v>
      </c>
    </row>
    <row r="15" ht="72" spans="1:29">
      <c r="A15" s="1016" t="s">
        <v>1396</v>
      </c>
      <c r="B15" s="1017" t="s">
        <v>1479</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1398</v>
      </c>
      <c r="Q15" s="1092" t="str">
        <f t="shared" si="6"/>
        <v>办公集聚程度</v>
      </c>
      <c r="R15" s="1076" t="s">
        <v>1386</v>
      </c>
      <c r="S15" s="1145">
        <f t="shared" si="0"/>
        <v>100</v>
      </c>
      <c r="T15" s="1076" t="s">
        <v>1386</v>
      </c>
      <c r="U15" s="1145">
        <f t="shared" si="1"/>
        <v>100</v>
      </c>
      <c r="V15" s="1076" t="s">
        <v>1386</v>
      </c>
      <c r="W15" s="1145">
        <f t="shared" si="2"/>
        <v>100</v>
      </c>
      <c r="X15" s="1159"/>
      <c r="Y15" s="1133" t="s">
        <v>1398</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1399</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1386</v>
      </c>
      <c r="S17" s="1145">
        <f>F17</f>
        <v>100</v>
      </c>
      <c r="T17" s="1076" t="s">
        <v>1386</v>
      </c>
      <c r="U17" s="1145">
        <f>H17</f>
        <v>100</v>
      </c>
      <c r="V17" s="1076" t="s">
        <v>1386</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1400</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1386</v>
      </c>
      <c r="S19" s="1145">
        <f>F19</f>
        <v>100</v>
      </c>
      <c r="T19" s="1076" t="s">
        <v>1386</v>
      </c>
      <c r="U19" s="1145">
        <f>H19</f>
        <v>100</v>
      </c>
      <c r="V19" s="1076" t="s">
        <v>1386</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1401</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1386</v>
      </c>
      <c r="S21" s="1145">
        <f>F21</f>
        <v>100</v>
      </c>
      <c r="T21" s="1076" t="s">
        <v>1386</v>
      </c>
      <c r="U21" s="1145">
        <f>H21</f>
        <v>100</v>
      </c>
      <c r="V21" s="1076" t="s">
        <v>1386</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1480</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1386</v>
      </c>
      <c r="S23" s="1145">
        <f>F23</f>
        <v>100</v>
      </c>
      <c r="T23" s="1076" t="s">
        <v>1386</v>
      </c>
      <c r="U23" s="1145">
        <f>H23</f>
        <v>100</v>
      </c>
      <c r="V23" s="1076" t="s">
        <v>1386</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1481</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1386</v>
      </c>
      <c r="S25" s="1145">
        <f>F25</f>
        <v>100</v>
      </c>
      <c r="T25" s="1076" t="s">
        <v>1386</v>
      </c>
      <c r="U25" s="1145">
        <f>H25</f>
        <v>100</v>
      </c>
      <c r="V25" s="1076" t="s">
        <v>1386</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1470</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1386</v>
      </c>
      <c r="S27" s="1145">
        <f>F27</f>
        <v>100</v>
      </c>
      <c r="T27" s="1076" t="s">
        <v>1386</v>
      </c>
      <c r="U27" s="1145">
        <f>H27</f>
        <v>100</v>
      </c>
      <c r="V27" s="1076" t="s">
        <v>1386</v>
      </c>
      <c r="W27" s="1145">
        <f>J27</f>
        <v>100</v>
      </c>
      <c r="X27" s="1159"/>
      <c r="Y27" s="1134"/>
      <c r="Z27" s="1149" t="str">
        <f>Q27</f>
        <v>楼层</v>
      </c>
      <c r="AA27" s="1149">
        <f t="shared" si="3"/>
        <v>1</v>
      </c>
      <c r="AB27" s="1149">
        <f t="shared" si="4"/>
        <v>1</v>
      </c>
      <c r="AC27" s="1455">
        <f t="shared" si="5"/>
        <v>1</v>
      </c>
    </row>
    <row r="28" s="952" customFormat="1" ht="15" spans="1:29">
      <c r="A28" s="1005"/>
      <c r="B28" s="1026" t="s">
        <v>1404</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1386</v>
      </c>
      <c r="S28" s="1167">
        <f>F28</f>
        <v>100</v>
      </c>
      <c r="T28" s="1122" t="s">
        <v>1386</v>
      </c>
      <c r="U28" s="1167">
        <f>H28</f>
        <v>100</v>
      </c>
      <c r="V28" s="1122" t="s">
        <v>1386</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1386</v>
      </c>
      <c r="S29" s="1145">
        <f t="shared" ref="S29:S47" si="12">F29</f>
        <v>100</v>
      </c>
      <c r="T29" s="1076" t="s">
        <v>1386</v>
      </c>
      <c r="U29" s="1145">
        <f t="shared" ref="U29:U47" si="13">H29</f>
        <v>100</v>
      </c>
      <c r="V29" s="1076" t="s">
        <v>1386</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1386</v>
      </c>
      <c r="S30" s="1145">
        <f t="shared" si="12"/>
        <v>100</v>
      </c>
      <c r="T30" s="1076" t="s">
        <v>1386</v>
      </c>
      <c r="U30" s="1145">
        <f t="shared" si="13"/>
        <v>100</v>
      </c>
      <c r="V30" s="1076" t="s">
        <v>1386</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1386</v>
      </c>
      <c r="S31" s="1145">
        <f t="shared" si="12"/>
        <v>100</v>
      </c>
      <c r="T31" s="1076" t="s">
        <v>1386</v>
      </c>
      <c r="U31" s="1145">
        <f t="shared" si="13"/>
        <v>100</v>
      </c>
      <c r="V31" s="1076" t="s">
        <v>1386</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1386</v>
      </c>
      <c r="S32" s="1145">
        <f t="shared" si="12"/>
        <v>100</v>
      </c>
      <c r="T32" s="1076" t="s">
        <v>1386</v>
      </c>
      <c r="U32" s="1145">
        <f t="shared" si="13"/>
        <v>100</v>
      </c>
      <c r="V32" s="1076" t="s">
        <v>1386</v>
      </c>
      <c r="W32" s="1145">
        <f t="shared" si="14"/>
        <v>100</v>
      </c>
      <c r="X32" s="1159"/>
      <c r="Y32" s="1134"/>
      <c r="Z32" s="1149">
        <f t="shared" si="15"/>
        <v>111</v>
      </c>
      <c r="AA32" s="1149">
        <f t="shared" si="3"/>
        <v>1</v>
      </c>
      <c r="AB32" s="1149">
        <f t="shared" si="4"/>
        <v>1</v>
      </c>
      <c r="AC32" s="1455">
        <f t="shared" si="5"/>
        <v>1</v>
      </c>
    </row>
    <row r="33" ht="15" spans="1:29">
      <c r="A33" s="1016" t="s">
        <v>1405</v>
      </c>
      <c r="B33" s="995" t="s">
        <v>1406</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1407</v>
      </c>
      <c r="Q33" s="1092" t="str">
        <f t="shared" si="11"/>
        <v>建筑类型</v>
      </c>
      <c r="R33" s="1076" t="s">
        <v>1386</v>
      </c>
      <c r="S33" s="1145">
        <f t="shared" si="12"/>
        <v>100</v>
      </c>
      <c r="T33" s="1076" t="s">
        <v>1386</v>
      </c>
      <c r="U33" s="1145">
        <f t="shared" si="13"/>
        <v>100</v>
      </c>
      <c r="V33" s="1076" t="s">
        <v>1386</v>
      </c>
      <c r="W33" s="1145">
        <f t="shared" si="14"/>
        <v>100</v>
      </c>
      <c r="X33" s="1159"/>
      <c r="Y33" s="1142" t="s">
        <v>1407</v>
      </c>
      <c r="Z33" s="1149" t="str">
        <f t="shared" si="15"/>
        <v>建筑类型</v>
      </c>
      <c r="AA33" s="1149">
        <f t="shared" si="3"/>
        <v>1</v>
      </c>
      <c r="AB33" s="1149">
        <f t="shared" si="4"/>
        <v>1</v>
      </c>
      <c r="AC33" s="1455">
        <f t="shared" si="5"/>
        <v>1</v>
      </c>
    </row>
    <row r="34" s="954" customFormat="1" ht="15" spans="1:29">
      <c r="A34" s="1055"/>
      <c r="B34" s="999" t="s">
        <v>1408</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1386</v>
      </c>
      <c r="S34" s="1171" t="e">
        <f t="shared" si="12"/>
        <v>#N/A</v>
      </c>
      <c r="T34" s="1170" t="s">
        <v>1386</v>
      </c>
      <c r="U34" s="1171" t="e">
        <f t="shared" si="13"/>
        <v>#N/A</v>
      </c>
      <c r="V34" s="1170" t="s">
        <v>1386</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1409</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1386</v>
      </c>
      <c r="S35" s="1145">
        <f t="shared" si="12"/>
        <v>100</v>
      </c>
      <c r="T35" s="1076" t="s">
        <v>1386</v>
      </c>
      <c r="U35" s="1145">
        <f t="shared" si="13"/>
        <v>100</v>
      </c>
      <c r="V35" s="1076" t="s">
        <v>1386</v>
      </c>
      <c r="W35" s="1145">
        <f t="shared" si="14"/>
        <v>100</v>
      </c>
      <c r="X35" s="1159"/>
      <c r="Y35" s="1142"/>
      <c r="Z35" s="1149" t="str">
        <f t="shared" si="15"/>
        <v>建筑结构</v>
      </c>
      <c r="AA35" s="1149">
        <f t="shared" si="3"/>
        <v>1</v>
      </c>
      <c r="AB35" s="1149">
        <f t="shared" si="4"/>
        <v>1</v>
      </c>
      <c r="AC35" s="1455">
        <f t="shared" si="5"/>
        <v>1</v>
      </c>
    </row>
    <row r="36" ht="15" spans="1:29">
      <c r="A36" s="1050"/>
      <c r="B36" s="999" t="s">
        <v>1411</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1386</v>
      </c>
      <c r="S36" s="1145">
        <f t="shared" si="12"/>
        <v>100</v>
      </c>
      <c r="T36" s="1076" t="s">
        <v>1386</v>
      </c>
      <c r="U36" s="1145">
        <f t="shared" si="13"/>
        <v>100</v>
      </c>
      <c r="V36" s="1076" t="s">
        <v>1386</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539</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1386</v>
      </c>
      <c r="S37" s="1145" t="e">
        <f t="shared" si="12"/>
        <v>#N/A</v>
      </c>
      <c r="T37" s="1076" t="s">
        <v>1386</v>
      </c>
      <c r="U37" s="1145" t="e">
        <f t="shared" si="13"/>
        <v>#N/A</v>
      </c>
      <c r="V37" s="1076" t="s">
        <v>1386</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1482</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1386</v>
      </c>
      <c r="S38" s="1167">
        <f t="shared" si="12"/>
        <v>100</v>
      </c>
      <c r="T38" s="1122" t="s">
        <v>1386</v>
      </c>
      <c r="U38" s="1167">
        <f t="shared" si="13"/>
        <v>100</v>
      </c>
      <c r="V38" s="1122" t="s">
        <v>1386</v>
      </c>
      <c r="W38" s="1167">
        <f t="shared" si="14"/>
        <v>100</v>
      </c>
      <c r="X38" s="1168"/>
      <c r="Y38" s="1142"/>
      <c r="Z38" s="1180" t="str">
        <f t="shared" si="15"/>
        <v>写字楼等级</v>
      </c>
      <c r="AA38" s="1180">
        <f t="shared" si="3"/>
        <v>1</v>
      </c>
      <c r="AB38" s="1180">
        <f t="shared" si="4"/>
        <v>1</v>
      </c>
      <c r="AC38" s="1454">
        <f t="shared" si="5"/>
        <v>1</v>
      </c>
    </row>
    <row r="39" ht="15" spans="1:29">
      <c r="A39" s="1050"/>
      <c r="B39" s="999" t="s">
        <v>1412</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1407</v>
      </c>
      <c r="Q39" s="1092" t="str">
        <f t="shared" si="11"/>
        <v>物业管理</v>
      </c>
      <c r="R39" s="1076" t="s">
        <v>1386</v>
      </c>
      <c r="S39" s="1145">
        <f t="shared" si="12"/>
        <v>100</v>
      </c>
      <c r="T39" s="1076" t="s">
        <v>1386</v>
      </c>
      <c r="U39" s="1145">
        <f t="shared" si="13"/>
        <v>100</v>
      </c>
      <c r="V39" s="1076" t="s">
        <v>1386</v>
      </c>
      <c r="W39" s="1145">
        <f t="shared" si="14"/>
        <v>100</v>
      </c>
      <c r="X39" s="1159"/>
      <c r="Y39" s="1142" t="s">
        <v>1407</v>
      </c>
      <c r="Z39" s="1149" t="str">
        <f t="shared" si="15"/>
        <v>物业管理</v>
      </c>
      <c r="AA39" s="1149">
        <f t="shared" si="3"/>
        <v>1</v>
      </c>
      <c r="AB39" s="1149">
        <f t="shared" si="4"/>
        <v>1</v>
      </c>
      <c r="AC39" s="1455">
        <f t="shared" si="5"/>
        <v>1</v>
      </c>
    </row>
    <row r="40" ht="15" spans="1:29">
      <c r="A40" s="1050"/>
      <c r="B40" s="999" t="s">
        <v>1413</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1386</v>
      </c>
      <c r="S40" s="1145">
        <f t="shared" si="12"/>
        <v>100</v>
      </c>
      <c r="T40" s="1076" t="s">
        <v>1386</v>
      </c>
      <c r="U40" s="1145">
        <f t="shared" si="13"/>
        <v>100</v>
      </c>
      <c r="V40" s="1076" t="s">
        <v>1386</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1473</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1386</v>
      </c>
      <c r="S41" s="1145">
        <f t="shared" si="12"/>
        <v>100</v>
      </c>
      <c r="T41" s="1076" t="s">
        <v>1386</v>
      </c>
      <c r="U41" s="1145">
        <f t="shared" si="13"/>
        <v>100</v>
      </c>
      <c r="V41" s="1076" t="s">
        <v>1386</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1483</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1386</v>
      </c>
      <c r="S42" s="1171">
        <f t="shared" si="12"/>
        <v>100</v>
      </c>
      <c r="T42" s="1170" t="s">
        <v>1386</v>
      </c>
      <c r="U42" s="1171">
        <f t="shared" si="13"/>
        <v>100</v>
      </c>
      <c r="V42" s="1170" t="s">
        <v>1386</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1416</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1386</v>
      </c>
      <c r="S43" s="1145">
        <f t="shared" si="12"/>
        <v>100</v>
      </c>
      <c r="T43" s="1076" t="s">
        <v>1386</v>
      </c>
      <c r="U43" s="1145">
        <f t="shared" si="13"/>
        <v>100</v>
      </c>
      <c r="V43" s="1076" t="s">
        <v>1386</v>
      </c>
      <c r="W43" s="1145">
        <f t="shared" si="14"/>
        <v>100</v>
      </c>
      <c r="X43" s="1159"/>
      <c r="Y43" s="1142"/>
      <c r="Z43" s="1149" t="str">
        <f t="shared" si="15"/>
        <v>内部装修</v>
      </c>
      <c r="AA43" s="1149">
        <f t="shared" si="3"/>
        <v>1</v>
      </c>
      <c r="AB43" s="1149">
        <f t="shared" si="4"/>
        <v>1</v>
      </c>
      <c r="AC43" s="1455">
        <f t="shared" si="5"/>
        <v>1</v>
      </c>
    </row>
    <row r="44" ht="28.8" spans="1:29">
      <c r="A44" s="1050"/>
      <c r="B44" s="999" t="s">
        <v>1417</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1386</v>
      </c>
      <c r="S44" s="1145">
        <f t="shared" si="12"/>
        <v>100</v>
      </c>
      <c r="T44" s="1076" t="s">
        <v>1386</v>
      </c>
      <c r="U44" s="1145">
        <f t="shared" si="13"/>
        <v>100</v>
      </c>
      <c r="V44" s="1076" t="s">
        <v>1386</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1386</v>
      </c>
      <c r="S45" s="1167">
        <f t="shared" si="12"/>
        <v>100</v>
      </c>
      <c r="T45" s="1122" t="s">
        <v>1386</v>
      </c>
      <c r="U45" s="1167">
        <f t="shared" si="13"/>
        <v>100</v>
      </c>
      <c r="V45" s="1122" t="s">
        <v>1386</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1386</v>
      </c>
      <c r="S46" s="1145">
        <f t="shared" si="12"/>
        <v>100</v>
      </c>
      <c r="T46" s="1076" t="s">
        <v>1386</v>
      </c>
      <c r="U46" s="1145">
        <f t="shared" si="13"/>
        <v>100</v>
      </c>
      <c r="V46" s="1076" t="s">
        <v>1386</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1386</v>
      </c>
      <c r="S47" s="1145">
        <f t="shared" si="12"/>
        <v>100</v>
      </c>
      <c r="T47" s="1076" t="s">
        <v>1386</v>
      </c>
      <c r="U47" s="1145">
        <f t="shared" si="13"/>
        <v>100</v>
      </c>
      <c r="V47" s="1076" t="s">
        <v>1386</v>
      </c>
      <c r="W47" s="1145">
        <f t="shared" si="14"/>
        <v>100</v>
      </c>
      <c r="X47" s="1159"/>
      <c r="Y47" s="1415"/>
      <c r="Z47" s="1149">
        <f t="shared" si="15"/>
        <v>111</v>
      </c>
      <c r="AA47" s="1149">
        <f t="shared" si="3"/>
        <v>1</v>
      </c>
      <c r="AB47" s="1149">
        <f t="shared" si="4"/>
        <v>1</v>
      </c>
      <c r="AC47" s="1455">
        <f t="shared" si="5"/>
        <v>1</v>
      </c>
    </row>
    <row r="48" ht="14.4" spans="1:29">
      <c r="A48" s="1057" t="s">
        <v>1418</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1419</v>
      </c>
      <c r="B49" s="1335"/>
      <c r="C49" s="1070" t="e">
        <f>R50</f>
        <v>#DIV/0!</v>
      </c>
      <c r="D49" s="1068" t="s">
        <v>1420</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1421</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1422</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1423</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1424</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1425</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1384</v>
      </c>
      <c r="B59" s="1337"/>
      <c r="C59" s="1185" t="str">
        <f>YEAR(C7)&amp;"-"&amp;MONTH(C7)</f>
        <v>2022-8</v>
      </c>
      <c r="D59" s="1219">
        <f>EDATE(C59,-1)</f>
        <v>44743</v>
      </c>
      <c r="E59" s="1219">
        <f>EDATE(D59,-1)</f>
        <v>44713</v>
      </c>
      <c r="F59" s="1219">
        <f t="shared" ref="F59:O59" si="16">EDATE(E59,-1)</f>
        <v>44682</v>
      </c>
      <c r="G59" s="1219">
        <f t="shared" si="16"/>
        <v>44652</v>
      </c>
      <c r="H59" s="1219">
        <f t="shared" si="16"/>
        <v>44621</v>
      </c>
      <c r="I59" s="1219">
        <f t="shared" si="16"/>
        <v>44593</v>
      </c>
      <c r="J59" s="1219">
        <f t="shared" si="16"/>
        <v>44562</v>
      </c>
      <c r="K59" s="1219">
        <f t="shared" si="16"/>
        <v>44531</v>
      </c>
      <c r="L59" s="1219">
        <f t="shared" si="16"/>
        <v>44501</v>
      </c>
      <c r="M59" s="1219">
        <f t="shared" si="16"/>
        <v>44470</v>
      </c>
      <c r="N59" s="1219">
        <f t="shared" si="16"/>
        <v>44440</v>
      </c>
      <c r="O59" s="1219">
        <f t="shared" si="16"/>
        <v>44409</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1426</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1387</v>
      </c>
      <c r="B62" s="1194"/>
      <c r="C62" s="1195" t="s">
        <v>1388</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1427</v>
      </c>
      <c r="B64" s="1199" t="s">
        <v>1391</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1394</v>
      </c>
      <c r="C66" s="1203" t="s">
        <v>1428</v>
      </c>
      <c r="D66" s="1203" t="s">
        <v>1429</v>
      </c>
      <c r="E66" s="1203" t="s">
        <v>1430</v>
      </c>
      <c r="F66" s="1203" t="s">
        <v>1431</v>
      </c>
      <c r="G66" s="1203" t="s">
        <v>1432</v>
      </c>
      <c r="H66" s="1203" t="s">
        <v>1433</v>
      </c>
      <c r="I66" s="1203" t="s">
        <v>1434</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1476</v>
      </c>
      <c r="D67" s="1205" t="s">
        <v>1476</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1395</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1396</v>
      </c>
      <c r="B77" s="1199" t="s">
        <v>1479</v>
      </c>
      <c r="C77" s="1219" t="s">
        <v>1435</v>
      </c>
      <c r="D77" s="1219" t="s">
        <v>1436</v>
      </c>
      <c r="E77" s="1219" t="s">
        <v>1437</v>
      </c>
      <c r="F77" s="1219" t="s">
        <v>1438</v>
      </c>
      <c r="G77" s="1219" t="s">
        <v>1439</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1399</v>
      </c>
      <c r="C79" s="1220" t="s">
        <v>1435</v>
      </c>
      <c r="D79" s="1220" t="s">
        <v>1436</v>
      </c>
      <c r="E79" s="1220" t="s">
        <v>1437</v>
      </c>
      <c r="F79" s="1220" t="s">
        <v>1438</v>
      </c>
      <c r="G79" s="1220" t="s">
        <v>1439</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1400</v>
      </c>
      <c r="C81" s="1220" t="s">
        <v>1435</v>
      </c>
      <c r="D81" s="1220" t="s">
        <v>1436</v>
      </c>
      <c r="E81" s="1220" t="s">
        <v>1437</v>
      </c>
      <c r="F81" s="1220" t="s">
        <v>1438</v>
      </c>
      <c r="G81" s="1220" t="s">
        <v>1439</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1401</v>
      </c>
      <c r="C83" s="1134" t="s">
        <v>1440</v>
      </c>
      <c r="D83" s="1134" t="s">
        <v>1441</v>
      </c>
      <c r="E83" s="1134" t="s">
        <v>1442</v>
      </c>
      <c r="F83" s="1134" t="s">
        <v>1443</v>
      </c>
      <c r="G83" s="1134" t="s">
        <v>1444</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1480</v>
      </c>
      <c r="C85" s="1220" t="s">
        <v>1435</v>
      </c>
      <c r="D85" s="1220" t="s">
        <v>1436</v>
      </c>
      <c r="E85" s="1220" t="s">
        <v>1437</v>
      </c>
      <c r="F85" s="1220" t="s">
        <v>1438</v>
      </c>
      <c r="G85" s="1220" t="s">
        <v>1439</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1481</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1405</v>
      </c>
      <c r="B101" s="1199" t="s">
        <v>1406</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1408</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1409</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1411</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539</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1482</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1412</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1413</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1484</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1474</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1416</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1417</v>
      </c>
      <c r="C125" s="1220" t="s">
        <v>1435</v>
      </c>
      <c r="D125" s="1220" t="s">
        <v>1436</v>
      </c>
      <c r="E125" s="1220" t="s">
        <v>1437</v>
      </c>
      <c r="F125" s="1220" t="s">
        <v>1438</v>
      </c>
      <c r="G125" s="1220" t="s">
        <v>1439</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1365</v>
      </c>
      <c r="B1" s="1400" t="s">
        <v>1485</v>
      </c>
      <c r="C1" s="1311" t="s">
        <v>1367</v>
      </c>
      <c r="D1" s="1312"/>
      <c r="E1" s="1313"/>
      <c r="F1" s="1314"/>
      <c r="G1" s="1315" t="s">
        <v>1369</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886</v>
      </c>
      <c r="B2" s="1317" t="e">
        <f ca="1">IF(C2="——",ROUND(C43*D3/10000,0),ROUND(C43*D3/10000,0)-D2)</f>
        <v>#DIV/0!</v>
      </c>
      <c r="C2" s="1318"/>
      <c r="D2" s="1279" t="e">
        <f ca="1">SUMIF(INDIRECT("'"&amp;F2&amp;"'"&amp;"!A:A"),"承租人权益价值",INDIRECT("'"&amp;F2&amp;"'"&amp;"!c:c"))</f>
        <v>#REF!</v>
      </c>
      <c r="E2" s="1319" t="s">
        <v>887</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888</v>
      </c>
      <c r="B3" s="966" t="e">
        <f ca="1">IF(C2="——",C43,ROUND(B2*10000/D3,0))</f>
        <v>#DIV/0!</v>
      </c>
      <c r="C3" s="1321" t="s">
        <v>1370</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1371</v>
      </c>
      <c r="B4" s="969"/>
      <c r="C4" s="970" t="s">
        <v>1372</v>
      </c>
      <c r="D4" s="971"/>
      <c r="E4" s="972" t="s">
        <v>1373</v>
      </c>
      <c r="F4" s="973"/>
      <c r="G4" s="970" t="s">
        <v>1374</v>
      </c>
      <c r="H4" s="971"/>
      <c r="I4" s="970" t="s">
        <v>1375</v>
      </c>
      <c r="J4" s="971"/>
      <c r="K4" s="1114" t="s">
        <v>1376</v>
      </c>
      <c r="L4" s="1402"/>
      <c r="M4" s="1403"/>
      <c r="N4" s="1403"/>
      <c r="O4" s="1403"/>
      <c r="P4" s="1117" t="s">
        <v>1377</v>
      </c>
      <c r="Q4" s="1156"/>
      <c r="R4" s="1157" t="s">
        <v>1373</v>
      </c>
      <c r="S4" s="1158"/>
      <c r="T4" s="1157" t="s">
        <v>1374</v>
      </c>
      <c r="U4" s="1158"/>
      <c r="V4" s="1149" t="s">
        <v>1375</v>
      </c>
      <c r="W4" s="1149"/>
      <c r="X4" s="1159"/>
      <c r="Y4" s="1157" t="s">
        <v>1377</v>
      </c>
      <c r="Z4" s="1158"/>
      <c r="AA4" s="1178" t="s">
        <v>1373</v>
      </c>
      <c r="AB4" s="1159" t="s">
        <v>1374</v>
      </c>
      <c r="AC4" s="1178" t="s">
        <v>1375</v>
      </c>
    </row>
    <row r="5" spans="1:29">
      <c r="A5" s="974"/>
      <c r="B5" s="975"/>
      <c r="C5" s="976" t="s">
        <v>1378</v>
      </c>
      <c r="D5" s="977"/>
      <c r="E5" s="978" t="s">
        <v>1379</v>
      </c>
      <c r="F5" s="979"/>
      <c r="G5" s="976" t="s">
        <v>1380</v>
      </c>
      <c r="H5" s="977"/>
      <c r="I5" s="976" t="s">
        <v>1381</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1382</v>
      </c>
      <c r="D6" s="1281"/>
      <c r="E6" s="1282" t="s">
        <v>1382</v>
      </c>
      <c r="F6" s="1283"/>
      <c r="G6" s="1280" t="s">
        <v>1382</v>
      </c>
      <c r="H6" s="1281"/>
      <c r="I6" s="1280" t="s">
        <v>1382</v>
      </c>
      <c r="J6" s="1281"/>
      <c r="K6" s="1114" t="s">
        <v>1383</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40" si="3">D8/F8</f>
        <v>#DIV/0!</v>
      </c>
      <c r="AB8" s="1180" t="e">
        <f t="shared" ref="AB8:AB40" si="4">D8/H8</f>
        <v>#DIV/0!</v>
      </c>
      <c r="AC8" s="1180" t="e">
        <f t="shared" ref="AC8:AC40" si="5">D8/J8</f>
        <v>#DIV/0!</v>
      </c>
    </row>
    <row r="9" s="952" customFormat="1" ht="14.4" spans="1:29">
      <c r="A9" s="994" t="s">
        <v>1390</v>
      </c>
      <c r="B9" s="995" t="s">
        <v>1391</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180">
        <f t="shared" si="5"/>
        <v>1</v>
      </c>
    </row>
    <row r="10" s="953" customFormat="1" ht="28.8" spans="1:29">
      <c r="A10" s="998"/>
      <c r="B10" s="999" t="s">
        <v>1394</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1395</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180">
        <f t="shared" si="5"/>
        <v>1</v>
      </c>
    </row>
    <row r="15" ht="72" spans="1:29">
      <c r="A15" s="1016" t="s">
        <v>1396</v>
      </c>
      <c r="B15" s="1285" t="s">
        <v>1486</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1398</v>
      </c>
      <c r="Q15" s="1092" t="str">
        <f t="shared" si="6"/>
        <v>产业集聚程度</v>
      </c>
      <c r="R15" s="1076" t="s">
        <v>1386</v>
      </c>
      <c r="S15" s="1145">
        <f t="shared" si="0"/>
        <v>100</v>
      </c>
      <c r="T15" s="1076" t="s">
        <v>1386</v>
      </c>
      <c r="U15" s="1145">
        <f t="shared" si="1"/>
        <v>100</v>
      </c>
      <c r="V15" s="1076" t="s">
        <v>1386</v>
      </c>
      <c r="W15" s="1145">
        <f t="shared" si="2"/>
        <v>100</v>
      </c>
      <c r="X15" s="1159"/>
      <c r="Y15" s="1133" t="s">
        <v>1398</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1399</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1386</v>
      </c>
      <c r="S17" s="1145">
        <f>F17</f>
        <v>100</v>
      </c>
      <c r="T17" s="1076" t="s">
        <v>1386</v>
      </c>
      <c r="U17" s="1145">
        <f>H17</f>
        <v>100</v>
      </c>
      <c r="V17" s="1076" t="s">
        <v>1386</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1400</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1386</v>
      </c>
      <c r="S19" s="1145">
        <f>F19</f>
        <v>100</v>
      </c>
      <c r="T19" s="1076" t="s">
        <v>1386</v>
      </c>
      <c r="U19" s="1145">
        <f>H19</f>
        <v>100</v>
      </c>
      <c r="V19" s="1076" t="s">
        <v>1386</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1401</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1386</v>
      </c>
      <c r="S21" s="1145">
        <f>F21</f>
        <v>100</v>
      </c>
      <c r="T21" s="1076" t="s">
        <v>1386</v>
      </c>
      <c r="U21" s="1145">
        <f>H21</f>
        <v>100</v>
      </c>
      <c r="V21" s="1076" t="s">
        <v>1386</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1480</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1386</v>
      </c>
      <c r="S23" s="1145">
        <f>F23</f>
        <v>100</v>
      </c>
      <c r="T23" s="1076" t="s">
        <v>1386</v>
      </c>
      <c r="U23" s="1145">
        <f>H23</f>
        <v>100</v>
      </c>
      <c r="V23" s="1076" t="s">
        <v>1386</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1386</v>
      </c>
      <c r="S25" s="1145">
        <f>F25</f>
        <v>100</v>
      </c>
      <c r="T25" s="1076" t="s">
        <v>1386</v>
      </c>
      <c r="U25" s="1145">
        <f>H25</f>
        <v>100</v>
      </c>
      <c r="V25" s="1076" t="s">
        <v>1386</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1386</v>
      </c>
      <c r="S26" s="1145">
        <f>F26</f>
        <v>100</v>
      </c>
      <c r="T26" s="1076" t="s">
        <v>1386</v>
      </c>
      <c r="U26" s="1145">
        <f>H26</f>
        <v>100</v>
      </c>
      <c r="V26" s="1076" t="s">
        <v>1386</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1386</v>
      </c>
      <c r="S27" s="1167">
        <f>F27</f>
        <v>100</v>
      </c>
      <c r="T27" s="1122" t="s">
        <v>1386</v>
      </c>
      <c r="U27" s="1167">
        <f>H27</f>
        <v>100</v>
      </c>
      <c r="V27" s="1122" t="s">
        <v>1386</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1386</v>
      </c>
      <c r="S28" s="1145">
        <f t="shared" ref="S28:S40" si="12">F28</f>
        <v>100</v>
      </c>
      <c r="T28" s="1076" t="s">
        <v>1386</v>
      </c>
      <c r="U28" s="1145">
        <f t="shared" ref="U28:U40" si="13">H28</f>
        <v>100</v>
      </c>
      <c r="V28" s="1076" t="s">
        <v>1386</v>
      </c>
      <c r="W28" s="1145">
        <f t="shared" ref="W28:W40" si="14">J28</f>
        <v>100</v>
      </c>
      <c r="X28" s="1159"/>
      <c r="Y28" s="1134"/>
      <c r="Z28" s="1149">
        <f t="shared" ref="Z28:Z40" si="15">Q28</f>
        <v>111</v>
      </c>
      <c r="AA28" s="1149">
        <f t="shared" si="3"/>
        <v>1</v>
      </c>
      <c r="AB28" s="1149">
        <f t="shared" si="4"/>
        <v>1</v>
      </c>
      <c r="AC28" s="1149">
        <f t="shared" si="5"/>
        <v>1</v>
      </c>
    </row>
    <row r="29" ht="30.6" spans="1:29">
      <c r="A29" s="1329" t="s">
        <v>1405</v>
      </c>
      <c r="B29" s="995" t="s">
        <v>1406</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1407</v>
      </c>
      <c r="Q29" s="1092" t="str">
        <f t="shared" si="11"/>
        <v>建筑类型</v>
      </c>
      <c r="R29" s="1076" t="s">
        <v>1386</v>
      </c>
      <c r="S29" s="1145">
        <f t="shared" si="12"/>
        <v>100</v>
      </c>
      <c r="T29" s="1076" t="s">
        <v>1386</v>
      </c>
      <c r="U29" s="1145">
        <f t="shared" si="13"/>
        <v>100</v>
      </c>
      <c r="V29" s="1076" t="s">
        <v>1386</v>
      </c>
      <c r="W29" s="1145">
        <f t="shared" si="14"/>
        <v>100</v>
      </c>
      <c r="X29" s="1159"/>
      <c r="Y29" s="1142" t="s">
        <v>1407</v>
      </c>
      <c r="Z29" s="1149" t="str">
        <f t="shared" si="15"/>
        <v>建筑类型</v>
      </c>
      <c r="AA29" s="1149">
        <f t="shared" si="3"/>
        <v>1</v>
      </c>
      <c r="AB29" s="1149">
        <f t="shared" si="4"/>
        <v>1</v>
      </c>
      <c r="AC29" s="1149">
        <f t="shared" si="5"/>
        <v>1</v>
      </c>
    </row>
    <row r="30" s="954" customFormat="1" ht="15" spans="1:29">
      <c r="A30" s="1055"/>
      <c r="B30" s="999" t="s">
        <v>1408</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1386</v>
      </c>
      <c r="S30" s="1171" t="e">
        <f t="shared" si="12"/>
        <v>#N/A</v>
      </c>
      <c r="T30" s="1170" t="s">
        <v>1386</v>
      </c>
      <c r="U30" s="1171" t="e">
        <f t="shared" si="13"/>
        <v>#N/A</v>
      </c>
      <c r="V30" s="1170" t="s">
        <v>1386</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1409</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1386</v>
      </c>
      <c r="S31" s="1145">
        <f t="shared" si="12"/>
        <v>100</v>
      </c>
      <c r="T31" s="1076" t="s">
        <v>1386</v>
      </c>
      <c r="U31" s="1145">
        <f t="shared" si="13"/>
        <v>100</v>
      </c>
      <c r="V31" s="1076" t="s">
        <v>1386</v>
      </c>
      <c r="W31" s="1145">
        <f t="shared" si="14"/>
        <v>100</v>
      </c>
      <c r="X31" s="1159"/>
      <c r="Y31" s="1142"/>
      <c r="Z31" s="1149" t="str">
        <f t="shared" si="15"/>
        <v>建筑结构</v>
      </c>
      <c r="AA31" s="1149">
        <f t="shared" si="3"/>
        <v>1</v>
      </c>
      <c r="AB31" s="1149">
        <f t="shared" si="4"/>
        <v>1</v>
      </c>
      <c r="AC31" s="1149">
        <f t="shared" si="5"/>
        <v>1</v>
      </c>
    </row>
    <row r="32" ht="15" spans="1:29">
      <c r="A32" s="1050"/>
      <c r="B32" s="999" t="s">
        <v>1411</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1386</v>
      </c>
      <c r="S32" s="1145">
        <f t="shared" si="12"/>
        <v>100</v>
      </c>
      <c r="T32" s="1076" t="s">
        <v>1386</v>
      </c>
      <c r="U32" s="1145">
        <f t="shared" si="13"/>
        <v>100</v>
      </c>
      <c r="V32" s="1076" t="s">
        <v>1386</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539</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1386</v>
      </c>
      <c r="S33" s="1145" t="e">
        <f t="shared" si="12"/>
        <v>#N/A</v>
      </c>
      <c r="T33" s="1076" t="s">
        <v>1386</v>
      </c>
      <c r="U33" s="1145" t="e">
        <f t="shared" si="13"/>
        <v>#N/A</v>
      </c>
      <c r="V33" s="1076" t="s">
        <v>1386</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1412</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1386</v>
      </c>
      <c r="S34" s="1167">
        <f t="shared" si="12"/>
        <v>100</v>
      </c>
      <c r="T34" s="1122" t="s">
        <v>1386</v>
      </c>
      <c r="U34" s="1167">
        <f t="shared" si="13"/>
        <v>100</v>
      </c>
      <c r="V34" s="1122" t="s">
        <v>1386</v>
      </c>
      <c r="W34" s="1167">
        <f t="shared" si="14"/>
        <v>100</v>
      </c>
      <c r="X34" s="1168"/>
      <c r="Y34" s="1142"/>
      <c r="Z34" s="1180" t="str">
        <f t="shared" si="15"/>
        <v>物业管理</v>
      </c>
      <c r="AA34" s="1180">
        <f t="shared" si="3"/>
        <v>1</v>
      </c>
      <c r="AB34" s="1180">
        <f t="shared" si="4"/>
        <v>1</v>
      </c>
      <c r="AC34" s="1180">
        <f t="shared" si="5"/>
        <v>1</v>
      </c>
    </row>
    <row r="35" ht="15" spans="1:29">
      <c r="A35" s="1050"/>
      <c r="B35" s="999" t="s">
        <v>1413</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1407</v>
      </c>
      <c r="Q35" s="1092" t="str">
        <f t="shared" si="11"/>
        <v>市政基础设施</v>
      </c>
      <c r="R35" s="1076" t="s">
        <v>1386</v>
      </c>
      <c r="S35" s="1145">
        <f t="shared" si="12"/>
        <v>100</v>
      </c>
      <c r="T35" s="1076" t="s">
        <v>1386</v>
      </c>
      <c r="U35" s="1145">
        <f t="shared" si="13"/>
        <v>100</v>
      </c>
      <c r="V35" s="1076" t="s">
        <v>1386</v>
      </c>
      <c r="W35" s="1145">
        <f t="shared" si="14"/>
        <v>100</v>
      </c>
      <c r="X35" s="1159"/>
      <c r="Y35" s="1142" t="s">
        <v>1407</v>
      </c>
      <c r="Z35" s="1149" t="str">
        <f t="shared" si="15"/>
        <v>市政基础设施</v>
      </c>
      <c r="AA35" s="1149">
        <f t="shared" si="3"/>
        <v>1</v>
      </c>
      <c r="AB35" s="1149">
        <f t="shared" si="4"/>
        <v>1</v>
      </c>
      <c r="AC35" s="1149">
        <f t="shared" si="5"/>
        <v>1</v>
      </c>
    </row>
    <row r="36" ht="15" spans="1:29">
      <c r="A36" s="1050"/>
      <c r="B36" s="999" t="s">
        <v>1416</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1386</v>
      </c>
      <c r="S36" s="1145">
        <f t="shared" si="12"/>
        <v>100</v>
      </c>
      <c r="T36" s="1076" t="s">
        <v>1386</v>
      </c>
      <c r="U36" s="1145">
        <f t="shared" si="13"/>
        <v>100</v>
      </c>
      <c r="V36" s="1076" t="s">
        <v>1386</v>
      </c>
      <c r="W36" s="1145">
        <f t="shared" si="14"/>
        <v>100</v>
      </c>
      <c r="X36" s="1159"/>
      <c r="Y36" s="1142"/>
      <c r="Z36" s="1149" t="str">
        <f t="shared" si="15"/>
        <v>内部装修</v>
      </c>
      <c r="AA36" s="1149">
        <f t="shared" si="3"/>
        <v>1</v>
      </c>
      <c r="AB36" s="1149">
        <f t="shared" si="4"/>
        <v>1</v>
      </c>
      <c r="AC36" s="1149">
        <f t="shared" si="5"/>
        <v>1</v>
      </c>
    </row>
    <row r="37" ht="15" spans="1:29">
      <c r="A37" s="1050"/>
      <c r="B37" s="999" t="s">
        <v>1487</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1386</v>
      </c>
      <c r="S37" s="1145">
        <f t="shared" si="12"/>
        <v>100</v>
      </c>
      <c r="T37" s="1076" t="s">
        <v>1386</v>
      </c>
      <c r="U37" s="1145">
        <f t="shared" si="13"/>
        <v>100</v>
      </c>
      <c r="V37" s="1076" t="s">
        <v>1386</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1386</v>
      </c>
      <c r="S38" s="1171">
        <f t="shared" si="12"/>
        <v>100</v>
      </c>
      <c r="T38" s="1170" t="s">
        <v>1386</v>
      </c>
      <c r="U38" s="1171">
        <f t="shared" si="13"/>
        <v>100</v>
      </c>
      <c r="V38" s="1170" t="s">
        <v>1386</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1386</v>
      </c>
      <c r="S39" s="1145">
        <f t="shared" si="12"/>
        <v>100</v>
      </c>
      <c r="T39" s="1076" t="s">
        <v>1386</v>
      </c>
      <c r="U39" s="1145">
        <f t="shared" si="13"/>
        <v>100</v>
      </c>
      <c r="V39" s="1076" t="s">
        <v>1386</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1386</v>
      </c>
      <c r="S40" s="1145">
        <f t="shared" si="12"/>
        <v>100</v>
      </c>
      <c r="T40" s="1076" t="s">
        <v>1386</v>
      </c>
      <c r="U40" s="1145">
        <f t="shared" si="13"/>
        <v>100</v>
      </c>
      <c r="V40" s="1076" t="s">
        <v>1386</v>
      </c>
      <c r="W40" s="1145">
        <f t="shared" si="14"/>
        <v>100</v>
      </c>
      <c r="X40" s="1159"/>
      <c r="Y40" s="1415"/>
      <c r="Z40" s="1149">
        <f t="shared" si="15"/>
        <v>111</v>
      </c>
      <c r="AA40" s="1149">
        <f t="shared" si="3"/>
        <v>1</v>
      </c>
      <c r="AB40" s="1149">
        <f t="shared" si="4"/>
        <v>1</v>
      </c>
      <c r="AC40" s="1149">
        <f t="shared" si="5"/>
        <v>1</v>
      </c>
    </row>
    <row r="41" ht="14.4" spans="1:29">
      <c r="A41" s="1057" t="s">
        <v>1418</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1419</v>
      </c>
      <c r="B42" s="1335"/>
      <c r="C42" s="1070" t="e">
        <f>R43</f>
        <v>#DIV/0!</v>
      </c>
      <c r="D42" s="1068" t="s">
        <v>1420</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1421</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1422</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1423</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1424</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1425</v>
      </c>
      <c r="B51" s="1080"/>
      <c r="C51" s="1107"/>
      <c r="D51" s="1107"/>
      <c r="E51" s="1107"/>
      <c r="F51" s="1108"/>
      <c r="G51" s="1108"/>
      <c r="H51" s="1107"/>
      <c r="I51" s="1107"/>
      <c r="J51" s="1107"/>
      <c r="K51" s="1305"/>
      <c r="L51" s="1154"/>
      <c r="M51" s="1154"/>
      <c r="N51" s="1154"/>
      <c r="O51" s="1154"/>
      <c r="P51" s="1418"/>
      <c r="Q51" s="1420"/>
    </row>
    <row r="52" s="952" customFormat="1" ht="14.4" spans="1:16">
      <c r="A52" s="1336" t="s">
        <v>1384</v>
      </c>
      <c r="B52" s="1337"/>
      <c r="C52" s="1185" t="str">
        <f>YEAR(C7)&amp;"-"&amp;MONTH(C7)</f>
        <v>2022-8</v>
      </c>
      <c r="D52" s="1219">
        <f>EDATE(C52,-1)</f>
        <v>44743</v>
      </c>
      <c r="E52" s="1219">
        <f t="shared" ref="E52:O52" si="16">EDATE(D52,-1)</f>
        <v>44713</v>
      </c>
      <c r="F52" s="1219">
        <f t="shared" si="16"/>
        <v>44682</v>
      </c>
      <c r="G52" s="1219">
        <f t="shared" si="16"/>
        <v>44652</v>
      </c>
      <c r="H52" s="1219">
        <f t="shared" si="16"/>
        <v>44621</v>
      </c>
      <c r="I52" s="1219">
        <f t="shared" si="16"/>
        <v>44593</v>
      </c>
      <c r="J52" s="1219">
        <f t="shared" si="16"/>
        <v>44562</v>
      </c>
      <c r="K52" s="1219">
        <f t="shared" si="16"/>
        <v>44531</v>
      </c>
      <c r="L52" s="1219">
        <f t="shared" si="16"/>
        <v>44501</v>
      </c>
      <c r="M52" s="1219">
        <f t="shared" si="16"/>
        <v>44470</v>
      </c>
      <c r="N52" s="1219">
        <f t="shared" si="16"/>
        <v>44440</v>
      </c>
      <c r="O52" s="1219">
        <f t="shared" si="16"/>
        <v>44409</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1426</v>
      </c>
      <c r="B54" s="1190"/>
      <c r="C54" s="1191"/>
      <c r="D54" s="1192"/>
      <c r="E54" s="1192"/>
      <c r="F54" s="1192"/>
      <c r="G54" s="1192"/>
      <c r="H54" s="1192"/>
      <c r="I54" s="1192"/>
      <c r="J54" s="1192"/>
      <c r="K54" s="1192"/>
      <c r="L54" s="1192"/>
      <c r="M54" s="1231"/>
      <c r="N54" s="1421"/>
      <c r="O54" s="1422"/>
      <c r="P54" s="1420"/>
      <c r="Q54" s="1420"/>
    </row>
    <row r="55" s="952" customFormat="1" ht="14.4" spans="1:17">
      <c r="A55" s="1193" t="s">
        <v>1387</v>
      </c>
      <c r="B55" s="1194"/>
      <c r="C55" s="1195" t="s">
        <v>1388</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1427</v>
      </c>
      <c r="B57" s="1199" t="s">
        <v>1391</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1394</v>
      </c>
      <c r="C59" s="1203" t="s">
        <v>1428</v>
      </c>
      <c r="D59" s="1203" t="s">
        <v>1429</v>
      </c>
      <c r="E59" s="1203" t="s">
        <v>1430</v>
      </c>
      <c r="F59" s="1203" t="s">
        <v>1431</v>
      </c>
      <c r="G59" s="1203" t="s">
        <v>1432</v>
      </c>
      <c r="H59" s="1203" t="s">
        <v>1433</v>
      </c>
      <c r="I59" s="1203" t="s">
        <v>1434</v>
      </c>
      <c r="J59" s="1203"/>
      <c r="K59" s="1242"/>
      <c r="L59" s="1243"/>
      <c r="M59" s="1244"/>
      <c r="N59" s="1412"/>
      <c r="O59" s="1412"/>
      <c r="P59" s="1420"/>
      <c r="Q59" s="1420"/>
    </row>
    <row r="60" ht="14.55" spans="1:17">
      <c r="A60" s="1002"/>
      <c r="B60" s="1204"/>
      <c r="C60" s="1205" t="s">
        <v>1476</v>
      </c>
      <c r="D60" s="1205" t="s">
        <v>1476</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1395</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1396</v>
      </c>
      <c r="B70" s="1199" t="s">
        <v>1486</v>
      </c>
      <c r="C70" s="1219" t="s">
        <v>1435</v>
      </c>
      <c r="D70" s="1219" t="s">
        <v>1436</v>
      </c>
      <c r="E70" s="1219" t="s">
        <v>1437</v>
      </c>
      <c r="F70" s="1219" t="s">
        <v>1438</v>
      </c>
      <c r="G70" s="1219" t="s">
        <v>1439</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1399</v>
      </c>
      <c r="C72" s="1220" t="s">
        <v>1435</v>
      </c>
      <c r="D72" s="1220" t="s">
        <v>1436</v>
      </c>
      <c r="E72" s="1220" t="s">
        <v>1437</v>
      </c>
      <c r="F72" s="1220" t="s">
        <v>1438</v>
      </c>
      <c r="G72" s="1220" t="s">
        <v>1439</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1400</v>
      </c>
      <c r="C74" s="1220" t="s">
        <v>1435</v>
      </c>
      <c r="D74" s="1220" t="s">
        <v>1436</v>
      </c>
      <c r="E74" s="1220" t="s">
        <v>1437</v>
      </c>
      <c r="F74" s="1220" t="s">
        <v>1438</v>
      </c>
      <c r="G74" s="1220" t="s">
        <v>1439</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1401</v>
      </c>
      <c r="C76" s="1134" t="s">
        <v>1440</v>
      </c>
      <c r="D76" s="1134" t="s">
        <v>1441</v>
      </c>
      <c r="E76" s="1134" t="s">
        <v>1442</v>
      </c>
      <c r="F76" s="1134" t="s">
        <v>1443</v>
      </c>
      <c r="G76" s="1134" t="s">
        <v>1444</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1480</v>
      </c>
      <c r="C78" s="1220" t="s">
        <v>1435</v>
      </c>
      <c r="D78" s="1220" t="s">
        <v>1436</v>
      </c>
      <c r="E78" s="1220" t="s">
        <v>1437</v>
      </c>
      <c r="F78" s="1220" t="s">
        <v>1438</v>
      </c>
      <c r="G78" s="1220" t="s">
        <v>1439</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1405</v>
      </c>
      <c r="B88" s="1199" t="s">
        <v>1406</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1408</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1409</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1411</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539</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1412</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1413</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1416</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1488</v>
      </c>
      <c r="C106" s="1220" t="s">
        <v>1435</v>
      </c>
      <c r="D106" s="1220" t="s">
        <v>1436</v>
      </c>
      <c r="E106" s="1220" t="s">
        <v>1437</v>
      </c>
      <c r="F106" s="1220" t="s">
        <v>1438</v>
      </c>
      <c r="G106" s="1220" t="s">
        <v>1439</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5.4444444444444" style="957" customWidth="1"/>
    <col min="10" max="15" width="12.2222222222222"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1489</v>
      </c>
      <c r="B1" s="1310"/>
      <c r="C1" s="1311" t="s">
        <v>1367</v>
      </c>
      <c r="D1" s="1312"/>
      <c r="E1" s="1355"/>
      <c r="F1" s="1314"/>
      <c r="G1" s="1356" t="s">
        <v>1369</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886</v>
      </c>
      <c r="B2" s="1317" t="e">
        <f ca="1">IF(C2="——",IF(B37="元/平方米",ROUND(C39*D3/10000,0),ROUND(F3*C39/10000,0)),IF(B37="元/平方米",ROUND(C39*D3/10000,0),ROUND(F3*C39/10000,0))-D2)</f>
        <v>#DIV/0!</v>
      </c>
      <c r="C2" s="1318"/>
      <c r="D2" s="1279" t="e">
        <f ca="1">SUMIF(INDIRECT("'"&amp;F2&amp;"'"&amp;"!A:A"),"承租人权益价值",INDIRECT("'"&amp;F2&amp;"'"&amp;"!c:c"))</f>
        <v>#REF!</v>
      </c>
      <c r="E2" s="1319" t="s">
        <v>887</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888</v>
      </c>
      <c r="B3" s="966" t="e">
        <f ca="1">IF(AND(C2="——",B37="元/平方米"),C39,ROUND(B2*10000/D3,0))</f>
        <v>#DIV/0!</v>
      </c>
      <c r="C3" s="1321" t="s">
        <v>1370</v>
      </c>
      <c r="D3" s="966">
        <f>SUMIF('数据-汇总表'!$C19:$C33,D1,'数据-汇总表'!$E19:$E33)</f>
        <v>0</v>
      </c>
      <c r="E3" s="1321" t="s">
        <v>1490</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1371</v>
      </c>
      <c r="B4" s="969"/>
      <c r="C4" s="970" t="s">
        <v>1372</v>
      </c>
      <c r="D4" s="971"/>
      <c r="E4" s="972" t="s">
        <v>1373</v>
      </c>
      <c r="F4" s="973"/>
      <c r="G4" s="970" t="s">
        <v>1374</v>
      </c>
      <c r="H4" s="971"/>
      <c r="I4" s="970" t="s">
        <v>1375</v>
      </c>
      <c r="J4" s="971"/>
      <c r="K4" s="1114"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59" t="s">
        <v>1374</v>
      </c>
      <c r="AC4" s="1178" t="s">
        <v>1375</v>
      </c>
    </row>
    <row r="5" spans="1:29">
      <c r="A5" s="974"/>
      <c r="B5" s="975"/>
      <c r="C5" s="976" t="s">
        <v>1378</v>
      </c>
      <c r="D5" s="977"/>
      <c r="E5" s="978" t="s">
        <v>1379</v>
      </c>
      <c r="F5" s="979"/>
      <c r="G5" s="976" t="s">
        <v>1380</v>
      </c>
      <c r="H5" s="977"/>
      <c r="I5" s="976" t="s">
        <v>1381</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1382</v>
      </c>
      <c r="D6" s="1281"/>
      <c r="E6" s="1282" t="s">
        <v>1382</v>
      </c>
      <c r="F6" s="1283"/>
      <c r="G6" s="1280" t="s">
        <v>1382</v>
      </c>
      <c r="H6" s="1281"/>
      <c r="I6" s="1280" t="s">
        <v>1382</v>
      </c>
      <c r="J6" s="1281"/>
      <c r="K6" s="1114" t="s">
        <v>1383</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1385</v>
      </c>
      <c r="Q7" s="1166"/>
      <c r="R7" s="1122" t="s">
        <v>1386</v>
      </c>
      <c r="S7" s="1167">
        <f t="shared" ref="S7:S14" si="0">F7</f>
        <v>0</v>
      </c>
      <c r="T7" s="1122" t="s">
        <v>1386</v>
      </c>
      <c r="U7" s="1167">
        <f t="shared" ref="U7:U14" si="1">H7</f>
        <v>0</v>
      </c>
      <c r="V7" s="1122" t="s">
        <v>1386</v>
      </c>
      <c r="W7" s="1167">
        <f t="shared" ref="W7:W14"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36" si="3">D8/F8</f>
        <v>#DIV/0!</v>
      </c>
      <c r="AB8" s="1180" t="e">
        <f t="shared" ref="AB8:AB36" si="4">D8/H8</f>
        <v>#DIV/0!</v>
      </c>
      <c r="AC8" s="1180" t="e">
        <f t="shared" ref="AC8:AC36" si="5">D8/J8</f>
        <v>#DIV/0!</v>
      </c>
    </row>
    <row r="9" s="952" customFormat="1" ht="14.4" spans="1:29">
      <c r="A9" s="1357" t="s">
        <v>1390</v>
      </c>
      <c r="B9" s="1358" t="s">
        <v>1391</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1392</v>
      </c>
      <c r="Q9" s="1169" t="str">
        <f t="shared" ref="Q9:Q14" si="6">B9</f>
        <v>用途</v>
      </c>
      <c r="R9" s="1122" t="s">
        <v>1386</v>
      </c>
      <c r="S9" s="1167">
        <f t="shared" si="0"/>
        <v>100</v>
      </c>
      <c r="T9" s="1122" t="s">
        <v>1386</v>
      </c>
      <c r="U9" s="1167">
        <f t="shared" si="1"/>
        <v>100</v>
      </c>
      <c r="V9" s="1122" t="s">
        <v>1386</v>
      </c>
      <c r="W9" s="1167">
        <f t="shared" si="2"/>
        <v>100</v>
      </c>
      <c r="X9" s="1168"/>
      <c r="Y9" s="1169" t="s">
        <v>1393</v>
      </c>
      <c r="Z9" s="1180" t="str">
        <f t="shared" ref="Z9:Z14" si="7">Q9</f>
        <v>用途</v>
      </c>
      <c r="AA9" s="1180">
        <f t="shared" si="3"/>
        <v>1</v>
      </c>
      <c r="AB9" s="1180">
        <f t="shared" si="4"/>
        <v>1</v>
      </c>
      <c r="AC9" s="1180">
        <f t="shared" si="5"/>
        <v>1</v>
      </c>
    </row>
    <row r="10" s="953" customFormat="1" ht="28.8" spans="1:29">
      <c r="A10" s="1360"/>
      <c r="B10" s="1361" t="s">
        <v>1394</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1386</v>
      </c>
      <c r="S11" s="1167">
        <f t="shared" si="0"/>
        <v>100</v>
      </c>
      <c r="T11" s="1122" t="s">
        <v>1386</v>
      </c>
      <c r="U11" s="1167">
        <f t="shared" si="1"/>
        <v>100</v>
      </c>
      <c r="V11" s="1122" t="s">
        <v>1386</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00.8" spans="1:29">
      <c r="A14" s="968" t="s">
        <v>1396</v>
      </c>
      <c r="B14" s="1017" t="s">
        <v>1399</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1398</v>
      </c>
      <c r="Q14" s="1092" t="str">
        <f t="shared" si="6"/>
        <v>交通便捷度</v>
      </c>
      <c r="R14" s="1076" t="s">
        <v>1386</v>
      </c>
      <c r="S14" s="1145">
        <f t="shared" si="0"/>
        <v>100</v>
      </c>
      <c r="T14" s="1076" t="s">
        <v>1386</v>
      </c>
      <c r="U14" s="1145">
        <f t="shared" si="1"/>
        <v>100</v>
      </c>
      <c r="V14" s="1076" t="s">
        <v>1386</v>
      </c>
      <c r="W14" s="1145">
        <f t="shared" si="2"/>
        <v>100</v>
      </c>
      <c r="X14" s="1159"/>
      <c r="Y14" s="1133" t="s">
        <v>1398</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1400</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1386</v>
      </c>
      <c r="S16" s="1145">
        <f>F16</f>
        <v>100</v>
      </c>
      <c r="T16" s="1076" t="s">
        <v>1386</v>
      </c>
      <c r="U16" s="1145">
        <f>H16</f>
        <v>100</v>
      </c>
      <c r="V16" s="1076" t="s">
        <v>1386</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1401</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1386</v>
      </c>
      <c r="S18" s="1145">
        <f>F18</f>
        <v>100</v>
      </c>
      <c r="T18" s="1076" t="s">
        <v>1386</v>
      </c>
      <c r="U18" s="1145">
        <f>H18</f>
        <v>100</v>
      </c>
      <c r="V18" s="1076" t="s">
        <v>1386</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1402</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1386</v>
      </c>
      <c r="S20" s="1145">
        <f>F20</f>
        <v>100</v>
      </c>
      <c r="T20" s="1076" t="s">
        <v>1386</v>
      </c>
      <c r="U20" s="1145">
        <f>H20</f>
        <v>100</v>
      </c>
      <c r="V20" s="1076" t="s">
        <v>1386</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1470</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1386</v>
      </c>
      <c r="S22" s="1145">
        <f>F22</f>
        <v>100</v>
      </c>
      <c r="T22" s="1076" t="s">
        <v>1386</v>
      </c>
      <c r="U22" s="1145">
        <f>H22</f>
        <v>100</v>
      </c>
      <c r="V22" s="1076" t="s">
        <v>1386</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1386</v>
      </c>
      <c r="S23" s="1145">
        <f>F23</f>
        <v>100</v>
      </c>
      <c r="T23" s="1076" t="s">
        <v>1386</v>
      </c>
      <c r="U23" s="1145">
        <f>H23</f>
        <v>100</v>
      </c>
      <c r="V23" s="1076" t="s">
        <v>1386</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1386</v>
      </c>
      <c r="S24" s="1145">
        <f>F24</f>
        <v>100</v>
      </c>
      <c r="T24" s="1076" t="s">
        <v>1386</v>
      </c>
      <c r="U24" s="1145">
        <f>H24</f>
        <v>100</v>
      </c>
      <c r="V24" s="1076" t="s">
        <v>1386</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1386</v>
      </c>
      <c r="S25" s="1167">
        <f>F25</f>
        <v>100</v>
      </c>
      <c r="T25" s="1122" t="s">
        <v>1386</v>
      </c>
      <c r="U25" s="1167">
        <f>H25</f>
        <v>100</v>
      </c>
      <c r="V25" s="1122" t="s">
        <v>1386</v>
      </c>
      <c r="W25" s="1167">
        <f>J25</f>
        <v>100</v>
      </c>
      <c r="X25" s="1168"/>
      <c r="Y25" s="1134"/>
      <c r="Z25" s="1180">
        <f>Q25</f>
        <v>111</v>
      </c>
      <c r="AA25" s="1149">
        <f t="shared" si="3"/>
        <v>1</v>
      </c>
      <c r="AB25" s="1149">
        <f t="shared" si="4"/>
        <v>1</v>
      </c>
      <c r="AC25" s="1149">
        <f t="shared" si="5"/>
        <v>1</v>
      </c>
    </row>
    <row r="26" ht="30.6" spans="1:29">
      <c r="A26" s="1372" t="s">
        <v>1405</v>
      </c>
      <c r="B26" s="997" t="s">
        <v>1491</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1407</v>
      </c>
      <c r="Q26" s="1092" t="str">
        <f t="shared" si="11"/>
        <v>配套类型</v>
      </c>
      <c r="R26" s="1076" t="s">
        <v>1386</v>
      </c>
      <c r="S26" s="1145">
        <f t="shared" ref="S26:S36" si="12">F26</f>
        <v>100</v>
      </c>
      <c r="T26" s="1076" t="s">
        <v>1386</v>
      </c>
      <c r="U26" s="1145">
        <f t="shared" ref="U26:U36" si="13">H26</f>
        <v>100</v>
      </c>
      <c r="V26" s="1076" t="s">
        <v>1386</v>
      </c>
      <c r="W26" s="1145">
        <f t="shared" ref="W26:W36" si="14">J26</f>
        <v>100</v>
      </c>
      <c r="X26" s="1159"/>
      <c r="Y26" s="1142" t="s">
        <v>1407</v>
      </c>
      <c r="Z26" s="1149" t="str">
        <f t="shared" ref="Z26:Z36" si="15">Q26</f>
        <v>配套类型</v>
      </c>
      <c r="AA26" s="1149">
        <f t="shared" si="3"/>
        <v>1</v>
      </c>
      <c r="AB26" s="1149">
        <f t="shared" si="4"/>
        <v>1</v>
      </c>
      <c r="AC26" s="1149">
        <f t="shared" si="5"/>
        <v>1</v>
      </c>
    </row>
    <row r="27" s="954" customFormat="1" ht="15" spans="1:29">
      <c r="A27" s="1374"/>
      <c r="B27" s="1001" t="s">
        <v>1492</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1386</v>
      </c>
      <c r="S27" s="1171">
        <f t="shared" si="12"/>
        <v>100</v>
      </c>
      <c r="T27" s="1170" t="s">
        <v>1386</v>
      </c>
      <c r="U27" s="1171">
        <f t="shared" si="13"/>
        <v>100</v>
      </c>
      <c r="V27" s="1170" t="s">
        <v>1386</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1411</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1386</v>
      </c>
      <c r="S28" s="1145">
        <f t="shared" si="12"/>
        <v>100</v>
      </c>
      <c r="T28" s="1076" t="s">
        <v>1386</v>
      </c>
      <c r="U28" s="1145">
        <f t="shared" si="13"/>
        <v>100</v>
      </c>
      <c r="V28" s="1076" t="s">
        <v>1386</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1493</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1386</v>
      </c>
      <c r="S29" s="1145" t="e">
        <f t="shared" si="12"/>
        <v>#N/A</v>
      </c>
      <c r="T29" s="1076" t="s">
        <v>1386</v>
      </c>
      <c r="U29" s="1145" t="e">
        <f t="shared" si="13"/>
        <v>#N/A</v>
      </c>
      <c r="V29" s="1076" t="s">
        <v>1386</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1494</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1386</v>
      </c>
      <c r="S30" s="1145">
        <f t="shared" si="12"/>
        <v>100</v>
      </c>
      <c r="T30" s="1076" t="s">
        <v>1386</v>
      </c>
      <c r="U30" s="1145">
        <f t="shared" si="13"/>
        <v>100</v>
      </c>
      <c r="V30" s="1076" t="s">
        <v>1386</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1495</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1386</v>
      </c>
      <c r="S31" s="1167" t="e">
        <f t="shared" si="12"/>
        <v>#N/A</v>
      </c>
      <c r="T31" s="1122" t="s">
        <v>1386</v>
      </c>
      <c r="U31" s="1167" t="e">
        <f t="shared" si="13"/>
        <v>#N/A</v>
      </c>
      <c r="V31" s="1122" t="s">
        <v>1386</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1496</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1407</v>
      </c>
      <c r="Q32" s="1092" t="str">
        <f t="shared" si="11"/>
        <v>车位类型</v>
      </c>
      <c r="R32" s="1076" t="s">
        <v>1386</v>
      </c>
      <c r="S32" s="1145">
        <f t="shared" si="12"/>
        <v>100</v>
      </c>
      <c r="T32" s="1076" t="s">
        <v>1386</v>
      </c>
      <c r="U32" s="1145">
        <f t="shared" si="13"/>
        <v>100</v>
      </c>
      <c r="V32" s="1076" t="s">
        <v>1386</v>
      </c>
      <c r="W32" s="1145">
        <f t="shared" si="14"/>
        <v>100</v>
      </c>
      <c r="X32" s="1159"/>
      <c r="Y32" s="1142" t="s">
        <v>1407</v>
      </c>
      <c r="Z32" s="1149" t="str">
        <f t="shared" si="15"/>
        <v>车位类型</v>
      </c>
      <c r="AA32" s="1149">
        <f t="shared" si="3"/>
        <v>1</v>
      </c>
      <c r="AB32" s="1149">
        <f t="shared" si="4"/>
        <v>1</v>
      </c>
      <c r="AC32" s="1149">
        <f t="shared" si="5"/>
        <v>1</v>
      </c>
    </row>
    <row r="33" ht="15" spans="1:29">
      <c r="A33" s="1375"/>
      <c r="B33" s="1001" t="s">
        <v>1497</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1386</v>
      </c>
      <c r="S33" s="1145">
        <f t="shared" si="12"/>
        <v>100</v>
      </c>
      <c r="T33" s="1076" t="s">
        <v>1386</v>
      </c>
      <c r="U33" s="1145">
        <f t="shared" si="13"/>
        <v>100</v>
      </c>
      <c r="V33" s="1076" t="s">
        <v>1386</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1386</v>
      </c>
      <c r="S34" s="1145">
        <f t="shared" si="12"/>
        <v>100</v>
      </c>
      <c r="T34" s="1076" t="s">
        <v>1386</v>
      </c>
      <c r="U34" s="1145">
        <f t="shared" si="13"/>
        <v>100</v>
      </c>
      <c r="V34" s="1076" t="s">
        <v>1386</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1386</v>
      </c>
      <c r="S35" s="1171">
        <f t="shared" si="12"/>
        <v>100</v>
      </c>
      <c r="T35" s="1170" t="s">
        <v>1386</v>
      </c>
      <c r="U35" s="1171">
        <f t="shared" si="13"/>
        <v>100</v>
      </c>
      <c r="V35" s="1170" t="s">
        <v>1386</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1386</v>
      </c>
      <c r="S36" s="1145">
        <f t="shared" si="12"/>
        <v>100</v>
      </c>
      <c r="T36" s="1076" t="s">
        <v>1386</v>
      </c>
      <c r="U36" s="1145">
        <f t="shared" si="13"/>
        <v>100</v>
      </c>
      <c r="V36" s="1076" t="s">
        <v>1386</v>
      </c>
      <c r="W36" s="1145">
        <f t="shared" si="14"/>
        <v>100</v>
      </c>
      <c r="X36" s="1159"/>
      <c r="Y36" s="1142"/>
      <c r="Z36" s="1149">
        <f t="shared" si="15"/>
        <v>111</v>
      </c>
      <c r="AA36" s="1149">
        <f t="shared" si="3"/>
        <v>1</v>
      </c>
      <c r="AB36" s="1149">
        <f t="shared" si="4"/>
        <v>1</v>
      </c>
      <c r="AC36" s="1149">
        <f t="shared" si="5"/>
        <v>1</v>
      </c>
    </row>
    <row r="37" ht="14.4" spans="1:29">
      <c r="A37" s="1057" t="s">
        <v>1498</v>
      </c>
      <c r="B37" s="1378" t="s">
        <v>1499</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1419</v>
      </c>
      <c r="B38" s="1335" t="str">
        <f>B37</f>
        <v>元/车位</v>
      </c>
      <c r="C38" s="1070" t="e">
        <f>R39</f>
        <v>#DIV/0!</v>
      </c>
      <c r="D38" s="1068" t="s">
        <v>1420</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1500</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1422</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1423</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1424</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1425</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1384</v>
      </c>
      <c r="B48" s="1337"/>
      <c r="C48" s="1185" t="str">
        <f>YEAR(C7)&amp;"-"&amp;MONTH(C7)</f>
        <v>2022-8</v>
      </c>
      <c r="D48" s="1219">
        <f>EDATE(C48,-1)</f>
        <v>44743</v>
      </c>
      <c r="E48" s="1219">
        <f t="shared" ref="E48:O48" si="16">EDATE(D48,-1)</f>
        <v>44713</v>
      </c>
      <c r="F48" s="1219">
        <f t="shared" si="16"/>
        <v>44682</v>
      </c>
      <c r="G48" s="1219">
        <f t="shared" si="16"/>
        <v>44652</v>
      </c>
      <c r="H48" s="1219">
        <f t="shared" si="16"/>
        <v>44621</v>
      </c>
      <c r="I48" s="1219">
        <f t="shared" si="16"/>
        <v>44593</v>
      </c>
      <c r="J48" s="1219">
        <f t="shared" si="16"/>
        <v>44562</v>
      </c>
      <c r="K48" s="1219">
        <f t="shared" si="16"/>
        <v>44531</v>
      </c>
      <c r="L48" s="1219">
        <f t="shared" si="16"/>
        <v>44501</v>
      </c>
      <c r="M48" s="1219">
        <f t="shared" si="16"/>
        <v>44470</v>
      </c>
      <c r="N48" s="1219">
        <f t="shared" si="16"/>
        <v>44440</v>
      </c>
      <c r="O48" s="1219">
        <f t="shared" si="16"/>
        <v>44409</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1426</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1387</v>
      </c>
      <c r="B51" s="1194"/>
      <c r="C51" s="1195" t="s">
        <v>1388</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1427</v>
      </c>
      <c r="B53" s="1199" t="s">
        <v>1391</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1394</v>
      </c>
      <c r="C55" s="1203" t="s">
        <v>1428</v>
      </c>
      <c r="D55" s="1203" t="s">
        <v>1429</v>
      </c>
      <c r="E55" s="1203" t="s">
        <v>1430</v>
      </c>
      <c r="F55" s="1203" t="s">
        <v>1431</v>
      </c>
      <c r="G55" s="1203" t="s">
        <v>1432</v>
      </c>
      <c r="H55" s="1203" t="s">
        <v>1433</v>
      </c>
      <c r="I55" s="1203" t="s">
        <v>1434</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1476</v>
      </c>
      <c r="D56" s="1205" t="s">
        <v>1476</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1396</v>
      </c>
      <c r="B63" s="1199" t="s">
        <v>1399</v>
      </c>
      <c r="C63" s="1219" t="s">
        <v>1435</v>
      </c>
      <c r="D63" s="1219" t="s">
        <v>1436</v>
      </c>
      <c r="E63" s="1219" t="s">
        <v>1437</v>
      </c>
      <c r="F63" s="1219" t="s">
        <v>1438</v>
      </c>
      <c r="G63" s="1219" t="s">
        <v>1439</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1400</v>
      </c>
      <c r="C65" s="1220" t="s">
        <v>1435</v>
      </c>
      <c r="D65" s="1220" t="s">
        <v>1436</v>
      </c>
      <c r="E65" s="1220" t="s">
        <v>1437</v>
      </c>
      <c r="F65" s="1220" t="s">
        <v>1438</v>
      </c>
      <c r="G65" s="1220" t="s">
        <v>1439</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1401</v>
      </c>
      <c r="C67" s="1134" t="s">
        <v>1440</v>
      </c>
      <c r="D67" s="1134" t="s">
        <v>1441</v>
      </c>
      <c r="E67" s="1134" t="s">
        <v>1442</v>
      </c>
      <c r="F67" s="1134" t="s">
        <v>1443</v>
      </c>
      <c r="G67" s="1134" t="s">
        <v>1444</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1402</v>
      </c>
      <c r="C69" s="1220" t="s">
        <v>1435</v>
      </c>
      <c r="D69" s="1220" t="s">
        <v>1436</v>
      </c>
      <c r="E69" s="1220" t="s">
        <v>1437</v>
      </c>
      <c r="F69" s="1220" t="s">
        <v>1438</v>
      </c>
      <c r="G69" s="1220" t="s">
        <v>1439</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1470</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1405</v>
      </c>
      <c r="B79" s="1199" t="s">
        <v>1501</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1492</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1411</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1493</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1494</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1495</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1496</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1497</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7.4" spans="1:1">
      <c r="A14" s="3207" t="s">
        <v>89</v>
      </c>
    </row>
    <row r="15" ht="17.4" spans="1:1">
      <c r="A15" s="3208" t="str">
        <f>TEXT(项目基本情况!D3,"yyyy年m月d日;;")&amp;IF(项目基本情况!D3=项目基本情况!B3,"（评估专业人员实地查勘之日）","")</f>
        <v>2022年8月10日</v>
      </c>
    </row>
    <row r="16" ht="17.4" spans="1:1">
      <c r="A16" s="3207" t="s">
        <v>90</v>
      </c>
    </row>
    <row r="17" ht="69.6" spans="1:1">
      <c r="A17" s="3202" t="s">
        <v>91</v>
      </c>
    </row>
    <row r="18" ht="52.2"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1489</v>
      </c>
      <c r="B1" s="1310"/>
      <c r="C1" s="1311" t="s">
        <v>1367</v>
      </c>
      <c r="D1" s="1312"/>
      <c r="E1" s="1313"/>
      <c r="F1" s="1314"/>
      <c r="G1" s="1315" t="s">
        <v>1369</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886</v>
      </c>
      <c r="B2" s="1317" t="e">
        <f ca="1">IF(C2="——",ROUND(C37*D3/10000,0),ROUND(C37*D3/10000,0)-D2)</f>
        <v>#DIV/0!</v>
      </c>
      <c r="C2" s="1318"/>
      <c r="D2" s="1279" t="e">
        <f ca="1">SUMIF(INDIRECT("'"&amp;F2&amp;"'"&amp;"!A:A"),"承租人权益价值",INDIRECT("'"&amp;F2&amp;"'"&amp;"!c:c"))</f>
        <v>#REF!</v>
      </c>
      <c r="E2" s="1319" t="s">
        <v>887</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888</v>
      </c>
      <c r="B3" s="966" t="e">
        <f ca="1">IF(C2="——",C37,ROUND(B2*10000/D3,0))</f>
        <v>#DIV/0!</v>
      </c>
      <c r="C3" s="1321" t="s">
        <v>1370</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1371</v>
      </c>
      <c r="B4" s="969"/>
      <c r="C4" s="970" t="s">
        <v>1372</v>
      </c>
      <c r="D4" s="971"/>
      <c r="E4" s="972" t="s">
        <v>1373</v>
      </c>
      <c r="F4" s="973"/>
      <c r="G4" s="970" t="s">
        <v>1374</v>
      </c>
      <c r="H4" s="971"/>
      <c r="I4" s="970" t="s">
        <v>1375</v>
      </c>
      <c r="J4" s="971"/>
      <c r="K4" s="1114"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59" t="s">
        <v>1374</v>
      </c>
      <c r="AC4" s="1178" t="s">
        <v>1375</v>
      </c>
    </row>
    <row r="5" spans="1:29">
      <c r="A5" s="974"/>
      <c r="B5" s="975"/>
      <c r="C5" s="976" t="s">
        <v>1378</v>
      </c>
      <c r="D5" s="977"/>
      <c r="E5" s="978" t="s">
        <v>1379</v>
      </c>
      <c r="F5" s="979"/>
      <c r="G5" s="976" t="s">
        <v>1380</v>
      </c>
      <c r="H5" s="977"/>
      <c r="I5" s="976" t="s">
        <v>1381</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1382</v>
      </c>
      <c r="D6" s="1281"/>
      <c r="E6" s="1282" t="s">
        <v>1382</v>
      </c>
      <c r="F6" s="1283"/>
      <c r="G6" s="1280" t="s">
        <v>1382</v>
      </c>
      <c r="H6" s="1281"/>
      <c r="I6" s="1280" t="s">
        <v>1382</v>
      </c>
      <c r="J6" s="1281"/>
      <c r="K6" s="1114" t="s">
        <v>1383</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1385</v>
      </c>
      <c r="Q7" s="1166"/>
      <c r="R7" s="1122" t="s">
        <v>1386</v>
      </c>
      <c r="S7" s="1167">
        <f t="shared" ref="S7:S14" si="0">F7</f>
        <v>0</v>
      </c>
      <c r="T7" s="1122" t="s">
        <v>1386</v>
      </c>
      <c r="U7" s="1167">
        <f t="shared" ref="U7:U14" si="1">H7</f>
        <v>0</v>
      </c>
      <c r="V7" s="1122" t="s">
        <v>1386</v>
      </c>
      <c r="W7" s="1167">
        <f t="shared" ref="W7:W14"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34" si="3">D8/F8</f>
        <v>#DIV/0!</v>
      </c>
      <c r="AB8" s="1180" t="e">
        <f t="shared" ref="AB8:AB34" si="4">D8/H8</f>
        <v>#DIV/0!</v>
      </c>
      <c r="AC8" s="1180" t="e">
        <f t="shared" ref="AC8:AC34" si="5">D8/J8</f>
        <v>#DIV/0!</v>
      </c>
    </row>
    <row r="9" s="952" customFormat="1" ht="14.4" spans="1:29">
      <c r="A9" s="994" t="s">
        <v>1390</v>
      </c>
      <c r="B9" s="995" t="s">
        <v>1391</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1392</v>
      </c>
      <c r="Q9" s="1169" t="str">
        <f t="shared" ref="Q9:Q14" si="6">B9</f>
        <v>用途</v>
      </c>
      <c r="R9" s="1122" t="s">
        <v>1386</v>
      </c>
      <c r="S9" s="1167">
        <f t="shared" si="0"/>
        <v>100</v>
      </c>
      <c r="T9" s="1122" t="s">
        <v>1386</v>
      </c>
      <c r="U9" s="1167">
        <f t="shared" si="1"/>
        <v>100</v>
      </c>
      <c r="V9" s="1122" t="s">
        <v>1386</v>
      </c>
      <c r="W9" s="1167">
        <f t="shared" si="2"/>
        <v>100</v>
      </c>
      <c r="X9" s="1168"/>
      <c r="Y9" s="1169" t="s">
        <v>1393</v>
      </c>
      <c r="Z9" s="1180" t="str">
        <f t="shared" ref="Z9:Z14" si="7">Q9</f>
        <v>用途</v>
      </c>
      <c r="AA9" s="1180">
        <f t="shared" si="3"/>
        <v>1</v>
      </c>
      <c r="AB9" s="1180">
        <f t="shared" si="4"/>
        <v>1</v>
      </c>
      <c r="AC9" s="1180">
        <f t="shared" si="5"/>
        <v>1</v>
      </c>
    </row>
    <row r="10" s="953" customFormat="1" ht="28.8" spans="1:29">
      <c r="A10" s="998"/>
      <c r="B10" s="999" t="s">
        <v>1394</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1386</v>
      </c>
      <c r="S10" s="1167">
        <f t="shared" si="0"/>
        <v>100</v>
      </c>
      <c r="T10" s="1122" t="s">
        <v>1386</v>
      </c>
      <c r="U10" s="1167">
        <f t="shared" si="1"/>
        <v>100</v>
      </c>
      <c r="V10" s="1122" t="s">
        <v>1386</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1386</v>
      </c>
      <c r="S11" s="1167">
        <f t="shared" si="0"/>
        <v>100</v>
      </c>
      <c r="T11" s="1122" t="s">
        <v>1386</v>
      </c>
      <c r="U11" s="1167">
        <f t="shared" si="1"/>
        <v>100</v>
      </c>
      <c r="V11" s="1122" t="s">
        <v>1386</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00.8" spans="1:29">
      <c r="A14" s="1016" t="s">
        <v>1396</v>
      </c>
      <c r="B14" s="1285" t="s">
        <v>1399</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1398</v>
      </c>
      <c r="Q14" s="1092" t="str">
        <f t="shared" si="6"/>
        <v>交通便捷度</v>
      </c>
      <c r="R14" s="1076" t="s">
        <v>1386</v>
      </c>
      <c r="S14" s="1145">
        <f t="shared" si="0"/>
        <v>100</v>
      </c>
      <c r="T14" s="1076" t="s">
        <v>1386</v>
      </c>
      <c r="U14" s="1145">
        <f t="shared" si="1"/>
        <v>100</v>
      </c>
      <c r="V14" s="1076" t="s">
        <v>1386</v>
      </c>
      <c r="W14" s="1145">
        <f t="shared" si="2"/>
        <v>100</v>
      </c>
      <c r="X14" s="1159"/>
      <c r="Y14" s="1133" t="s">
        <v>1398</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1400</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1386</v>
      </c>
      <c r="S16" s="1145">
        <f>F16</f>
        <v>100</v>
      </c>
      <c r="T16" s="1076" t="s">
        <v>1386</v>
      </c>
      <c r="U16" s="1145">
        <f>H16</f>
        <v>100</v>
      </c>
      <c r="V16" s="1076" t="s">
        <v>1386</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1401</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1386</v>
      </c>
      <c r="S18" s="1145">
        <f>F18</f>
        <v>100</v>
      </c>
      <c r="T18" s="1076" t="s">
        <v>1386</v>
      </c>
      <c r="U18" s="1145">
        <f>H18</f>
        <v>100</v>
      </c>
      <c r="V18" s="1076" t="s">
        <v>1386</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1402</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1386</v>
      </c>
      <c r="S20" s="1145">
        <f>F20</f>
        <v>100</v>
      </c>
      <c r="T20" s="1076" t="s">
        <v>1386</v>
      </c>
      <c r="U20" s="1145">
        <f>H20</f>
        <v>100</v>
      </c>
      <c r="V20" s="1076" t="s">
        <v>1386</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1470</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1386</v>
      </c>
      <c r="S22" s="1145">
        <f>F22</f>
        <v>100</v>
      </c>
      <c r="T22" s="1076" t="s">
        <v>1386</v>
      </c>
      <c r="U22" s="1145">
        <f>H22</f>
        <v>100</v>
      </c>
      <c r="V22" s="1076" t="s">
        <v>1386</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1386</v>
      </c>
      <c r="S23" s="1145">
        <f>F23</f>
        <v>100</v>
      </c>
      <c r="T23" s="1076" t="s">
        <v>1386</v>
      </c>
      <c r="U23" s="1145">
        <f>H23</f>
        <v>100</v>
      </c>
      <c r="V23" s="1076" t="s">
        <v>1386</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1386</v>
      </c>
      <c r="S24" s="1145">
        <f>F24</f>
        <v>100</v>
      </c>
      <c r="T24" s="1076" t="s">
        <v>1386</v>
      </c>
      <c r="U24" s="1145">
        <f>H24</f>
        <v>100</v>
      </c>
      <c r="V24" s="1076" t="s">
        <v>1386</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1386</v>
      </c>
      <c r="S25" s="1167">
        <f>F25</f>
        <v>100</v>
      </c>
      <c r="T25" s="1122" t="s">
        <v>1386</v>
      </c>
      <c r="U25" s="1167">
        <f>H25</f>
        <v>100</v>
      </c>
      <c r="V25" s="1122" t="s">
        <v>1386</v>
      </c>
      <c r="W25" s="1167">
        <f>J25</f>
        <v>100</v>
      </c>
      <c r="X25" s="1168"/>
      <c r="Y25" s="1134"/>
      <c r="Z25" s="1180">
        <f>Q25</f>
        <v>111</v>
      </c>
      <c r="AA25" s="1149">
        <f t="shared" si="3"/>
        <v>1</v>
      </c>
      <c r="AB25" s="1149">
        <f t="shared" si="4"/>
        <v>1</v>
      </c>
      <c r="AC25" s="1149">
        <f t="shared" si="5"/>
        <v>1</v>
      </c>
    </row>
    <row r="26" ht="30.6" spans="1:29">
      <c r="A26" s="1329" t="s">
        <v>1405</v>
      </c>
      <c r="B26" s="995" t="s">
        <v>1411</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1407</v>
      </c>
      <c r="Q26" s="1092" t="str">
        <f t="shared" si="11"/>
        <v>公共部分装修</v>
      </c>
      <c r="R26" s="1076" t="s">
        <v>1386</v>
      </c>
      <c r="S26" s="1145">
        <f t="shared" ref="S26:S34" si="12">F26</f>
        <v>100</v>
      </c>
      <c r="T26" s="1076" t="s">
        <v>1386</v>
      </c>
      <c r="U26" s="1145">
        <f t="shared" ref="U26:U34" si="13">H26</f>
        <v>100</v>
      </c>
      <c r="V26" s="1076" t="s">
        <v>1386</v>
      </c>
      <c r="W26" s="1145">
        <f t="shared" ref="W26:W34" si="14">J26</f>
        <v>100</v>
      </c>
      <c r="X26" s="1159"/>
      <c r="Y26" s="1142" t="s">
        <v>1407</v>
      </c>
      <c r="Z26" s="1149" t="str">
        <f t="shared" ref="Z26:Z34" si="15">Q26</f>
        <v>公共部分装修</v>
      </c>
      <c r="AA26" s="1149">
        <f t="shared" si="3"/>
        <v>1</v>
      </c>
      <c r="AB26" s="1149">
        <f t="shared" si="4"/>
        <v>1</v>
      </c>
      <c r="AC26" s="1149">
        <f t="shared" si="5"/>
        <v>1</v>
      </c>
    </row>
    <row r="27" s="954" customFormat="1" ht="15" spans="1:29">
      <c r="A27" s="1055"/>
      <c r="B27" s="999" t="s">
        <v>1493</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1386</v>
      </c>
      <c r="S27" s="1171" t="e">
        <f t="shared" si="12"/>
        <v>#N/A</v>
      </c>
      <c r="T27" s="1170" t="s">
        <v>1386</v>
      </c>
      <c r="U27" s="1171" t="e">
        <f t="shared" si="13"/>
        <v>#N/A</v>
      </c>
      <c r="V27" s="1170" t="s">
        <v>1386</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1494</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1386</v>
      </c>
      <c r="S28" s="1145">
        <f t="shared" si="12"/>
        <v>100</v>
      </c>
      <c r="T28" s="1076" t="s">
        <v>1386</v>
      </c>
      <c r="U28" s="1145">
        <f t="shared" si="13"/>
        <v>100</v>
      </c>
      <c r="V28" s="1076" t="s">
        <v>1386</v>
      </c>
      <c r="W28" s="1145">
        <f t="shared" si="14"/>
        <v>100</v>
      </c>
      <c r="X28" s="1159"/>
      <c r="Y28" s="1142"/>
      <c r="Z28" s="1149" t="str">
        <f t="shared" si="15"/>
        <v>物业等级</v>
      </c>
      <c r="AA28" s="1149">
        <f t="shared" si="3"/>
        <v>1</v>
      </c>
      <c r="AB28" s="1149">
        <f t="shared" si="4"/>
        <v>1</v>
      </c>
      <c r="AC28" s="1149">
        <f t="shared" si="5"/>
        <v>1</v>
      </c>
    </row>
    <row r="29" ht="15" spans="1:29">
      <c r="A29" s="1050"/>
      <c r="B29" s="999" t="s">
        <v>1502</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1386</v>
      </c>
      <c r="S29" s="1145">
        <f t="shared" si="12"/>
        <v>100</v>
      </c>
      <c r="T29" s="1076" t="s">
        <v>1386</v>
      </c>
      <c r="U29" s="1145">
        <f t="shared" si="13"/>
        <v>100</v>
      </c>
      <c r="V29" s="1076" t="s">
        <v>1386</v>
      </c>
      <c r="W29" s="1145">
        <f t="shared" si="14"/>
        <v>100</v>
      </c>
      <c r="X29" s="1159"/>
      <c r="Y29" s="1142"/>
      <c r="Z29" s="1149" t="str">
        <f t="shared" si="15"/>
        <v>有无电梯</v>
      </c>
      <c r="AA29" s="1149">
        <f t="shared" si="3"/>
        <v>1</v>
      </c>
      <c r="AB29" s="1149">
        <f t="shared" si="4"/>
        <v>1</v>
      </c>
      <c r="AC29" s="1149">
        <f t="shared" si="5"/>
        <v>1</v>
      </c>
    </row>
    <row r="30" ht="15" spans="1:29">
      <c r="A30" s="1050"/>
      <c r="B30" s="999" t="s">
        <v>500</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1386</v>
      </c>
      <c r="S30" s="1145" t="e">
        <f t="shared" si="12"/>
        <v>#N/A</v>
      </c>
      <c r="T30" s="1076" t="s">
        <v>1386</v>
      </c>
      <c r="U30" s="1145" t="e">
        <f t="shared" si="13"/>
        <v>#N/A</v>
      </c>
      <c r="V30" s="1076" t="s">
        <v>1386</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1503</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1386</v>
      </c>
      <c r="S31" s="1167">
        <f t="shared" si="12"/>
        <v>100</v>
      </c>
      <c r="T31" s="1122" t="s">
        <v>1386</v>
      </c>
      <c r="U31" s="1167">
        <f t="shared" si="13"/>
        <v>100</v>
      </c>
      <c r="V31" s="1122" t="s">
        <v>1386</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1407</v>
      </c>
      <c r="Q32" s="1092">
        <f t="shared" si="11"/>
        <v>111</v>
      </c>
      <c r="R32" s="1076" t="s">
        <v>1386</v>
      </c>
      <c r="S32" s="1145">
        <f t="shared" si="12"/>
        <v>100</v>
      </c>
      <c r="T32" s="1076" t="s">
        <v>1386</v>
      </c>
      <c r="U32" s="1145">
        <f t="shared" si="13"/>
        <v>100</v>
      </c>
      <c r="V32" s="1076" t="s">
        <v>1386</v>
      </c>
      <c r="W32" s="1145">
        <f t="shared" si="14"/>
        <v>100</v>
      </c>
      <c r="X32" s="1159"/>
      <c r="Y32" s="1142" t="s">
        <v>1407</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1386</v>
      </c>
      <c r="S33" s="1145">
        <f t="shared" si="12"/>
        <v>100</v>
      </c>
      <c r="T33" s="1076" t="s">
        <v>1386</v>
      </c>
      <c r="U33" s="1145">
        <f t="shared" si="13"/>
        <v>100</v>
      </c>
      <c r="V33" s="1076" t="s">
        <v>1386</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1386</v>
      </c>
      <c r="S34" s="1145">
        <f t="shared" si="12"/>
        <v>100</v>
      </c>
      <c r="T34" s="1076" t="s">
        <v>1386</v>
      </c>
      <c r="U34" s="1145">
        <f t="shared" si="13"/>
        <v>100</v>
      </c>
      <c r="V34" s="1076" t="s">
        <v>1386</v>
      </c>
      <c r="W34" s="1145">
        <f t="shared" si="14"/>
        <v>100</v>
      </c>
      <c r="X34" s="1159"/>
      <c r="Y34" s="1142"/>
      <c r="Z34" s="1149">
        <f t="shared" si="15"/>
        <v>111</v>
      </c>
      <c r="AA34" s="1149">
        <f t="shared" si="3"/>
        <v>1</v>
      </c>
      <c r="AB34" s="1149">
        <f t="shared" si="4"/>
        <v>1</v>
      </c>
      <c r="AC34" s="1149">
        <f t="shared" si="5"/>
        <v>1</v>
      </c>
    </row>
    <row r="35" ht="14.4" spans="1:29">
      <c r="A35" s="1057" t="s">
        <v>1418</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1419</v>
      </c>
      <c r="B36" s="1335"/>
      <c r="C36" s="1070" t="e">
        <f>R37</f>
        <v>#DIV/0!</v>
      </c>
      <c r="D36" s="1068" t="s">
        <v>1420</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1421</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1422</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1423</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1424</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1425</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1384</v>
      </c>
      <c r="B46" s="1337"/>
      <c r="C46" s="1185" t="str">
        <f>YEAR(C7)&amp;"-"&amp;MONTH(C7)</f>
        <v>2022-8</v>
      </c>
      <c r="D46" s="1219">
        <f>EDATE(C46,-1)</f>
        <v>44743</v>
      </c>
      <c r="E46" s="1219">
        <f t="shared" ref="E46:O46" si="16">EDATE(D46,-1)</f>
        <v>44713</v>
      </c>
      <c r="F46" s="1219">
        <f t="shared" si="16"/>
        <v>44682</v>
      </c>
      <c r="G46" s="1219">
        <f t="shared" si="16"/>
        <v>44652</v>
      </c>
      <c r="H46" s="1219">
        <f t="shared" si="16"/>
        <v>44621</v>
      </c>
      <c r="I46" s="1219">
        <f t="shared" si="16"/>
        <v>44593</v>
      </c>
      <c r="J46" s="1219">
        <f t="shared" si="16"/>
        <v>44562</v>
      </c>
      <c r="K46" s="1219">
        <f t="shared" si="16"/>
        <v>44531</v>
      </c>
      <c r="L46" s="1219">
        <f t="shared" si="16"/>
        <v>44501</v>
      </c>
      <c r="M46" s="1219">
        <f t="shared" si="16"/>
        <v>44470</v>
      </c>
      <c r="N46" s="1219">
        <f t="shared" si="16"/>
        <v>44440</v>
      </c>
      <c r="O46" s="1219">
        <f t="shared" si="16"/>
        <v>44409</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1426</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1387</v>
      </c>
      <c r="B49" s="1194"/>
      <c r="C49" s="1195" t="s">
        <v>1388</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1427</v>
      </c>
      <c r="B51" s="1199" t="s">
        <v>1391</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1394</v>
      </c>
      <c r="C53" s="1203" t="s">
        <v>1428</v>
      </c>
      <c r="D53" s="1203" t="s">
        <v>1429</v>
      </c>
      <c r="E53" s="1203" t="s">
        <v>1430</v>
      </c>
      <c r="F53" s="1203" t="s">
        <v>1431</v>
      </c>
      <c r="G53" s="1203" t="s">
        <v>1432</v>
      </c>
      <c r="H53" s="1203" t="s">
        <v>1433</v>
      </c>
      <c r="I53" s="1203" t="s">
        <v>1434</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1476</v>
      </c>
      <c r="D54" s="1205" t="s">
        <v>1476</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1396</v>
      </c>
      <c r="B61" s="1199" t="s">
        <v>1399</v>
      </c>
      <c r="C61" s="1219" t="s">
        <v>1435</v>
      </c>
      <c r="D61" s="1219" t="s">
        <v>1436</v>
      </c>
      <c r="E61" s="1219" t="s">
        <v>1437</v>
      </c>
      <c r="F61" s="1219" t="s">
        <v>1438</v>
      </c>
      <c r="G61" s="1219" t="s">
        <v>1439</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1504</v>
      </c>
      <c r="C63" s="1220" t="s">
        <v>1435</v>
      </c>
      <c r="D63" s="1220" t="s">
        <v>1436</v>
      </c>
      <c r="E63" s="1220" t="s">
        <v>1437</v>
      </c>
      <c r="F63" s="1220" t="s">
        <v>1438</v>
      </c>
      <c r="G63" s="1220" t="s">
        <v>1439</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1401</v>
      </c>
      <c r="C65" s="1134" t="s">
        <v>1440</v>
      </c>
      <c r="D65" s="1134" t="s">
        <v>1441</v>
      </c>
      <c r="E65" s="1134" t="s">
        <v>1442</v>
      </c>
      <c r="F65" s="1134" t="s">
        <v>1443</v>
      </c>
      <c r="G65" s="1134" t="s">
        <v>1444</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1402</v>
      </c>
      <c r="C67" s="1220" t="s">
        <v>1435</v>
      </c>
      <c r="D67" s="1220" t="s">
        <v>1436</v>
      </c>
      <c r="E67" s="1220" t="s">
        <v>1437</v>
      </c>
      <c r="F67" s="1220" t="s">
        <v>1438</v>
      </c>
      <c r="G67" s="1220" t="s">
        <v>1439</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1470</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1405</v>
      </c>
      <c r="B77" s="1199" t="s">
        <v>1411</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1493</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1494</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1502</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500</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1503</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1505</v>
      </c>
      <c r="B1" s="959"/>
      <c r="C1" s="960" t="s">
        <v>1506</v>
      </c>
      <c r="D1" s="961"/>
      <c r="E1" s="961"/>
      <c r="F1" s="962" t="s">
        <v>1369</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886</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888</v>
      </c>
      <c r="B3" s="966" t="e">
        <f ca="1">ROUND(IF(D3="",B2*10000/'数据-汇总表'!E3,B2*10000/D3),0)</f>
        <v>#DIV/0!</v>
      </c>
      <c r="C3" s="250" t="s">
        <v>1370</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1371</v>
      </c>
      <c r="B4" s="969"/>
      <c r="C4" s="970" t="s">
        <v>1372</v>
      </c>
      <c r="D4" s="971"/>
      <c r="E4" s="972" t="s">
        <v>1373</v>
      </c>
      <c r="F4" s="973"/>
      <c r="G4" s="970" t="s">
        <v>1374</v>
      </c>
      <c r="H4" s="971"/>
      <c r="I4" s="970" t="s">
        <v>1375</v>
      </c>
      <c r="J4" s="971"/>
      <c r="K4" s="1114"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59" t="s">
        <v>1374</v>
      </c>
      <c r="AC4" s="1178" t="s">
        <v>1375</v>
      </c>
    </row>
    <row r="5" spans="1:29">
      <c r="A5" s="974"/>
      <c r="B5" s="975"/>
      <c r="C5" s="976" t="s">
        <v>1378</v>
      </c>
      <c r="D5" s="977"/>
      <c r="E5" s="978" t="s">
        <v>1379</v>
      </c>
      <c r="F5" s="979"/>
      <c r="G5" s="976" t="s">
        <v>1380</v>
      </c>
      <c r="H5" s="977"/>
      <c r="I5" s="976" t="s">
        <v>1381</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1382</v>
      </c>
      <c r="D6" s="1281"/>
      <c r="E6" s="1282" t="s">
        <v>1382</v>
      </c>
      <c r="F6" s="1283"/>
      <c r="G6" s="1280" t="s">
        <v>1382</v>
      </c>
      <c r="H6" s="1281"/>
      <c r="I6" s="1280" t="s">
        <v>1382</v>
      </c>
      <c r="J6" s="1281"/>
      <c r="K6" s="1114" t="s">
        <v>1383</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45" si="3">D8/F8</f>
        <v>#DIV/0!</v>
      </c>
      <c r="AB8" s="1180" t="e">
        <f t="shared" ref="AB8:AB45" si="4">D8/H8</f>
        <v>#DIV/0!</v>
      </c>
      <c r="AC8" s="1180" t="e">
        <f t="shared" ref="AC8:AC45" si="5">D8/J8</f>
        <v>#DIV/0!</v>
      </c>
    </row>
    <row r="9" s="952" customFormat="1" ht="14.4" spans="1:29">
      <c r="A9" s="994" t="s">
        <v>1390</v>
      </c>
      <c r="B9" s="995" t="s">
        <v>1391</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180">
        <f t="shared" si="5"/>
        <v>1</v>
      </c>
    </row>
    <row r="10" s="953" customFormat="1" ht="28.8" spans="1:29">
      <c r="A10" s="998"/>
      <c r="B10" s="999" t="s">
        <v>1394</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1386</v>
      </c>
      <c r="S10" s="1167" t="e">
        <f t="shared" si="0"/>
        <v>#DIV/0!</v>
      </c>
      <c r="T10" s="1122" t="s">
        <v>1386</v>
      </c>
      <c r="U10" s="1167" t="e">
        <f t="shared" si="1"/>
        <v>#DIV/0!</v>
      </c>
      <c r="V10" s="1122" t="s">
        <v>1386</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1395</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1507</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1386</v>
      </c>
      <c r="S12" s="1167">
        <f t="shared" si="0"/>
        <v>100</v>
      </c>
      <c r="T12" s="1122" t="s">
        <v>1386</v>
      </c>
      <c r="U12" s="1167">
        <f t="shared" si="1"/>
        <v>100</v>
      </c>
      <c r="V12" s="1122" t="s">
        <v>1386</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180">
        <f t="shared" si="5"/>
        <v>1</v>
      </c>
    </row>
    <row r="15" ht="100.8" spans="1:29">
      <c r="A15" s="1016" t="s">
        <v>1396</v>
      </c>
      <c r="B15" s="1285" t="s">
        <v>1397</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1398</v>
      </c>
      <c r="Q15" s="1092" t="str">
        <f t="shared" si="6"/>
        <v>居住社区成熟度</v>
      </c>
      <c r="R15" s="1076" t="s">
        <v>1386</v>
      </c>
      <c r="S15" s="1145">
        <f t="shared" si="0"/>
        <v>100</v>
      </c>
      <c r="T15" s="1076" t="s">
        <v>1386</v>
      </c>
      <c r="U15" s="1145">
        <f t="shared" si="1"/>
        <v>100</v>
      </c>
      <c r="V15" s="1076" t="s">
        <v>1386</v>
      </c>
      <c r="W15" s="1145">
        <f t="shared" si="2"/>
        <v>100</v>
      </c>
      <c r="X15" s="1159"/>
      <c r="Y15" s="1133" t="s">
        <v>1398</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1466</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1386</v>
      </c>
      <c r="S17" s="1145">
        <f>F17</f>
        <v>100</v>
      </c>
      <c r="T17" s="1076" t="s">
        <v>1386</v>
      </c>
      <c r="U17" s="1145">
        <f>H17</f>
        <v>100</v>
      </c>
      <c r="V17" s="1076" t="s">
        <v>1386</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1479</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1386</v>
      </c>
      <c r="S19" s="1145">
        <f>F19</f>
        <v>100</v>
      </c>
      <c r="T19" s="1076" t="s">
        <v>1386</v>
      </c>
      <c r="U19" s="1145">
        <f>H19</f>
        <v>100</v>
      </c>
      <c r="V19" s="1076" t="s">
        <v>1386</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1399</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1386</v>
      </c>
      <c r="S21" s="1145">
        <f>F21</f>
        <v>100</v>
      </c>
      <c r="T21" s="1076" t="s">
        <v>1386</v>
      </c>
      <c r="U21" s="1145">
        <f>H21</f>
        <v>100</v>
      </c>
      <c r="V21" s="1076" t="s">
        <v>1386</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1508</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1386</v>
      </c>
      <c r="S23" s="1145">
        <f>F23</f>
        <v>100</v>
      </c>
      <c r="T23" s="1076" t="s">
        <v>1386</v>
      </c>
      <c r="U23" s="1145">
        <f>H23</f>
        <v>100</v>
      </c>
      <c r="V23" s="1076" t="s">
        <v>1386</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1509</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1386</v>
      </c>
      <c r="S25" s="1145">
        <f>F25</f>
        <v>100</v>
      </c>
      <c r="T25" s="1076" t="s">
        <v>1386</v>
      </c>
      <c r="U25" s="1145">
        <f>H25</f>
        <v>100</v>
      </c>
      <c r="V25" s="1076" t="s">
        <v>1386</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1400</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1386</v>
      </c>
      <c r="S27" s="1167">
        <f>F27</f>
        <v>100</v>
      </c>
      <c r="T27" s="1122" t="s">
        <v>1386</v>
      </c>
      <c r="U27" s="1167">
        <f>H27</f>
        <v>100</v>
      </c>
      <c r="V27" s="1122" t="s">
        <v>1386</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1401</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1386</v>
      </c>
      <c r="S29" s="1167">
        <f>F29</f>
        <v>100</v>
      </c>
      <c r="T29" s="1122" t="s">
        <v>1386</v>
      </c>
      <c r="U29" s="1167">
        <f>H29</f>
        <v>100</v>
      </c>
      <c r="V29" s="1122" t="s">
        <v>1386</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1467</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1386</v>
      </c>
      <c r="S31" s="1145">
        <f t="shared" ref="S31:S45" si="10">F31</f>
        <v>100</v>
      </c>
      <c r="T31" s="1076" t="s">
        <v>1386</v>
      </c>
      <c r="U31" s="1145">
        <f t="shared" ref="U31:U45" si="11">H31</f>
        <v>100</v>
      </c>
      <c r="V31" s="1076" t="s">
        <v>1386</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1481</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1386</v>
      </c>
      <c r="S32" s="1145">
        <f t="shared" si="10"/>
        <v>100</v>
      </c>
      <c r="T32" s="1076" t="s">
        <v>1386</v>
      </c>
      <c r="U32" s="1145">
        <f t="shared" si="11"/>
        <v>100</v>
      </c>
      <c r="V32" s="1076" t="s">
        <v>1386</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1510</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1386</v>
      </c>
      <c r="S34" s="1145">
        <f t="shared" si="10"/>
        <v>100</v>
      </c>
      <c r="T34" s="1076" t="s">
        <v>1386</v>
      </c>
      <c r="U34" s="1145">
        <f t="shared" si="11"/>
        <v>100</v>
      </c>
      <c r="V34" s="1076" t="s">
        <v>1386</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1386</v>
      </c>
      <c r="S35" s="1145">
        <f t="shared" si="10"/>
        <v>100</v>
      </c>
      <c r="T35" s="1076" t="s">
        <v>1386</v>
      </c>
      <c r="U35" s="1145">
        <f t="shared" si="11"/>
        <v>100</v>
      </c>
      <c r="V35" s="1076" t="s">
        <v>1386</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1407</v>
      </c>
      <c r="Q36" s="1092">
        <f t="shared" si="8"/>
        <v>111</v>
      </c>
      <c r="R36" s="1076" t="s">
        <v>1386</v>
      </c>
      <c r="S36" s="1145">
        <f t="shared" si="10"/>
        <v>100</v>
      </c>
      <c r="T36" s="1076" t="s">
        <v>1386</v>
      </c>
      <c r="U36" s="1145">
        <f t="shared" si="11"/>
        <v>100</v>
      </c>
      <c r="V36" s="1076" t="s">
        <v>1386</v>
      </c>
      <c r="W36" s="1145">
        <f t="shared" si="12"/>
        <v>100</v>
      </c>
      <c r="X36" s="1159"/>
      <c r="Y36" s="1142" t="s">
        <v>1407</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1386</v>
      </c>
      <c r="S37" s="1171">
        <f t="shared" si="10"/>
        <v>100</v>
      </c>
      <c r="T37" s="1170" t="s">
        <v>1386</v>
      </c>
      <c r="U37" s="1171">
        <f t="shared" si="11"/>
        <v>100</v>
      </c>
      <c r="V37" s="1170" t="s">
        <v>1386</v>
      </c>
      <c r="W37" s="1171">
        <f t="shared" si="12"/>
        <v>100</v>
      </c>
      <c r="X37" s="1172"/>
      <c r="Y37" s="1142"/>
      <c r="Z37" s="1181">
        <f t="shared" si="13"/>
        <v>111</v>
      </c>
      <c r="AA37" s="1149">
        <f t="shared" si="3"/>
        <v>1</v>
      </c>
      <c r="AB37" s="1149">
        <f t="shared" si="4"/>
        <v>1</v>
      </c>
      <c r="AC37" s="1149">
        <f t="shared" si="5"/>
        <v>1</v>
      </c>
    </row>
    <row r="38" ht="16.2" spans="1:29">
      <c r="A38" s="1050" t="s">
        <v>1405</v>
      </c>
      <c r="B38" s="1048" t="s">
        <v>1511</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1386</v>
      </c>
      <c r="S38" s="1145" t="e">
        <f t="shared" si="10"/>
        <v>#N/A</v>
      </c>
      <c r="T38" s="1076" t="s">
        <v>1386</v>
      </c>
      <c r="U38" s="1145" t="e">
        <f t="shared" si="11"/>
        <v>#N/A</v>
      </c>
      <c r="V38" s="1076" t="s">
        <v>1386</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1512</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1386</v>
      </c>
      <c r="S39" s="1145">
        <f t="shared" si="10"/>
        <v>100</v>
      </c>
      <c r="T39" s="1076" t="s">
        <v>1386</v>
      </c>
      <c r="U39" s="1145">
        <f t="shared" si="11"/>
        <v>100</v>
      </c>
      <c r="V39" s="1076" t="s">
        <v>1386</v>
      </c>
      <c r="W39" s="1145">
        <f t="shared" si="12"/>
        <v>100</v>
      </c>
      <c r="X39" s="1159"/>
      <c r="Y39" s="1142"/>
      <c r="Z39" s="1149" t="str">
        <f t="shared" si="13"/>
        <v>宗地形状</v>
      </c>
      <c r="AA39" s="1149">
        <f t="shared" si="3"/>
        <v>1</v>
      </c>
      <c r="AB39" s="1149">
        <f t="shared" si="4"/>
        <v>1</v>
      </c>
      <c r="AC39" s="1149">
        <f t="shared" si="5"/>
        <v>1</v>
      </c>
    </row>
    <row r="40" ht="15" spans="1:29">
      <c r="A40" s="1050"/>
      <c r="B40" s="999" t="s">
        <v>1513</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1386</v>
      </c>
      <c r="S40" s="1145">
        <f t="shared" si="10"/>
        <v>100</v>
      </c>
      <c r="T40" s="1076" t="s">
        <v>1386</v>
      </c>
      <c r="U40" s="1145">
        <f t="shared" si="11"/>
        <v>100</v>
      </c>
      <c r="V40" s="1076" t="s">
        <v>1386</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1514</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1386</v>
      </c>
      <c r="S41" s="1167">
        <f t="shared" si="10"/>
        <v>100</v>
      </c>
      <c r="T41" s="1122" t="s">
        <v>1386</v>
      </c>
      <c r="U41" s="1167">
        <f t="shared" si="11"/>
        <v>100</v>
      </c>
      <c r="V41" s="1122" t="s">
        <v>1386</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1515</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1407</v>
      </c>
      <c r="Q42" s="1092" t="str">
        <f t="shared" si="14"/>
        <v>工程地质条件</v>
      </c>
      <c r="R42" s="1076" t="s">
        <v>1386</v>
      </c>
      <c r="S42" s="1145">
        <f t="shared" si="10"/>
        <v>100</v>
      </c>
      <c r="T42" s="1076" t="s">
        <v>1386</v>
      </c>
      <c r="U42" s="1145">
        <f t="shared" si="11"/>
        <v>100</v>
      </c>
      <c r="V42" s="1076" t="s">
        <v>1386</v>
      </c>
      <c r="W42" s="1145">
        <f t="shared" si="12"/>
        <v>100</v>
      </c>
      <c r="X42" s="1159"/>
      <c r="Y42" s="1142" t="s">
        <v>1407</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1386</v>
      </c>
      <c r="S43" s="1145">
        <f t="shared" si="10"/>
        <v>100</v>
      </c>
      <c r="T43" s="1076" t="s">
        <v>1386</v>
      </c>
      <c r="U43" s="1145">
        <f t="shared" si="11"/>
        <v>100</v>
      </c>
      <c r="V43" s="1076" t="s">
        <v>1386</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1386</v>
      </c>
      <c r="S44" s="1145">
        <f t="shared" si="10"/>
        <v>100</v>
      </c>
      <c r="T44" s="1076" t="s">
        <v>1386</v>
      </c>
      <c r="U44" s="1145">
        <f t="shared" si="11"/>
        <v>100</v>
      </c>
      <c r="V44" s="1076" t="s">
        <v>1386</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1386</v>
      </c>
      <c r="S45" s="1171">
        <f t="shared" si="10"/>
        <v>100</v>
      </c>
      <c r="T45" s="1170" t="s">
        <v>1386</v>
      </c>
      <c r="U45" s="1171">
        <f t="shared" si="11"/>
        <v>100</v>
      </c>
      <c r="V45" s="1170" t="s">
        <v>1386</v>
      </c>
      <c r="W45" s="1171">
        <f t="shared" si="12"/>
        <v>100</v>
      </c>
      <c r="X45" s="1172"/>
      <c r="Y45" s="1142"/>
      <c r="Z45" s="1181">
        <f t="shared" si="13"/>
        <v>111</v>
      </c>
      <c r="AA45" s="1149">
        <f t="shared" si="3"/>
        <v>1</v>
      </c>
      <c r="AB45" s="1149">
        <f t="shared" si="4"/>
        <v>1</v>
      </c>
      <c r="AC45" s="1149">
        <f t="shared" si="5"/>
        <v>1</v>
      </c>
    </row>
    <row r="46" ht="14.4" spans="1:29">
      <c r="A46" s="1057" t="s">
        <v>1498</v>
      </c>
      <c r="B46" s="1058" t="s">
        <v>1516</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1419</v>
      </c>
      <c r="B47" s="1066"/>
      <c r="C47" s="1067" t="e">
        <f>R48</f>
        <v>#DIV/0!</v>
      </c>
      <c r="D47" s="1068" t="s">
        <v>1420</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1517</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1422</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1423</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1424</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1518</v>
      </c>
      <c r="B55" s="1083" t="s">
        <v>1519</v>
      </c>
      <c r="C55" s="1084" t="s">
        <v>1520</v>
      </c>
      <c r="D55" s="1085" t="s">
        <v>1521</v>
      </c>
      <c r="E55" s="1083" t="s">
        <v>1522</v>
      </c>
      <c r="F55" s="1293" t="s">
        <v>1523</v>
      </c>
      <c r="G55" s="970" t="s">
        <v>1524</v>
      </c>
      <c r="H55" s="1087"/>
      <c r="I55" s="1294" t="s">
        <v>1525</v>
      </c>
      <c r="J55" s="1295">
        <f>项目基本情况!F35</f>
        <v>0</v>
      </c>
      <c r="K55" s="1150" t="s">
        <v>1526</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1527</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1528</v>
      </c>
      <c r="B57" s="262" t="e">
        <f>ROUND($C$48*C57*D57,0)</f>
        <v>#DIV/0!</v>
      </c>
      <c r="C57" s="1094">
        <f t="shared" ref="C57:C65" si="16">IF($C$55="北京市系数",I57,J57)</f>
        <v>0.7</v>
      </c>
      <c r="D57" s="1095">
        <v>0.25</v>
      </c>
      <c r="E57" s="261"/>
      <c r="F57" s="297" t="e">
        <f t="shared" si="15"/>
        <v>#DIV/0!</v>
      </c>
      <c r="G57" s="1096" t="s">
        <v>1529</v>
      </c>
      <c r="H57" s="1097" t="str">
        <f>项目基本情况!B37</f>
        <v>一级</v>
      </c>
      <c r="I57" s="1296">
        <f>SUMIF(修正!A57:A68,H57,修正!B57:B68)</f>
        <v>0.7</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1530</v>
      </c>
      <c r="B58" s="262" t="e">
        <f t="shared" ref="B58:B65" si="17">ROUND($C$48*C58*D58,0)</f>
        <v>#DIV/0!</v>
      </c>
      <c r="C58" s="1094">
        <f t="shared" si="16"/>
        <v>0.4</v>
      </c>
      <c r="D58" s="1095">
        <v>0.25</v>
      </c>
      <c r="E58" s="261"/>
      <c r="F58" s="297" t="e">
        <f t="shared" si="15"/>
        <v>#DIV/0!</v>
      </c>
      <c r="G58" s="1096"/>
      <c r="H58" s="1097" t="str">
        <f>项目基本情况!B37</f>
        <v>一级</v>
      </c>
      <c r="I58" s="1296">
        <f>SUMIF(修正!A57:A68,H58,修正!C57:C68)</f>
        <v>0.4</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1531</v>
      </c>
      <c r="B59" s="262" t="e">
        <f t="shared" si="17"/>
        <v>#DIV/0!</v>
      </c>
      <c r="C59" s="1094">
        <f t="shared" si="16"/>
        <v>0.3</v>
      </c>
      <c r="D59" s="1095">
        <v>0.25</v>
      </c>
      <c r="E59" s="261"/>
      <c r="F59" s="297" t="e">
        <f t="shared" si="15"/>
        <v>#DIV/0!</v>
      </c>
      <c r="G59" s="1096"/>
      <c r="H59" s="1097" t="str">
        <f>项目基本情况!B37</f>
        <v>一级</v>
      </c>
      <c r="I59" s="1296">
        <f>SUMIF(修正!A57:A68,H59,修正!D57:D68)</f>
        <v>0.3</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1532</v>
      </c>
      <c r="B60" s="262" t="e">
        <f ca="1" t="shared" si="17"/>
        <v>#DIV/0!</v>
      </c>
      <c r="C60" s="1094" t="e">
        <f ca="1" t="shared" si="16"/>
        <v>#REF!</v>
      </c>
      <c r="D60" s="1095">
        <v>0.25</v>
      </c>
      <c r="E60" s="261"/>
      <c r="F60" s="297" t="e">
        <f ca="1" t="shared" si="15"/>
        <v>#DIV/0!</v>
      </c>
      <c r="G60" s="1096"/>
      <c r="H60" s="1097" t="str">
        <f>项目基本情况!B37</f>
        <v>一级</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1533</v>
      </c>
      <c r="B61" s="262" t="e">
        <f t="shared" si="17"/>
        <v>#DIV/0!</v>
      </c>
      <c r="C61" s="1094">
        <f t="shared" si="16"/>
        <v>0.3</v>
      </c>
      <c r="D61" s="1095">
        <v>0.25</v>
      </c>
      <c r="E61" s="262">
        <f>'数据-汇总表'!E11</f>
        <v>0</v>
      </c>
      <c r="F61" s="297" t="e">
        <f t="shared" si="15"/>
        <v>#DIV/0!</v>
      </c>
      <c r="G61" s="1096" t="s">
        <v>1534</v>
      </c>
      <c r="H61" s="1097" t="str">
        <f>项目基本情况!C37</f>
        <v>一级</v>
      </c>
      <c r="I61" s="1296">
        <f>SUMIF(修正!A57:A68,H61,修正!E57:E68)</f>
        <v>0.3</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1535</v>
      </c>
      <c r="B62" s="262" t="e">
        <f t="shared" si="17"/>
        <v>#DIV/0!</v>
      </c>
      <c r="C62" s="1094">
        <f t="shared" si="16"/>
        <v>0.3</v>
      </c>
      <c r="D62" s="1095">
        <v>0.25</v>
      </c>
      <c r="E62" s="262">
        <f>'数据-汇总表'!E12</f>
        <v>0</v>
      </c>
      <c r="F62" s="297" t="e">
        <f t="shared" si="15"/>
        <v>#DIV/0!</v>
      </c>
      <c r="G62" s="1098" t="s">
        <v>1536</v>
      </c>
      <c r="H62" s="1097" t="str">
        <f>IF(G62="商业",项目基本情况!B37,IF(G62="办公",项目基本情况!C37,IF(G62="住宅",项目基本情况!D37,项目基本情况!E37)))</f>
        <v>一级</v>
      </c>
      <c r="I62" s="1296">
        <f>SUMIF(修正!A57:A68,H62,修正!F57:F68)</f>
        <v>0.3</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1537</v>
      </c>
      <c r="B63" s="262" t="e">
        <f t="shared" si="17"/>
        <v>#DIV/0!</v>
      </c>
      <c r="C63" s="1094">
        <f t="shared" si="16"/>
        <v>0</v>
      </c>
      <c r="D63" s="1095">
        <v>0.25</v>
      </c>
      <c r="E63" s="262">
        <f>'数据-汇总表'!E13</f>
        <v>0</v>
      </c>
      <c r="F63" s="297" t="e">
        <f t="shared" si="15"/>
        <v>#DIV/0!</v>
      </c>
      <c r="G63" s="1098" t="s">
        <v>1538</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1539</v>
      </c>
      <c r="B64" s="262" t="e">
        <f t="shared" si="17"/>
        <v>#DIV/0!</v>
      </c>
      <c r="C64" s="1094">
        <f t="shared" si="16"/>
        <v>0.2</v>
      </c>
      <c r="D64" s="1095">
        <v>0.25</v>
      </c>
      <c r="E64" s="262">
        <f>'数据-汇总表'!E14</f>
        <v>0</v>
      </c>
      <c r="F64" s="297" t="e">
        <f t="shared" si="15"/>
        <v>#DIV/0!</v>
      </c>
      <c r="G64" s="1096" t="s">
        <v>1529</v>
      </c>
      <c r="H64" s="1097" t="str">
        <f>项目基本情况!B37</f>
        <v>一级</v>
      </c>
      <c r="I64" s="1296">
        <f>SUMIF(修正!A57:A68,H64,修正!G57:G68)</f>
        <v>0.2</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1540</v>
      </c>
      <c r="B65" s="262" t="e">
        <f t="shared" si="17"/>
        <v>#DIV/0!</v>
      </c>
      <c r="C65" s="1094">
        <f t="shared" si="16"/>
        <v>0.2</v>
      </c>
      <c r="D65" s="1095">
        <v>0.25</v>
      </c>
      <c r="E65" s="262">
        <f>'数据-汇总表'!E15</f>
        <v>0</v>
      </c>
      <c r="F65" s="297" t="e">
        <f t="shared" si="15"/>
        <v>#DIV/0!</v>
      </c>
      <c r="G65" s="1099" t="s">
        <v>1534</v>
      </c>
      <c r="H65" s="1100" t="str">
        <f>项目基本情况!C37</f>
        <v>一级</v>
      </c>
      <c r="I65" s="1302">
        <f>SUMIF(修正!A57:A68,H65,修正!G57:G68)</f>
        <v>0.2</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1541</v>
      </c>
      <c r="B66" s="1102" t="s">
        <v>1476</v>
      </c>
      <c r="C66" s="1102" t="s">
        <v>1476</v>
      </c>
      <c r="D66" s="1102" t="s">
        <v>1476</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2022-8-1</v>
      </c>
      <c r="D68" s="1080">
        <f>EDATE(C68,-3)</f>
        <v>44682</v>
      </c>
      <c r="E68" s="1080">
        <f>EDATE(D68,-3)</f>
        <v>44593</v>
      </c>
      <c r="F68" s="1080">
        <f t="shared" ref="F68:O68" si="18">EDATE(E68,-3)</f>
        <v>44501</v>
      </c>
      <c r="G68" s="1080">
        <f t="shared" si="18"/>
        <v>44409</v>
      </c>
      <c r="H68" s="1080">
        <f t="shared" si="18"/>
        <v>44317</v>
      </c>
      <c r="I68" s="1080">
        <f t="shared" si="18"/>
        <v>44228</v>
      </c>
      <c r="J68" s="1080">
        <f t="shared" si="18"/>
        <v>44136</v>
      </c>
      <c r="K68" s="1080">
        <f t="shared" si="18"/>
        <v>44044</v>
      </c>
      <c r="L68" s="1080">
        <f t="shared" si="18"/>
        <v>43952</v>
      </c>
      <c r="M68" s="1080">
        <f t="shared" si="18"/>
        <v>43862</v>
      </c>
      <c r="N68" s="1080">
        <f t="shared" si="18"/>
        <v>43770</v>
      </c>
      <c r="O68" s="1080">
        <f t="shared" si="18"/>
        <v>43678</v>
      </c>
      <c r="P68" s="1073"/>
      <c r="Q68" s="1073"/>
      <c r="R68" s="1073"/>
      <c r="S68" s="1073"/>
      <c r="T68" s="1073"/>
      <c r="U68" s="1073"/>
      <c r="V68" s="1073"/>
      <c r="W68" s="1073"/>
      <c r="X68" s="1073"/>
      <c r="Y68" s="1073"/>
      <c r="Z68" s="1073"/>
      <c r="AA68" s="1073"/>
      <c r="AB68" s="1073"/>
      <c r="AC68" s="1073"/>
    </row>
    <row r="69" ht="21.15" spans="1:29">
      <c r="A69" s="1106" t="s">
        <v>1425</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1542</v>
      </c>
      <c r="B70" s="1184"/>
      <c r="C70" s="1185" t="str">
        <f>YEAR(C68)&amp;"-"&amp;ROUNDUP(MONTH(C68)/3,0)</f>
        <v>2022-3</v>
      </c>
      <c r="D70" s="1185" t="str">
        <f>YEAR(D68)&amp;"-"&amp;ROUNDUP(MONTH(D68)/3,0)</f>
        <v>2022-2</v>
      </c>
      <c r="E70" s="1185" t="str">
        <f t="shared" ref="E70:O70" si="19">YEAR(E68)&amp;"-"&amp;ROUNDUP(MONTH(E68)/3,0)</f>
        <v>2022-1</v>
      </c>
      <c r="F70" s="1185" t="str">
        <f t="shared" si="19"/>
        <v>2021-4</v>
      </c>
      <c r="G70" s="1185" t="str">
        <f t="shared" si="19"/>
        <v>2021-3</v>
      </c>
      <c r="H70" s="1185" t="str">
        <f t="shared" si="19"/>
        <v>2021-2</v>
      </c>
      <c r="I70" s="1185" t="str">
        <f t="shared" si="19"/>
        <v>2021-1</v>
      </c>
      <c r="J70" s="1185" t="str">
        <f t="shared" si="19"/>
        <v>2020-4</v>
      </c>
      <c r="K70" s="1185" t="str">
        <f t="shared" si="19"/>
        <v>2020-3</v>
      </c>
      <c r="L70" s="1185" t="str">
        <f t="shared" si="19"/>
        <v>2020-2</v>
      </c>
      <c r="M70" s="1185" t="str">
        <f t="shared" si="19"/>
        <v>2020-1</v>
      </c>
      <c r="N70" s="1185" t="str">
        <f t="shared" si="19"/>
        <v>2019-4</v>
      </c>
      <c r="O70" s="1185" t="str">
        <f t="shared" si="19"/>
        <v>2019-3</v>
      </c>
      <c r="P70" s="1121"/>
      <c r="Q70" s="1277"/>
      <c r="R70" s="1277"/>
      <c r="S70" s="1277"/>
      <c r="T70" s="1277"/>
      <c r="U70" s="1277"/>
      <c r="V70" s="1277"/>
      <c r="W70" s="1277"/>
      <c r="X70" s="1277"/>
      <c r="Y70" s="1277"/>
      <c r="Z70" s="1277"/>
      <c r="AA70" s="1277"/>
      <c r="AB70" s="1277"/>
      <c r="AC70" s="1277"/>
    </row>
    <row r="71" s="952" customFormat="1" ht="30" customHeight="1" spans="1:29">
      <c r="A71" s="1301" t="s">
        <v>1543</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1426</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1387</v>
      </c>
      <c r="B73" s="1194"/>
      <c r="C73" s="1195" t="s">
        <v>1388</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1427</v>
      </c>
      <c r="B75" s="1199" t="s">
        <v>1391</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1394</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1395</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1396</v>
      </c>
      <c r="B88" s="1199" t="s">
        <v>1397</v>
      </c>
      <c r="C88" s="1219" t="s">
        <v>1435</v>
      </c>
      <c r="D88" s="1219" t="s">
        <v>1436</v>
      </c>
      <c r="E88" s="1219" t="s">
        <v>1437</v>
      </c>
      <c r="F88" s="1219" t="s">
        <v>1438</v>
      </c>
      <c r="G88" s="1219" t="s">
        <v>1439</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1466</v>
      </c>
      <c r="C90" s="1220" t="s">
        <v>1435</v>
      </c>
      <c r="D90" s="1220" t="s">
        <v>1436</v>
      </c>
      <c r="E90" s="1220" t="s">
        <v>1437</v>
      </c>
      <c r="F90" s="1220" t="s">
        <v>1438</v>
      </c>
      <c r="G90" s="1220" t="s">
        <v>1439</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1479</v>
      </c>
      <c r="C92" s="1220" t="s">
        <v>1435</v>
      </c>
      <c r="D92" s="1220" t="s">
        <v>1436</v>
      </c>
      <c r="E92" s="1220" t="s">
        <v>1437</v>
      </c>
      <c r="F92" s="1220" t="s">
        <v>1438</v>
      </c>
      <c r="G92" s="1220" t="s">
        <v>1439</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1399</v>
      </c>
      <c r="C94" s="1220" t="s">
        <v>1435</v>
      </c>
      <c r="D94" s="1220" t="s">
        <v>1436</v>
      </c>
      <c r="E94" s="1220" t="s">
        <v>1437</v>
      </c>
      <c r="F94" s="1220" t="s">
        <v>1438</v>
      </c>
      <c r="G94" s="1220" t="s">
        <v>1439</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1508</v>
      </c>
      <c r="C96" s="1220" t="s">
        <v>1435</v>
      </c>
      <c r="D96" s="1220" t="s">
        <v>1436</v>
      </c>
      <c r="E96" s="1220" t="s">
        <v>1437</v>
      </c>
      <c r="F96" s="1220" t="s">
        <v>1438</v>
      </c>
      <c r="G96" s="1220" t="s">
        <v>1439</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1509</v>
      </c>
      <c r="C98" s="1219" t="s">
        <v>1435</v>
      </c>
      <c r="D98" s="1219" t="s">
        <v>1436</v>
      </c>
      <c r="E98" s="1219" t="s">
        <v>1437</v>
      </c>
      <c r="F98" s="1219" t="s">
        <v>1438</v>
      </c>
      <c r="G98" s="1219" t="s">
        <v>1439</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1400</v>
      </c>
      <c r="C100" s="1219" t="s">
        <v>1435</v>
      </c>
      <c r="D100" s="1219" t="s">
        <v>1436</v>
      </c>
      <c r="E100" s="1219" t="s">
        <v>1437</v>
      </c>
      <c r="F100" s="1219" t="s">
        <v>1438</v>
      </c>
      <c r="G100" s="1219" t="s">
        <v>1439</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1401</v>
      </c>
      <c r="C102" s="1134" t="s">
        <v>1440</v>
      </c>
      <c r="D102" s="1134" t="s">
        <v>1441</v>
      </c>
      <c r="E102" s="1134" t="s">
        <v>1442</v>
      </c>
      <c r="F102" s="1134" t="s">
        <v>1443</v>
      </c>
      <c r="G102" s="1134" t="s">
        <v>1444</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1544</v>
      </c>
      <c r="D104" s="1203" t="s">
        <v>1545</v>
      </c>
      <c r="E104" s="1203" t="s">
        <v>1546</v>
      </c>
      <c r="F104" s="1203" t="s">
        <v>1547</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1481</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1510</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1405</v>
      </c>
      <c r="B116" s="1199" t="s">
        <v>1511</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1512</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1513</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1514</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1515</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222222222222" style="957" customWidth="1"/>
    <col min="5" max="5" width="14.3333333333333" style="957" customWidth="1"/>
    <col min="6" max="6" width="12.2222222222222" style="957" customWidth="1"/>
    <col min="7" max="7" width="14.4444444444444" style="957" customWidth="1"/>
    <col min="8" max="8" width="12.2222222222222" style="957" customWidth="1"/>
    <col min="9" max="9" width="14.4444444444444" style="957" customWidth="1"/>
    <col min="10" max="15" width="12.2222222222222"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2222222222222"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1505</v>
      </c>
      <c r="B1" s="959"/>
      <c r="C1" s="960" t="s">
        <v>1485</v>
      </c>
      <c r="D1" s="961"/>
      <c r="E1" s="961"/>
      <c r="F1" s="962" t="s">
        <v>1369</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886</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888</v>
      </c>
      <c r="B3" s="966" t="e">
        <f ca="1">ROUND(IF(D3="",B2*10000/'数据-汇总表'!E3,B2*10000/D3),0)</f>
        <v>#DIV/0!</v>
      </c>
      <c r="C3" s="250" t="s">
        <v>1370</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1371</v>
      </c>
      <c r="B4" s="969"/>
      <c r="C4" s="970" t="s">
        <v>1372</v>
      </c>
      <c r="D4" s="971"/>
      <c r="E4" s="972" t="s">
        <v>1373</v>
      </c>
      <c r="F4" s="973"/>
      <c r="G4" s="970" t="s">
        <v>1374</v>
      </c>
      <c r="H4" s="971"/>
      <c r="I4" s="970" t="s">
        <v>1375</v>
      </c>
      <c r="J4" s="971"/>
      <c r="K4" s="1114" t="s">
        <v>1376</v>
      </c>
      <c r="L4" s="1115"/>
      <c r="M4" s="1116"/>
      <c r="N4" s="1116"/>
      <c r="O4" s="1116"/>
      <c r="P4" s="1117" t="s">
        <v>1377</v>
      </c>
      <c r="Q4" s="1156"/>
      <c r="R4" s="1157" t="s">
        <v>1373</v>
      </c>
      <c r="S4" s="1158"/>
      <c r="T4" s="1157" t="s">
        <v>1374</v>
      </c>
      <c r="U4" s="1158"/>
      <c r="V4" s="1149" t="s">
        <v>1375</v>
      </c>
      <c r="W4" s="1149"/>
      <c r="X4" s="1159"/>
      <c r="Y4" s="1157" t="s">
        <v>1377</v>
      </c>
      <c r="Z4" s="1158"/>
      <c r="AA4" s="1178" t="s">
        <v>1373</v>
      </c>
      <c r="AB4" s="1159" t="s">
        <v>1374</v>
      </c>
      <c r="AC4" s="1178" t="s">
        <v>1375</v>
      </c>
    </row>
    <row r="5" spans="1:29">
      <c r="A5" s="974"/>
      <c r="B5" s="975"/>
      <c r="C5" s="976" t="s">
        <v>1378</v>
      </c>
      <c r="D5" s="977"/>
      <c r="E5" s="978" t="s">
        <v>1379</v>
      </c>
      <c r="F5" s="979"/>
      <c r="G5" s="976" t="s">
        <v>1380</v>
      </c>
      <c r="H5" s="977"/>
      <c r="I5" s="976" t="s">
        <v>1381</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1548</v>
      </c>
      <c r="D6" s="983"/>
      <c r="E6" s="984" t="s">
        <v>1548</v>
      </c>
      <c r="F6" s="985"/>
      <c r="G6" s="982" t="s">
        <v>1548</v>
      </c>
      <c r="H6" s="983"/>
      <c r="I6" s="982" t="s">
        <v>1548</v>
      </c>
      <c r="J6" s="983"/>
      <c r="K6" s="1114" t="s">
        <v>1383</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1384</v>
      </c>
      <c r="B7" s="987"/>
      <c r="C7" s="988">
        <f>'数据-取费表'!B2</f>
        <v>44783</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1385</v>
      </c>
      <c r="Q7" s="1166"/>
      <c r="R7" s="1122" t="s">
        <v>1386</v>
      </c>
      <c r="S7" s="1167">
        <f t="shared" ref="S7:S15" si="0">F7</f>
        <v>0</v>
      </c>
      <c r="T7" s="1122" t="s">
        <v>1386</v>
      </c>
      <c r="U7" s="1167">
        <f t="shared" ref="U7:U15" si="1">H7</f>
        <v>0</v>
      </c>
      <c r="V7" s="1122" t="s">
        <v>1386</v>
      </c>
      <c r="W7" s="1167">
        <f t="shared" ref="W7:W15" si="2">J7</f>
        <v>0</v>
      </c>
      <c r="X7" s="1168"/>
      <c r="Y7" s="1122" t="s">
        <v>1385</v>
      </c>
      <c r="Z7" s="1167"/>
      <c r="AA7" s="1180" t="e">
        <f>D7/F7</f>
        <v>#DIV/0!</v>
      </c>
      <c r="AB7" s="1180" t="e">
        <f>D7/H7</f>
        <v>#DIV/0!</v>
      </c>
      <c r="AC7" s="1180" t="e">
        <f>D7/J7</f>
        <v>#DIV/0!</v>
      </c>
    </row>
    <row r="8" s="952" customFormat="1" ht="15.15" spans="1:29">
      <c r="A8" s="986" t="s">
        <v>1387</v>
      </c>
      <c r="B8" s="987"/>
      <c r="C8" s="993" t="s">
        <v>1388</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1389</v>
      </c>
      <c r="Q8" s="1167"/>
      <c r="R8" s="1122" t="s">
        <v>1386</v>
      </c>
      <c r="S8" s="1167">
        <f t="shared" si="0"/>
        <v>0</v>
      </c>
      <c r="T8" s="1122" t="s">
        <v>1386</v>
      </c>
      <c r="U8" s="1167">
        <f t="shared" si="1"/>
        <v>0</v>
      </c>
      <c r="V8" s="1122" t="s">
        <v>1386</v>
      </c>
      <c r="W8" s="1167">
        <f t="shared" si="2"/>
        <v>0</v>
      </c>
      <c r="X8" s="1168"/>
      <c r="Y8" s="1122" t="s">
        <v>1389</v>
      </c>
      <c r="Z8" s="1167"/>
      <c r="AA8" s="1180" t="e">
        <f t="shared" ref="AA8:AA40" si="3">D8/F8</f>
        <v>#DIV/0!</v>
      </c>
      <c r="AB8" s="1180" t="e">
        <f t="shared" ref="AB8:AB40" si="4">D8/H8</f>
        <v>#DIV/0!</v>
      </c>
      <c r="AC8" s="1180" t="e">
        <f t="shared" ref="AC8:AC40" si="5">D8/J8</f>
        <v>#DIV/0!</v>
      </c>
    </row>
    <row r="9" s="952" customFormat="1" ht="14.4" spans="1:29">
      <c r="A9" s="994" t="s">
        <v>1390</v>
      </c>
      <c r="B9" s="995" t="s">
        <v>1391</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1392</v>
      </c>
      <c r="Q9" s="1169" t="str">
        <f t="shared" ref="Q9:Q15" si="6">B9</f>
        <v>用途</v>
      </c>
      <c r="R9" s="1122" t="s">
        <v>1386</v>
      </c>
      <c r="S9" s="1167">
        <f t="shared" si="0"/>
        <v>100</v>
      </c>
      <c r="T9" s="1122" t="s">
        <v>1386</v>
      </c>
      <c r="U9" s="1167">
        <f t="shared" si="1"/>
        <v>100</v>
      </c>
      <c r="V9" s="1122" t="s">
        <v>1386</v>
      </c>
      <c r="W9" s="1167">
        <f t="shared" si="2"/>
        <v>100</v>
      </c>
      <c r="X9" s="1168"/>
      <c r="Y9" s="1169" t="s">
        <v>1393</v>
      </c>
      <c r="Z9" s="1180" t="str">
        <f t="shared" ref="Z9:Z15" si="7">Q9</f>
        <v>用途</v>
      </c>
      <c r="AA9" s="1180">
        <f t="shared" si="3"/>
        <v>1</v>
      </c>
      <c r="AB9" s="1180">
        <f t="shared" si="4"/>
        <v>1</v>
      </c>
      <c r="AC9" s="1180">
        <f t="shared" si="5"/>
        <v>1</v>
      </c>
    </row>
    <row r="10" s="953" customFormat="1" ht="28.8" spans="1:29">
      <c r="A10" s="998"/>
      <c r="B10" s="999" t="s">
        <v>1394</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1386</v>
      </c>
      <c r="S10" s="1167" t="e">
        <f t="shared" si="0"/>
        <v>#DIV/0!</v>
      </c>
      <c r="T10" s="1122" t="s">
        <v>1386</v>
      </c>
      <c r="U10" s="1167" t="e">
        <f t="shared" si="1"/>
        <v>#DIV/0!</v>
      </c>
      <c r="V10" s="1122" t="s">
        <v>1386</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1395</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1386</v>
      </c>
      <c r="S11" s="1167" t="e">
        <f t="shared" si="0"/>
        <v>#N/A</v>
      </c>
      <c r="T11" s="1122" t="s">
        <v>1386</v>
      </c>
      <c r="U11" s="1167" t="e">
        <f t="shared" si="1"/>
        <v>#N/A</v>
      </c>
      <c r="V11" s="1122" t="s">
        <v>1386</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1386</v>
      </c>
      <c r="S12" s="1167">
        <f t="shared" si="0"/>
        <v>100</v>
      </c>
      <c r="T12" s="1122" t="s">
        <v>1386</v>
      </c>
      <c r="U12" s="1167">
        <f t="shared" si="1"/>
        <v>100</v>
      </c>
      <c r="V12" s="1122" t="s">
        <v>1386</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1386</v>
      </c>
      <c r="S13" s="1167">
        <f t="shared" si="0"/>
        <v>100</v>
      </c>
      <c r="T13" s="1122" t="s">
        <v>1386</v>
      </c>
      <c r="U13" s="1167">
        <f t="shared" si="1"/>
        <v>100</v>
      </c>
      <c r="V13" s="1122" t="s">
        <v>1386</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1386</v>
      </c>
      <c r="S14" s="1167">
        <f t="shared" si="0"/>
        <v>100</v>
      </c>
      <c r="T14" s="1122" t="s">
        <v>1386</v>
      </c>
      <c r="U14" s="1167">
        <f t="shared" si="1"/>
        <v>100</v>
      </c>
      <c r="V14" s="1122" t="s">
        <v>1386</v>
      </c>
      <c r="W14" s="1167">
        <f t="shared" si="2"/>
        <v>100</v>
      </c>
      <c r="X14" s="1168"/>
      <c r="Y14" s="1169"/>
      <c r="Z14" s="1180">
        <f t="shared" si="7"/>
        <v>111</v>
      </c>
      <c r="AA14" s="1180">
        <f t="shared" si="3"/>
        <v>1</v>
      </c>
      <c r="AB14" s="1180">
        <f t="shared" si="4"/>
        <v>1</v>
      </c>
      <c r="AC14" s="1180">
        <f t="shared" si="5"/>
        <v>1</v>
      </c>
    </row>
    <row r="15" ht="72" spans="1:29">
      <c r="A15" s="1016" t="s">
        <v>1396</v>
      </c>
      <c r="B15" s="1017" t="s">
        <v>1486</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1398</v>
      </c>
      <c r="Q15" s="1092" t="str">
        <f t="shared" si="6"/>
        <v>产业集聚程度</v>
      </c>
      <c r="R15" s="1076" t="s">
        <v>1386</v>
      </c>
      <c r="S15" s="1145">
        <f t="shared" si="0"/>
        <v>100</v>
      </c>
      <c r="T15" s="1076" t="s">
        <v>1386</v>
      </c>
      <c r="U15" s="1145">
        <f t="shared" si="1"/>
        <v>100</v>
      </c>
      <c r="V15" s="1076" t="s">
        <v>1386</v>
      </c>
      <c r="W15" s="1145">
        <f t="shared" si="2"/>
        <v>100</v>
      </c>
      <c r="X15" s="1159"/>
      <c r="Y15" s="1133" t="s">
        <v>1398</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1399</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1386</v>
      </c>
      <c r="S17" s="1145">
        <f>F17</f>
        <v>100</v>
      </c>
      <c r="T17" s="1076" t="s">
        <v>1386</v>
      </c>
      <c r="U17" s="1145">
        <f>H17</f>
        <v>100</v>
      </c>
      <c r="V17" s="1076" t="s">
        <v>1386</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1508</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1386</v>
      </c>
      <c r="S19" s="1145">
        <f>F19</f>
        <v>100</v>
      </c>
      <c r="T19" s="1076" t="s">
        <v>1386</v>
      </c>
      <c r="U19" s="1145">
        <f>H19</f>
        <v>100</v>
      </c>
      <c r="V19" s="1076" t="s">
        <v>1386</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1549</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1386</v>
      </c>
      <c r="S21" s="1145">
        <f>F21</f>
        <v>100</v>
      </c>
      <c r="T21" s="1076" t="s">
        <v>1386</v>
      </c>
      <c r="U21" s="1145">
        <f>H21</f>
        <v>100</v>
      </c>
      <c r="V21" s="1076" t="s">
        <v>1386</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1400</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1386</v>
      </c>
      <c r="S23" s="1167">
        <f>F23</f>
        <v>100</v>
      </c>
      <c r="T23" s="1122" t="s">
        <v>1386</v>
      </c>
      <c r="U23" s="1167">
        <f>H23</f>
        <v>100</v>
      </c>
      <c r="V23" s="1122" t="s">
        <v>1386</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1401</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1386</v>
      </c>
      <c r="S25" s="1167">
        <f>F25</f>
        <v>100</v>
      </c>
      <c r="T25" s="1122" t="s">
        <v>1386</v>
      </c>
      <c r="U25" s="1167">
        <f>H25</f>
        <v>100</v>
      </c>
      <c r="V25" s="1122" t="s">
        <v>1386</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1467</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1386</v>
      </c>
      <c r="S27" s="1145">
        <f t="shared" ref="S27:S40" si="10">F27</f>
        <v>100</v>
      </c>
      <c r="T27" s="1076" t="s">
        <v>1386</v>
      </c>
      <c r="U27" s="1145">
        <f t="shared" ref="U27:U40" si="11">H27</f>
        <v>100</v>
      </c>
      <c r="V27" s="1076" t="s">
        <v>1386</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1481</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1386</v>
      </c>
      <c r="S28" s="1145">
        <f t="shared" si="10"/>
        <v>100</v>
      </c>
      <c r="T28" s="1076" t="s">
        <v>1386</v>
      </c>
      <c r="U28" s="1145">
        <f t="shared" si="11"/>
        <v>100</v>
      </c>
      <c r="V28" s="1076" t="s">
        <v>1386</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1510</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1386</v>
      </c>
      <c r="S30" s="1145">
        <f t="shared" si="10"/>
        <v>100</v>
      </c>
      <c r="T30" s="1076" t="s">
        <v>1386</v>
      </c>
      <c r="U30" s="1145">
        <f t="shared" si="11"/>
        <v>100</v>
      </c>
      <c r="V30" s="1076" t="s">
        <v>1386</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1386</v>
      </c>
      <c r="S31" s="1145">
        <f t="shared" si="10"/>
        <v>100</v>
      </c>
      <c r="T31" s="1076" t="s">
        <v>1386</v>
      </c>
      <c r="U31" s="1145">
        <f t="shared" si="11"/>
        <v>100</v>
      </c>
      <c r="V31" s="1076" t="s">
        <v>1386</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1407</v>
      </c>
      <c r="Q32" s="1092">
        <f t="shared" si="8"/>
        <v>111</v>
      </c>
      <c r="R32" s="1076" t="s">
        <v>1386</v>
      </c>
      <c r="S32" s="1145">
        <f t="shared" si="10"/>
        <v>100</v>
      </c>
      <c r="T32" s="1076" t="s">
        <v>1386</v>
      </c>
      <c r="U32" s="1145">
        <f t="shared" si="11"/>
        <v>100</v>
      </c>
      <c r="V32" s="1076" t="s">
        <v>1386</v>
      </c>
      <c r="W32" s="1145">
        <f t="shared" si="12"/>
        <v>100</v>
      </c>
      <c r="X32" s="1159"/>
      <c r="Y32" s="1142" t="s">
        <v>1407</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1386</v>
      </c>
      <c r="S33" s="1171">
        <f t="shared" si="10"/>
        <v>100</v>
      </c>
      <c r="T33" s="1170" t="s">
        <v>1386</v>
      </c>
      <c r="U33" s="1171">
        <f t="shared" si="11"/>
        <v>100</v>
      </c>
      <c r="V33" s="1170" t="s">
        <v>1386</v>
      </c>
      <c r="W33" s="1171">
        <f t="shared" si="12"/>
        <v>100</v>
      </c>
      <c r="X33" s="1172"/>
      <c r="Y33" s="1142"/>
      <c r="Z33" s="1181">
        <f t="shared" si="13"/>
        <v>111</v>
      </c>
      <c r="AA33" s="1149">
        <f t="shared" si="3"/>
        <v>1</v>
      </c>
      <c r="AB33" s="1149">
        <f t="shared" si="4"/>
        <v>1</v>
      </c>
      <c r="AC33" s="1149">
        <f t="shared" si="5"/>
        <v>1</v>
      </c>
    </row>
    <row r="34" ht="15" spans="1:29">
      <c r="A34" s="1016" t="s">
        <v>1405</v>
      </c>
      <c r="B34" s="1048" t="s">
        <v>1511</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1386</v>
      </c>
      <c r="S34" s="1145" t="e">
        <f t="shared" si="10"/>
        <v>#N/A</v>
      </c>
      <c r="T34" s="1076" t="s">
        <v>1386</v>
      </c>
      <c r="U34" s="1145" t="e">
        <f t="shared" si="11"/>
        <v>#N/A</v>
      </c>
      <c r="V34" s="1076" t="s">
        <v>1386</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1512</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1386</v>
      </c>
      <c r="S35" s="1145">
        <f t="shared" si="10"/>
        <v>100</v>
      </c>
      <c r="T35" s="1076" t="s">
        <v>1386</v>
      </c>
      <c r="U35" s="1145">
        <f t="shared" si="11"/>
        <v>100</v>
      </c>
      <c r="V35" s="1076" t="s">
        <v>1386</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1514</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1386</v>
      </c>
      <c r="S36" s="1167">
        <f t="shared" si="10"/>
        <v>100</v>
      </c>
      <c r="T36" s="1122" t="s">
        <v>1386</v>
      </c>
      <c r="U36" s="1167">
        <f t="shared" si="11"/>
        <v>100</v>
      </c>
      <c r="V36" s="1122" t="s">
        <v>1386</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1515</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1407</v>
      </c>
      <c r="Q37" s="1092" t="str">
        <f t="shared" si="14"/>
        <v>工程地质条件</v>
      </c>
      <c r="R37" s="1076" t="s">
        <v>1386</v>
      </c>
      <c r="S37" s="1145">
        <f t="shared" si="10"/>
        <v>100</v>
      </c>
      <c r="T37" s="1076" t="s">
        <v>1386</v>
      </c>
      <c r="U37" s="1145">
        <f t="shared" si="11"/>
        <v>100</v>
      </c>
      <c r="V37" s="1076" t="s">
        <v>1386</v>
      </c>
      <c r="W37" s="1145">
        <f t="shared" si="12"/>
        <v>100</v>
      </c>
      <c r="X37" s="1159"/>
      <c r="Y37" s="1142" t="s">
        <v>1407</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1386</v>
      </c>
      <c r="S38" s="1145">
        <f t="shared" si="10"/>
        <v>100</v>
      </c>
      <c r="T38" s="1076" t="s">
        <v>1386</v>
      </c>
      <c r="U38" s="1145">
        <f t="shared" si="11"/>
        <v>100</v>
      </c>
      <c r="V38" s="1076" t="s">
        <v>1386</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1386</v>
      </c>
      <c r="S39" s="1145">
        <f t="shared" si="10"/>
        <v>100</v>
      </c>
      <c r="T39" s="1076" t="s">
        <v>1386</v>
      </c>
      <c r="U39" s="1145">
        <f t="shared" si="11"/>
        <v>100</v>
      </c>
      <c r="V39" s="1076" t="s">
        <v>1386</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1386</v>
      </c>
      <c r="S40" s="1171">
        <f t="shared" si="10"/>
        <v>100</v>
      </c>
      <c r="T40" s="1170" t="s">
        <v>1386</v>
      </c>
      <c r="U40" s="1171">
        <f t="shared" si="11"/>
        <v>100</v>
      </c>
      <c r="V40" s="1170" t="s">
        <v>1386</v>
      </c>
      <c r="W40" s="1171">
        <f t="shared" si="12"/>
        <v>100</v>
      </c>
      <c r="X40" s="1172"/>
      <c r="Y40" s="1142"/>
      <c r="Z40" s="1181">
        <f t="shared" si="13"/>
        <v>111</v>
      </c>
      <c r="AA40" s="1149">
        <f t="shared" si="3"/>
        <v>1</v>
      </c>
      <c r="AB40" s="1149">
        <f t="shared" si="4"/>
        <v>1</v>
      </c>
      <c r="AC40" s="1149">
        <f t="shared" si="5"/>
        <v>1</v>
      </c>
    </row>
    <row r="41" ht="14.4" spans="1:29">
      <c r="A41" s="1057" t="s">
        <v>1498</v>
      </c>
      <c r="B41" s="1058" t="s">
        <v>1550</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1419</v>
      </c>
      <c r="B42" s="1066"/>
      <c r="C42" s="1067" t="e">
        <f>R43</f>
        <v>#DIV/0!</v>
      </c>
      <c r="D42" s="1068" t="s">
        <v>1420</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1421</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1422</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1423</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1424</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1518</v>
      </c>
      <c r="B50" s="1083" t="s">
        <v>1519</v>
      </c>
      <c r="C50" s="1084" t="s">
        <v>1520</v>
      </c>
      <c r="D50" s="1085" t="s">
        <v>1521</v>
      </c>
      <c r="E50" s="1083" t="s">
        <v>1522</v>
      </c>
      <c r="F50" s="1086" t="s">
        <v>1523</v>
      </c>
      <c r="G50" s="970" t="s">
        <v>1524</v>
      </c>
      <c r="H50" s="1087"/>
      <c r="I50" s="1149" t="s">
        <v>1551</v>
      </c>
      <c r="J50" s="1149">
        <f>项目基本情况!F35</f>
        <v>0</v>
      </c>
      <c r="K50" s="1150" t="s">
        <v>1526</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1527</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1528</v>
      </c>
      <c r="B52" s="262" t="e">
        <f>ROUND($C$43*C52*D52,0)</f>
        <v>#DIV/0!</v>
      </c>
      <c r="C52" s="1094">
        <f t="shared" ref="C52:C60" si="16">IF($C$50="北京市系数",I52,J52)</f>
        <v>0.7</v>
      </c>
      <c r="D52" s="1095">
        <v>0.25</v>
      </c>
      <c r="E52" s="261"/>
      <c r="F52" s="1090" t="e">
        <f t="shared" si="15"/>
        <v>#DIV/0!</v>
      </c>
      <c r="G52" s="1096" t="s">
        <v>1529</v>
      </c>
      <c r="H52" s="1097" t="str">
        <f>项目基本情况!B37</f>
        <v>一级</v>
      </c>
      <c r="I52" s="1151">
        <f>SUMIF(修正!A57:A68,H52,修正!B57:B68)</f>
        <v>0.7</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1530</v>
      </c>
      <c r="B53" s="262" t="e">
        <f t="shared" ref="B53:B60" si="17">ROUND($C$43*C53*D53,0)</f>
        <v>#DIV/0!</v>
      </c>
      <c r="C53" s="1094">
        <f t="shared" si="16"/>
        <v>0.4</v>
      </c>
      <c r="D53" s="1095">
        <v>0.25</v>
      </c>
      <c r="E53" s="261"/>
      <c r="F53" s="1090" t="e">
        <f t="shared" si="15"/>
        <v>#DIV/0!</v>
      </c>
      <c r="G53" s="1096"/>
      <c r="H53" s="1097" t="str">
        <f>项目基本情况!B37</f>
        <v>一级</v>
      </c>
      <c r="I53" s="1151">
        <f>SUMIF(修正!A57:A68,H53,修正!C57:C68)</f>
        <v>0.4</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1531</v>
      </c>
      <c r="B54" s="262" t="e">
        <f t="shared" si="17"/>
        <v>#DIV/0!</v>
      </c>
      <c r="C54" s="1094">
        <f t="shared" si="16"/>
        <v>0.3</v>
      </c>
      <c r="D54" s="1095">
        <v>0.25</v>
      </c>
      <c r="E54" s="261"/>
      <c r="F54" s="1090" t="e">
        <f t="shared" si="15"/>
        <v>#DIV/0!</v>
      </c>
      <c r="G54" s="1096"/>
      <c r="H54" s="1097" t="str">
        <f>项目基本情况!B37</f>
        <v>一级</v>
      </c>
      <c r="I54" s="1151">
        <f>SUMIF(修正!A57:A68,H54,修正!D57:D68)</f>
        <v>0.3</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1532</v>
      </c>
      <c r="B55" s="262" t="e">
        <f ca="1" t="shared" si="17"/>
        <v>#DIV/0!</v>
      </c>
      <c r="C55" s="1094" t="e">
        <f ca="1" t="shared" si="16"/>
        <v>#REF!</v>
      </c>
      <c r="D55" s="1095">
        <v>0.25</v>
      </c>
      <c r="E55" s="261"/>
      <c r="F55" s="1090" t="e">
        <f ca="1" t="shared" si="15"/>
        <v>#DIV/0!</v>
      </c>
      <c r="G55" s="1096"/>
      <c r="H55" s="1097" t="str">
        <f>项目基本情况!B37</f>
        <v>一级</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1533</v>
      </c>
      <c r="B56" s="262" t="e">
        <f t="shared" si="17"/>
        <v>#DIV/0!</v>
      </c>
      <c r="C56" s="1094">
        <f t="shared" si="16"/>
        <v>0.3</v>
      </c>
      <c r="D56" s="1095">
        <v>0.25</v>
      </c>
      <c r="E56" s="262">
        <f>'数据-汇总表'!E11</f>
        <v>0</v>
      </c>
      <c r="F56" s="1090" t="e">
        <f t="shared" si="15"/>
        <v>#DIV/0!</v>
      </c>
      <c r="G56" s="1096" t="s">
        <v>1534</v>
      </c>
      <c r="H56" s="1097" t="str">
        <f>项目基本情况!C37</f>
        <v>一级</v>
      </c>
      <c r="I56" s="1151">
        <f>SUMIF(修正!A57:A68,H56,修正!E57:E68)</f>
        <v>0.3</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1535</v>
      </c>
      <c r="B57" s="262" t="e">
        <f t="shared" si="17"/>
        <v>#DIV/0!</v>
      </c>
      <c r="C57" s="1094">
        <f t="shared" si="16"/>
        <v>0.3</v>
      </c>
      <c r="D57" s="1095">
        <v>0.25</v>
      </c>
      <c r="E57" s="262">
        <f>'数据-汇总表'!E12</f>
        <v>0</v>
      </c>
      <c r="F57" s="1090" t="e">
        <f t="shared" si="15"/>
        <v>#DIV/0!</v>
      </c>
      <c r="G57" s="1098" t="s">
        <v>1536</v>
      </c>
      <c r="H57" s="1097" t="str">
        <f>IF(G57="商业",项目基本情况!B37,IF(G57="办公",项目基本情况!C37,IF(G57="住宅",项目基本情况!D37,项目基本情况!E37)))</f>
        <v>一级</v>
      </c>
      <c r="I57" s="1151">
        <f>SUMIF(修正!A57:A68,H57,修正!F57:F68)</f>
        <v>0.3</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1537</v>
      </c>
      <c r="B58" s="262" t="e">
        <f t="shared" si="17"/>
        <v>#DIV/0!</v>
      </c>
      <c r="C58" s="1094">
        <f t="shared" si="16"/>
        <v>0</v>
      </c>
      <c r="D58" s="1095">
        <v>0.25</v>
      </c>
      <c r="E58" s="262">
        <f>'数据-汇总表'!E13</f>
        <v>0</v>
      </c>
      <c r="F58" s="1090" t="e">
        <f t="shared" si="15"/>
        <v>#DIV/0!</v>
      </c>
      <c r="G58" s="1098" t="s">
        <v>1538</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1539</v>
      </c>
      <c r="B59" s="262" t="e">
        <f t="shared" si="17"/>
        <v>#DIV/0!</v>
      </c>
      <c r="C59" s="1094">
        <f t="shared" si="16"/>
        <v>0.2</v>
      </c>
      <c r="D59" s="1095">
        <v>0.25</v>
      </c>
      <c r="E59" s="262">
        <f>'数据-汇总表'!E14</f>
        <v>0</v>
      </c>
      <c r="F59" s="1090" t="e">
        <f t="shared" si="15"/>
        <v>#DIV/0!</v>
      </c>
      <c r="G59" s="1096" t="s">
        <v>1529</v>
      </c>
      <c r="H59" s="1097" t="str">
        <f>项目基本情况!B37</f>
        <v>一级</v>
      </c>
      <c r="I59" s="1151">
        <f>SUMIF(修正!A57:A68,H59,修正!G57:G68)</f>
        <v>0.2</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1540</v>
      </c>
      <c r="B60" s="262" t="e">
        <f t="shared" si="17"/>
        <v>#DIV/0!</v>
      </c>
      <c r="C60" s="1094">
        <f t="shared" si="16"/>
        <v>0.2</v>
      </c>
      <c r="D60" s="1095">
        <v>0.25</v>
      </c>
      <c r="E60" s="262">
        <f>'数据-汇总表'!E15</f>
        <v>0</v>
      </c>
      <c r="F60" s="1090" t="e">
        <f t="shared" si="15"/>
        <v>#DIV/0!</v>
      </c>
      <c r="G60" s="1099" t="s">
        <v>1534</v>
      </c>
      <c r="H60" s="1100" t="str">
        <f>项目基本情况!C37</f>
        <v>一级</v>
      </c>
      <c r="I60" s="1151">
        <f>SUMIF(修正!A57:A68,H60,修正!G57:G68)</f>
        <v>0.2</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1541</v>
      </c>
      <c r="B61" s="1102" t="s">
        <v>1476</v>
      </c>
      <c r="C61" s="1102" t="s">
        <v>1476</v>
      </c>
      <c r="D61" s="1102" t="s">
        <v>1476</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2022-8-1</v>
      </c>
      <c r="D63" s="1080">
        <f>EDATE(C63,-3)</f>
        <v>44682</v>
      </c>
      <c r="E63" s="1080">
        <f>EDATE(D63,-3)</f>
        <v>44593</v>
      </c>
      <c r="F63" s="1080">
        <f t="shared" ref="F63:O63" si="18">EDATE(E63,-3)</f>
        <v>44501</v>
      </c>
      <c r="G63" s="1080">
        <f t="shared" si="18"/>
        <v>44409</v>
      </c>
      <c r="H63" s="1080">
        <f t="shared" si="18"/>
        <v>44317</v>
      </c>
      <c r="I63" s="1080">
        <f t="shared" si="18"/>
        <v>44228</v>
      </c>
      <c r="J63" s="1080">
        <f t="shared" si="18"/>
        <v>44136</v>
      </c>
      <c r="K63" s="1080">
        <f t="shared" si="18"/>
        <v>44044</v>
      </c>
      <c r="L63" s="1080">
        <f t="shared" si="18"/>
        <v>43952</v>
      </c>
      <c r="M63" s="1080">
        <f t="shared" si="18"/>
        <v>43862</v>
      </c>
      <c r="N63" s="1080">
        <f t="shared" si="18"/>
        <v>43770</v>
      </c>
      <c r="O63" s="1080">
        <f t="shared" si="18"/>
        <v>43678</v>
      </c>
      <c r="P63" s="1073"/>
      <c r="Q63" s="1073"/>
      <c r="R63" s="1073"/>
      <c r="S63" s="1073"/>
      <c r="T63" s="1073"/>
      <c r="U63" s="1073"/>
      <c r="V63" s="1073"/>
      <c r="W63" s="1073"/>
      <c r="X63" s="1073"/>
      <c r="Y63" s="1073"/>
      <c r="Z63" s="1073"/>
      <c r="AA63" s="1073"/>
      <c r="AB63" s="1073"/>
      <c r="AC63" s="1073"/>
      <c r="AD63" s="1073"/>
      <c r="AE63" s="1073"/>
    </row>
    <row r="64" ht="21.15" spans="1:31">
      <c r="A64" s="1106" t="s">
        <v>1425</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1542</v>
      </c>
      <c r="B65" s="1184"/>
      <c r="C65" s="1185" t="str">
        <f>YEAR(C63)&amp;"-"&amp;ROUNDUP(MONTH(C63)/3,0)</f>
        <v>2022-3</v>
      </c>
      <c r="D65" s="1185" t="str">
        <f t="shared" ref="D65:O65" si="19">YEAR(D63)&amp;"-"&amp;ROUNDUP(MONTH(D63)/3,0)</f>
        <v>2022-2</v>
      </c>
      <c r="E65" s="1185" t="str">
        <f t="shared" si="19"/>
        <v>2022-1</v>
      </c>
      <c r="F65" s="1185" t="str">
        <f t="shared" si="19"/>
        <v>2021-4</v>
      </c>
      <c r="G65" s="1185" t="str">
        <f t="shared" si="19"/>
        <v>2021-3</v>
      </c>
      <c r="H65" s="1185" t="str">
        <f t="shared" si="19"/>
        <v>2021-2</v>
      </c>
      <c r="I65" s="1185" t="str">
        <f t="shared" si="19"/>
        <v>2021-1</v>
      </c>
      <c r="J65" s="1185" t="str">
        <f t="shared" si="19"/>
        <v>2020-4</v>
      </c>
      <c r="K65" s="1185" t="str">
        <f t="shared" si="19"/>
        <v>2020-3</v>
      </c>
      <c r="L65" s="1185" t="str">
        <f t="shared" si="19"/>
        <v>2020-2</v>
      </c>
      <c r="M65" s="1185" t="str">
        <f t="shared" si="19"/>
        <v>2020-1</v>
      </c>
      <c r="N65" s="1185" t="str">
        <f t="shared" si="19"/>
        <v>2019-4</v>
      </c>
      <c r="O65" s="1185" t="str">
        <f t="shared" si="19"/>
        <v>2019-3</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1552</v>
      </c>
      <c r="B66" s="1187" t="str">
        <f>"北京市平均增长率"&amp;TEXT(基准地价修正!P28,"0.00%")</f>
        <v>北京市平均增长率0.59%</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1426</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1387</v>
      </c>
      <c r="B68" s="1194"/>
      <c r="C68" s="1195" t="s">
        <v>1388</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1427</v>
      </c>
      <c r="B70" s="1199" t="s">
        <v>1391</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1394</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1395</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1396</v>
      </c>
      <c r="B83" s="1199" t="s">
        <v>1486</v>
      </c>
      <c r="C83" s="1219" t="s">
        <v>1435</v>
      </c>
      <c r="D83" s="1219" t="s">
        <v>1436</v>
      </c>
      <c r="E83" s="1219" t="s">
        <v>1437</v>
      </c>
      <c r="F83" s="1219" t="s">
        <v>1438</v>
      </c>
      <c r="G83" s="1219" t="s">
        <v>1439</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1399</v>
      </c>
      <c r="C85" s="1220" t="s">
        <v>1435</v>
      </c>
      <c r="D85" s="1220" t="s">
        <v>1436</v>
      </c>
      <c r="E85" s="1220" t="s">
        <v>1437</v>
      </c>
      <c r="F85" s="1220" t="s">
        <v>1438</v>
      </c>
      <c r="G85" s="1220" t="s">
        <v>1439</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1508</v>
      </c>
      <c r="C87" s="1219" t="s">
        <v>1435</v>
      </c>
      <c r="D87" s="1219" t="s">
        <v>1436</v>
      </c>
      <c r="E87" s="1219" t="s">
        <v>1437</v>
      </c>
      <c r="F87" s="1219" t="s">
        <v>1438</v>
      </c>
      <c r="G87" s="1219" t="s">
        <v>1439</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1509</v>
      </c>
      <c r="C89" s="1219" t="s">
        <v>1435</v>
      </c>
      <c r="D89" s="1219" t="s">
        <v>1436</v>
      </c>
      <c r="E89" s="1219" t="s">
        <v>1437</v>
      </c>
      <c r="F89" s="1219" t="s">
        <v>1438</v>
      </c>
      <c r="G89" s="1219" t="s">
        <v>1439</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1400</v>
      </c>
      <c r="C91" s="1219" t="s">
        <v>1435</v>
      </c>
      <c r="D91" s="1219" t="s">
        <v>1436</v>
      </c>
      <c r="E91" s="1219" t="s">
        <v>1437</v>
      </c>
      <c r="F91" s="1219" t="s">
        <v>1438</v>
      </c>
      <c r="G91" s="1219" t="s">
        <v>1439</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1401</v>
      </c>
      <c r="C93" s="1134" t="s">
        <v>1440</v>
      </c>
      <c r="D93" s="1134" t="s">
        <v>1441</v>
      </c>
      <c r="E93" s="1134" t="s">
        <v>1442</v>
      </c>
      <c r="F93" s="1134" t="s">
        <v>1443</v>
      </c>
      <c r="G93" s="1134" t="s">
        <v>1444</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1544</v>
      </c>
      <c r="D95" s="1203" t="s">
        <v>1545</v>
      </c>
      <c r="E95" s="1203" t="s">
        <v>1546</v>
      </c>
      <c r="F95" s="1203" t="s">
        <v>1547</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1481</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1510</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1405</v>
      </c>
      <c r="B107" s="1199" t="s">
        <v>1511</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1512</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1514</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1515</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I24" sqref="I24"/>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1553</v>
      </c>
      <c r="B1" s="652"/>
      <c r="C1" s="653" t="s">
        <v>1370</v>
      </c>
      <c r="D1" s="654">
        <f>SUM(D33:D34,D37:D42)</f>
        <v>3997</v>
      </c>
      <c r="E1" s="655"/>
      <c r="F1" s="655"/>
      <c r="G1" s="655"/>
      <c r="H1" s="655"/>
      <c r="I1" s="655"/>
      <c r="J1" s="655"/>
      <c r="L1" s="832" t="s">
        <v>1554</v>
      </c>
      <c r="M1" s="833">
        <f>SUMPRODUCT((区片价!B5:B9=I2)*(区片价!C3:G3=E2)*(区片价!C5:G9))</f>
        <v>34550</v>
      </c>
      <c r="N1" s="654">
        <f>SUMPRODUCT((因素修正幅度!B5:B9=I2)*(因素修正幅度!C3:G3=E2)*(因素修正幅度!C5:G9))</f>
        <v>0.098</v>
      </c>
      <c r="Q1" s="649"/>
      <c r="R1" s="906" t="s">
        <v>1555</v>
      </c>
      <c r="S1" s="906" t="s">
        <v>1556</v>
      </c>
      <c r="T1" s="906" t="s">
        <v>1557</v>
      </c>
      <c r="U1" s="906" t="s">
        <v>1558</v>
      </c>
      <c r="V1" s="906" t="s">
        <v>1559</v>
      </c>
      <c r="W1" s="907"/>
      <c r="X1" s="907"/>
      <c r="Y1" s="907"/>
      <c r="Z1" s="907"/>
      <c r="AA1" s="907"/>
      <c r="AB1" s="907"/>
      <c r="AC1" s="907"/>
      <c r="AD1" s="913"/>
      <c r="AE1" s="913"/>
      <c r="AF1" s="913"/>
      <c r="AG1" s="913"/>
      <c r="AH1" s="913"/>
      <c r="AI1" s="913"/>
      <c r="AJ1" s="919"/>
    </row>
    <row r="2" ht="15.6" spans="1:36">
      <c r="A2" s="653" t="s">
        <v>886</v>
      </c>
      <c r="B2" s="656">
        <f>C30</f>
        <v>0</v>
      </c>
      <c r="C2" s="657" t="s">
        <v>887</v>
      </c>
      <c r="D2" s="654" t="s">
        <v>1560</v>
      </c>
      <c r="E2" s="658" t="s">
        <v>1561</v>
      </c>
      <c r="F2" s="654" t="s">
        <v>1562</v>
      </c>
      <c r="G2" s="654" t="str">
        <f>IF(E2="商业",项目基本情况!B37,IF(E2="办公",项目基本情况!C37,IF(E2="住宅",项目基本情况!D37,IF(E2="工业",项目基本情况!E37,项目基本情况!F37))))</f>
        <v>一级</v>
      </c>
      <c r="H2" s="654" t="s">
        <v>1563</v>
      </c>
      <c r="I2" s="654" t="str">
        <f>IF(E2="商业",项目基本情况!B38,IF(E2="办公",项目基本情况!C38,IF(E2="住宅",项目基本情况!D38,IF(E2="工业",项目基本情况!E38,项目基本情况!F38))))</f>
        <v>Ⅰ—01</v>
      </c>
      <c r="J2" s="655"/>
      <c r="L2" s="834" t="s">
        <v>1564</v>
      </c>
      <c r="M2" s="835">
        <f>SUMPRODUCT((区片价!B10:B29=I2)*(区片价!C3:G3=E2)*(区片价!C10:G29))</f>
        <v>0</v>
      </c>
      <c r="N2" s="654">
        <f>SUMPRODUCT((因素修正幅度!B10:B29=I2)*(因素修正幅度!C3:G3=E2)*(因素修正幅度!C10:G29))</f>
        <v>0</v>
      </c>
      <c r="O2" s="649"/>
      <c r="P2" s="649"/>
      <c r="Q2" s="649"/>
      <c r="R2" s="906">
        <v>1</v>
      </c>
      <c r="S2" s="906">
        <f>ROUND(SUMPRODUCT((B107:B111=R2)*(C106:N106=G2)*(C107:N111)),4)</f>
        <v>1.5206</v>
      </c>
      <c r="T2" s="906">
        <f t="shared" ref="T2:T16" si="0">ROUND($C$5*$C$22*$C$23*$C$24*S2*$C$28,0)</f>
        <v>31074</v>
      </c>
      <c r="U2" s="908"/>
      <c r="V2" s="906">
        <f>ROUND(T2*U2/10000,0)</f>
        <v>0</v>
      </c>
      <c r="W2" s="907"/>
      <c r="X2" s="907"/>
      <c r="Y2" s="907"/>
      <c r="Z2" s="907"/>
      <c r="AA2" s="907"/>
      <c r="AB2" s="907"/>
      <c r="AC2" s="907"/>
      <c r="AD2" s="913"/>
      <c r="AE2" s="913"/>
      <c r="AF2" s="913"/>
      <c r="AG2" s="913"/>
      <c r="AH2" s="913"/>
      <c r="AI2" s="913"/>
      <c r="AJ2" s="919"/>
    </row>
    <row r="3" ht="15.6" spans="1:36">
      <c r="A3" s="656" t="s">
        <v>888</v>
      </c>
      <c r="B3" s="656">
        <f>ROUND(B2*10000/D1,0)</f>
        <v>0</v>
      </c>
      <c r="C3" s="657" t="s">
        <v>889</v>
      </c>
      <c r="D3" s="654" t="s">
        <v>1565</v>
      </c>
      <c r="E3" s="658" t="s">
        <v>1566</v>
      </c>
      <c r="F3" s="659" t="s">
        <v>1567</v>
      </c>
      <c r="G3" s="660">
        <v>3.5</v>
      </c>
      <c r="H3" s="654" t="s">
        <v>1568</v>
      </c>
      <c r="I3" s="660">
        <v>2</v>
      </c>
      <c r="J3" s="655" t="s">
        <v>1569</v>
      </c>
      <c r="L3" s="834" t="s">
        <v>1570</v>
      </c>
      <c r="M3" s="835">
        <f>SUMPRODUCT((区片价!B30:B54=I2)*(区片价!C3:G3=E2)*(区片价!C30:G54))</f>
        <v>0</v>
      </c>
      <c r="N3" s="654">
        <f>SUMPRODUCT((因素修正幅度!B30:B54=I2)*(因素修正幅度!C3:G3=E2)*(因素修正幅度!C30:G54))</f>
        <v>0</v>
      </c>
      <c r="O3" s="649"/>
      <c r="P3" s="649"/>
      <c r="Q3" s="649"/>
      <c r="R3" s="906">
        <v>2</v>
      </c>
      <c r="S3" s="906">
        <f>ROUND(SUMPRODUCT((B107:B111=R3)*(C106:N106=G2)*(C107:N111)),4)</f>
        <v>1.2072</v>
      </c>
      <c r="T3" s="906">
        <f t="shared" si="0"/>
        <v>24670</v>
      </c>
      <c r="U3" s="908"/>
      <c r="V3" s="906">
        <f t="shared" ref="V3:V16" si="1">ROUND(T3*U3/10000,0)</f>
        <v>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1571</v>
      </c>
      <c r="M4" s="835">
        <f>SUMPRODUCT((区片价!B55:B86=I2)*(区片价!C3:G3=E2)*(区片价!C55:G86))</f>
        <v>0</v>
      </c>
      <c r="N4" s="654">
        <f>SUMPRODUCT((因素修正幅度!B55:B86=I2)*(因素修正幅度!C3:G3=E2)*(因素修正幅度!C55:G86))</f>
        <v>0</v>
      </c>
      <c r="O4" s="649"/>
      <c r="P4" s="649"/>
      <c r="Q4" s="649"/>
      <c r="R4" s="906">
        <v>3</v>
      </c>
      <c r="S4" s="906">
        <f>ROUND(SUMPRODUCT((B107:B111=R4)*(C106:N106=G2)*(C107:N111)),4)</f>
        <v>1.0431</v>
      </c>
      <c r="T4" s="906">
        <f t="shared" si="0"/>
        <v>21316</v>
      </c>
      <c r="U4" s="908"/>
      <c r="V4" s="906">
        <f t="shared" si="1"/>
        <v>0</v>
      </c>
      <c r="W4" s="907"/>
      <c r="X4" s="907"/>
      <c r="Y4" s="907"/>
      <c r="Z4" s="907"/>
      <c r="AA4" s="907"/>
      <c r="AB4" s="907"/>
      <c r="AC4" s="907"/>
      <c r="AD4" s="913"/>
      <c r="AE4" s="913"/>
      <c r="AF4" s="913"/>
      <c r="AG4" s="913"/>
      <c r="AH4" s="913"/>
      <c r="AI4" s="913"/>
      <c r="AJ4" s="919"/>
    </row>
    <row r="5" s="648" customFormat="1" ht="15.75" spans="1:36">
      <c r="A5" s="664" t="s">
        <v>792</v>
      </c>
      <c r="B5" s="664" t="s">
        <v>1572</v>
      </c>
      <c r="C5" s="665">
        <f>ROUND(IF(E2="商业",C6*C7*C17+C20,(IF(E2="住宅",C6*C13*C17+C20,IF(E2="办公",C6*C12*C17+C20,C6+C20)))),0)</f>
        <v>35932</v>
      </c>
      <c r="D5" s="666">
        <f>ROUND(C6*C17+C20,0)</f>
        <v>34550</v>
      </c>
      <c r="E5" s="666"/>
      <c r="F5" s="667"/>
      <c r="G5" s="668"/>
      <c r="H5" s="668"/>
      <c r="I5" s="668"/>
      <c r="J5" s="837"/>
      <c r="K5" s="838"/>
      <c r="L5" s="834" t="s">
        <v>1573</v>
      </c>
      <c r="M5" s="835">
        <f>SUMPRODUCT((区片价!B87:B126=I2)*(区片价!C3:G3=E2)*(区片价!C87:G126))</f>
        <v>0</v>
      </c>
      <c r="N5" s="654">
        <f>SUMPRODUCT((因素修正幅度!B87:B126=I2)*(因素修正幅度!C3:G3=E2)*(因素修正幅度!C87:G126))</f>
        <v>0</v>
      </c>
      <c r="O5" s="649"/>
      <c r="P5" s="649"/>
      <c r="Q5" s="649"/>
      <c r="R5" s="906">
        <v>4</v>
      </c>
      <c r="S5" s="906">
        <f>ROUND(SUMPRODUCT((B107:B111=R5)*(C106:N106=G2)*(C107:N111)),4)</f>
        <v>0.9439</v>
      </c>
      <c r="T5" s="906">
        <f t="shared" si="0"/>
        <v>19289</v>
      </c>
      <c r="U5" s="908"/>
      <c r="V5" s="906">
        <f t="shared" si="1"/>
        <v>0</v>
      </c>
      <c r="W5" s="907"/>
      <c r="X5" s="907"/>
      <c r="Y5" s="907"/>
      <c r="Z5" s="907"/>
      <c r="AA5" s="907"/>
      <c r="AB5" s="907"/>
      <c r="AC5" s="914"/>
      <c r="AD5" s="915"/>
      <c r="AE5" s="915"/>
      <c r="AF5" s="915"/>
      <c r="AG5" s="915"/>
      <c r="AH5" s="915"/>
      <c r="AI5" s="915"/>
      <c r="AJ5" s="920"/>
    </row>
    <row r="6" ht="15.75" spans="1:36">
      <c r="A6" s="669" t="s">
        <v>891</v>
      </c>
      <c r="B6" s="670" t="s">
        <v>1574</v>
      </c>
      <c r="C6" s="671">
        <f>SUMIF(L1:L12,G2,M1:M12)</f>
        <v>34550</v>
      </c>
      <c r="D6" s="672" t="s">
        <v>1575</v>
      </c>
      <c r="E6" s="670"/>
      <c r="F6" s="670"/>
      <c r="G6" s="673"/>
      <c r="H6" s="673"/>
      <c r="I6" s="673"/>
      <c r="J6" s="839"/>
      <c r="K6" s="840"/>
      <c r="L6" s="834" t="s">
        <v>1576</v>
      </c>
      <c r="M6" s="835">
        <f>SUMPRODUCT((区片价!B127:B189=I2)*(区片价!C3:G3=E2)*(区片价!C127:G189))</f>
        <v>0</v>
      </c>
      <c r="N6" s="654">
        <f>SUMPRODUCT((因素修正幅度!B127:B189=I2)*(因素修正幅度!C3:G3=E2)*(因素修正幅度!C127:G189))</f>
        <v>0</v>
      </c>
      <c r="O6" s="649"/>
      <c r="P6" s="649"/>
      <c r="Q6" s="649"/>
      <c r="R6" s="906">
        <v>5</v>
      </c>
      <c r="S6" s="906">
        <f>ROUND(SUMPRODUCT((B107:B111=R6)*(C106:N106=G2)*(C107:N111)),4)</f>
        <v>0.8996</v>
      </c>
      <c r="T6" s="906">
        <f t="shared" si="0"/>
        <v>18384</v>
      </c>
      <c r="U6" s="908"/>
      <c r="V6" s="906">
        <f t="shared" si="1"/>
        <v>0</v>
      </c>
      <c r="W6" s="907"/>
      <c r="X6" s="907"/>
      <c r="Y6" s="907"/>
      <c r="Z6" s="907"/>
      <c r="AA6" s="907"/>
      <c r="AB6" s="907"/>
      <c r="AC6" s="914"/>
      <c r="AD6" s="915"/>
      <c r="AE6" s="915"/>
      <c r="AF6" s="915"/>
      <c r="AG6" s="915"/>
      <c r="AH6" s="915"/>
      <c r="AI6" s="915"/>
      <c r="AJ6" s="920"/>
    </row>
    <row r="7" ht="24.75" spans="1:36">
      <c r="A7" s="674" t="s">
        <v>1577</v>
      </c>
      <c r="B7" s="675" t="s">
        <v>1578</v>
      </c>
      <c r="C7" s="676">
        <f>IF(C8="不临65条商业街",1,ROUND(1+(1.6*E8+1.2*E9+0.8*E10+0.4*E11)*C9,4))</f>
        <v>1.04</v>
      </c>
      <c r="D7" s="677" t="s">
        <v>1579</v>
      </c>
      <c r="E7" s="678">
        <v>75</v>
      </c>
      <c r="F7" s="679"/>
      <c r="G7" s="679"/>
      <c r="H7" s="679"/>
      <c r="I7" s="679"/>
      <c r="J7" s="841"/>
      <c r="K7" s="840"/>
      <c r="L7" s="834" t="s">
        <v>1580</v>
      </c>
      <c r="M7" s="835">
        <f>SUMPRODUCT((区片价!B190:B233=I2)*(区片价!C3:G3=E2)*(区片价!C190:G233))</f>
        <v>0</v>
      </c>
      <c r="N7" s="654">
        <f>SUMPRODUCT((因素修正幅度!B190:B233=I2)*(因素修正幅度!C3:G3=E2)*(因素修正幅度!C190:G233))</f>
        <v>0</v>
      </c>
      <c r="O7" s="649"/>
      <c r="P7" s="649"/>
      <c r="Q7" s="649"/>
      <c r="R7" s="906">
        <v>6</v>
      </c>
      <c r="S7" s="908"/>
      <c r="T7" s="906">
        <f t="shared" si="0"/>
        <v>0</v>
      </c>
      <c r="U7" s="908"/>
      <c r="V7" s="906">
        <f t="shared" si="1"/>
        <v>0</v>
      </c>
      <c r="W7" s="909" t="s">
        <v>1581</v>
      </c>
      <c r="X7" s="910" t="str">
        <f>G2</f>
        <v>一级</v>
      </c>
      <c r="Y7" s="910" t="s">
        <v>1582</v>
      </c>
      <c r="Z7" s="910">
        <f>G3</f>
        <v>3.5</v>
      </c>
      <c r="AA7" s="907"/>
      <c r="AB7" s="907"/>
      <c r="AC7" s="907"/>
      <c r="AD7" s="913"/>
      <c r="AE7" s="913"/>
      <c r="AF7" s="913"/>
      <c r="AG7" s="913"/>
      <c r="AH7" s="913"/>
      <c r="AI7" s="913"/>
      <c r="AJ7" s="919"/>
    </row>
    <row r="8" ht="15" spans="1:36">
      <c r="A8" s="680"/>
      <c r="B8" s="654" t="s">
        <v>1583</v>
      </c>
      <c r="C8" s="658" t="s">
        <v>1584</v>
      </c>
      <c r="D8" s="681" t="s">
        <v>1585</v>
      </c>
      <c r="E8" s="682">
        <f>ROUND(C11/E7,4)</f>
        <v>0.0667</v>
      </c>
      <c r="F8" s="683" t="s">
        <v>1586</v>
      </c>
      <c r="G8" s="684"/>
      <c r="H8" s="684"/>
      <c r="I8" s="684"/>
      <c r="J8" s="842"/>
      <c r="L8" s="834" t="s">
        <v>1587</v>
      </c>
      <c r="M8" s="835">
        <f>SUMPRODUCT((区片价!B234:B276=I2)*(区片价!C3:G3=E2)*(区片价!C234:G276))</f>
        <v>0</v>
      </c>
      <c r="N8" s="654">
        <f>SUMPRODUCT((因素修正幅度!B234:B276=I2)*(因素修正幅度!C3:G3=E2)*(因素修正幅度!C234:G276))</f>
        <v>0</v>
      </c>
      <c r="O8" s="649"/>
      <c r="P8" s="649"/>
      <c r="Q8" s="649"/>
      <c r="R8" s="906">
        <v>7</v>
      </c>
      <c r="S8" s="908"/>
      <c r="T8" s="906">
        <f t="shared" si="0"/>
        <v>0</v>
      </c>
      <c r="U8" s="908"/>
      <c r="V8" s="906">
        <f t="shared" si="1"/>
        <v>0</v>
      </c>
      <c r="W8" s="911" t="s">
        <v>1588</v>
      </c>
      <c r="X8" s="909"/>
      <c r="Y8" s="912" t="s">
        <v>1589</v>
      </c>
      <c r="Z8" s="912" t="s">
        <v>1590</v>
      </c>
      <c r="AA8" s="912" t="s">
        <v>1591</v>
      </c>
      <c r="AB8" s="912" t="s">
        <v>1592</v>
      </c>
      <c r="AC8" s="912" t="s">
        <v>1593</v>
      </c>
      <c r="AD8" s="912" t="s">
        <v>1594</v>
      </c>
      <c r="AE8" s="912" t="s">
        <v>1595</v>
      </c>
      <c r="AF8" s="912" t="s">
        <v>1596</v>
      </c>
      <c r="AG8" s="912" t="s">
        <v>1597</v>
      </c>
      <c r="AH8" s="912" t="s">
        <v>1598</v>
      </c>
      <c r="AI8" s="912" t="s">
        <v>1599</v>
      </c>
      <c r="AJ8" s="912" t="s">
        <v>1600</v>
      </c>
    </row>
    <row r="9" ht="15" spans="1:36">
      <c r="A9" s="680"/>
      <c r="B9" s="654" t="s">
        <v>1601</v>
      </c>
      <c r="C9" s="654">
        <f>SUMIF(修正!C71:C138,C8,修正!E71:E138)</f>
        <v>0.15</v>
      </c>
      <c r="D9" s="654" t="s">
        <v>1602</v>
      </c>
      <c r="E9" s="654">
        <f>ROUND(C11/E7,4)</f>
        <v>0.0667</v>
      </c>
      <c r="F9" s="683" t="s">
        <v>1603</v>
      </c>
      <c r="G9" s="684"/>
      <c r="H9" s="684"/>
      <c r="I9" s="684"/>
      <c r="J9" s="842"/>
      <c r="L9" s="834" t="s">
        <v>1604</v>
      </c>
      <c r="M9" s="835">
        <f>SUMPRODUCT((区片价!B277:B326=I2)*(区片价!C3:G3=E2)*(区片价!C277:G326))</f>
        <v>0</v>
      </c>
      <c r="N9" s="654">
        <f>SUMPRODUCT((因素修正幅度!B277:B326=I2)*(因素修正幅度!C3:G3=E2)*(因素修正幅度!C277:G326))</f>
        <v>0</v>
      </c>
      <c r="O9" s="649"/>
      <c r="P9" s="649"/>
      <c r="Q9" s="649"/>
      <c r="R9" s="906">
        <v>8</v>
      </c>
      <c r="S9" s="908"/>
      <c r="T9" s="906">
        <f t="shared" si="0"/>
        <v>0</v>
      </c>
      <c r="U9" s="908"/>
      <c r="V9" s="906">
        <f t="shared" si="1"/>
        <v>0</v>
      </c>
      <c r="W9" s="909"/>
      <c r="X9" s="912" t="s">
        <v>1605</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80"/>
      <c r="B10" s="654" t="s">
        <v>1606</v>
      </c>
      <c r="C10" s="654">
        <f>SUMIF(修正!C71:C138,C8,修正!F71:F138)</f>
        <v>20</v>
      </c>
      <c r="D10" s="654" t="s">
        <v>1607</v>
      </c>
      <c r="E10" s="654">
        <f>ROUND(C11/E7,4)</f>
        <v>0.0667</v>
      </c>
      <c r="F10" s="683" t="s">
        <v>1608</v>
      </c>
      <c r="G10" s="684"/>
      <c r="H10" s="684"/>
      <c r="I10" s="684"/>
      <c r="J10" s="842"/>
      <c r="L10" s="834" t="s">
        <v>1609</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1"/>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1610</v>
      </c>
      <c r="C11" s="686">
        <f>C10/4</f>
        <v>5</v>
      </c>
      <c r="D11" s="686" t="s">
        <v>1611</v>
      </c>
      <c r="E11" s="686">
        <f>ROUND(C11/E7,4)</f>
        <v>0.0667</v>
      </c>
      <c r="F11" s="687" t="s">
        <v>1612</v>
      </c>
      <c r="G11" s="688"/>
      <c r="H11" s="688"/>
      <c r="I11" s="688"/>
      <c r="J11" s="843"/>
      <c r="L11" s="834" t="s">
        <v>1613</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1"/>
        <v>0</v>
      </c>
      <c r="W11" s="907"/>
      <c r="X11" s="907"/>
      <c r="Y11" s="907"/>
      <c r="Z11" s="907"/>
      <c r="AA11" s="907"/>
      <c r="AB11" s="907"/>
      <c r="AC11" s="907"/>
      <c r="AD11" s="913"/>
      <c r="AE11" s="913"/>
      <c r="AF11" s="913"/>
      <c r="AG11" s="913"/>
      <c r="AH11" s="913"/>
      <c r="AI11" s="913"/>
      <c r="AJ11" s="919"/>
    </row>
    <row r="12" ht="25.95" spans="1:36">
      <c r="A12" s="674" t="s">
        <v>1614</v>
      </c>
      <c r="B12" s="689" t="s">
        <v>1615</v>
      </c>
      <c r="C12" s="690">
        <v>1.03</v>
      </c>
      <c r="D12" s="691" t="s">
        <v>1616</v>
      </c>
      <c r="E12" s="692" t="s">
        <v>1617</v>
      </c>
      <c r="F12" s="693"/>
      <c r="G12" s="694"/>
      <c r="H12" s="694"/>
      <c r="I12" s="694"/>
      <c r="J12" s="844"/>
      <c r="L12" s="845" t="s">
        <v>1618</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1"/>
        <v>0</v>
      </c>
      <c r="W12" s="907"/>
      <c r="X12" s="907"/>
      <c r="Y12" s="907"/>
      <c r="Z12" s="907"/>
      <c r="AA12" s="907"/>
      <c r="AB12" s="907"/>
      <c r="AC12" s="907"/>
      <c r="AD12" s="913"/>
      <c r="AE12" s="913"/>
      <c r="AF12" s="913"/>
      <c r="AG12" s="913"/>
      <c r="AH12" s="913"/>
      <c r="AI12" s="913"/>
      <c r="AJ12" s="919"/>
    </row>
    <row r="13" ht="24" spans="1:36">
      <c r="A13" s="695" t="s">
        <v>1619</v>
      </c>
      <c r="B13" s="696" t="s">
        <v>1620</v>
      </c>
      <c r="C13" s="676">
        <f>ROUND(C16*D16*E16*F16*G16*H16*I16*J16,4)</f>
        <v>0</v>
      </c>
      <c r="D13" s="697" t="s">
        <v>1621</v>
      </c>
      <c r="E13" s="698"/>
      <c r="F13" s="698"/>
      <c r="G13" s="698"/>
      <c r="H13" s="698"/>
      <c r="I13" s="698"/>
      <c r="J13" s="847"/>
      <c r="L13" s="649"/>
      <c r="M13" s="649"/>
      <c r="N13" s="649"/>
      <c r="O13" s="649"/>
      <c r="P13" s="649"/>
      <c r="Q13" s="649"/>
      <c r="R13" s="906">
        <v>12</v>
      </c>
      <c r="S13" s="908"/>
      <c r="T13" s="906">
        <f t="shared" si="0"/>
        <v>0</v>
      </c>
      <c r="U13" s="908"/>
      <c r="V13" s="906">
        <f t="shared" si="1"/>
        <v>0</v>
      </c>
      <c r="W13" s="907"/>
      <c r="X13" s="907"/>
      <c r="Y13" s="907"/>
      <c r="Z13" s="907"/>
      <c r="AA13" s="907"/>
      <c r="AB13" s="907"/>
      <c r="AC13" s="907"/>
      <c r="AD13" s="913"/>
      <c r="AE13" s="913"/>
      <c r="AF13" s="913"/>
      <c r="AG13" s="913"/>
      <c r="AH13" s="913"/>
      <c r="AI13" s="913"/>
      <c r="AJ13" s="919"/>
    </row>
    <row r="14" ht="24" spans="1:36">
      <c r="A14" s="699"/>
      <c r="B14" s="700" t="s">
        <v>1622</v>
      </c>
      <c r="C14" s="701" t="s">
        <v>1623</v>
      </c>
      <c r="D14" s="702" t="s">
        <v>1624</v>
      </c>
      <c r="E14" s="703" t="s">
        <v>1625</v>
      </c>
      <c r="F14" s="704" t="s">
        <v>1626</v>
      </c>
      <c r="G14" s="704" t="s">
        <v>1626</v>
      </c>
      <c r="H14" s="704" t="s">
        <v>1626</v>
      </c>
      <c r="I14" s="704" t="s">
        <v>1626</v>
      </c>
      <c r="J14" s="848" t="s">
        <v>1626</v>
      </c>
      <c r="L14" s="649"/>
      <c r="M14" s="649"/>
      <c r="N14" s="649"/>
      <c r="O14" s="649"/>
      <c r="P14" s="649"/>
      <c r="Q14" s="649"/>
      <c r="R14" s="906">
        <v>13</v>
      </c>
      <c r="S14" s="908"/>
      <c r="T14" s="906">
        <f t="shared" si="0"/>
        <v>0</v>
      </c>
      <c r="U14" s="908"/>
      <c r="V14" s="906">
        <f t="shared" si="1"/>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1627</v>
      </c>
      <c r="G15" s="709"/>
      <c r="H15" s="710"/>
      <c r="I15" s="849"/>
      <c r="J15" s="850"/>
      <c r="L15" s="649"/>
      <c r="M15" s="649"/>
      <c r="N15" s="649"/>
      <c r="O15" s="649"/>
      <c r="P15" s="649"/>
      <c r="Q15" s="649"/>
      <c r="R15" s="906">
        <v>14</v>
      </c>
      <c r="S15" s="908"/>
      <c r="T15" s="906">
        <f t="shared" si="0"/>
        <v>0</v>
      </c>
      <c r="U15" s="908"/>
      <c r="V15" s="906">
        <f t="shared" si="1"/>
        <v>0</v>
      </c>
      <c r="W15" s="907"/>
      <c r="X15" s="907"/>
      <c r="Y15" s="907"/>
      <c r="Z15" s="907"/>
      <c r="AA15" s="907"/>
      <c r="AB15" s="907"/>
      <c r="AC15" s="907"/>
      <c r="AD15" s="913"/>
      <c r="AE15" s="913"/>
      <c r="AF15" s="913"/>
      <c r="AG15" s="913"/>
      <c r="AH15" s="913"/>
      <c r="AI15" s="913"/>
      <c r="AJ15" s="919"/>
    </row>
    <row r="16" ht="15.75" spans="1:36">
      <c r="A16" s="699"/>
      <c r="B16" s="711" t="s">
        <v>1628</v>
      </c>
      <c r="C16" s="712"/>
      <c r="D16" s="712"/>
      <c r="E16" s="712"/>
      <c r="F16" s="712">
        <v>1</v>
      </c>
      <c r="G16" s="712">
        <v>1</v>
      </c>
      <c r="H16" s="712">
        <v>1</v>
      </c>
      <c r="I16" s="712">
        <v>1</v>
      </c>
      <c r="J16" s="851">
        <v>1</v>
      </c>
      <c r="O16" s="649"/>
      <c r="P16" s="649"/>
      <c r="Q16" s="649"/>
      <c r="R16" s="906">
        <v>15</v>
      </c>
      <c r="S16" s="908"/>
      <c r="T16" s="906">
        <f t="shared" si="0"/>
        <v>0</v>
      </c>
      <c r="U16" s="908"/>
      <c r="V16" s="906">
        <f t="shared" si="1"/>
        <v>0</v>
      </c>
      <c r="W16" s="907"/>
      <c r="X16" s="907"/>
      <c r="Y16" s="907"/>
      <c r="Z16" s="907"/>
      <c r="AA16" s="907"/>
      <c r="AB16" s="907"/>
      <c r="AC16" s="907"/>
      <c r="AD16" s="913"/>
      <c r="AE16" s="913"/>
      <c r="AF16" s="913"/>
      <c r="AG16" s="913"/>
      <c r="AH16" s="913"/>
      <c r="AI16" s="913"/>
      <c r="AJ16" s="919"/>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1633</v>
      </c>
      <c r="E18" s="722">
        <v>0</v>
      </c>
      <c r="F18" s="719" t="s">
        <v>1634</v>
      </c>
      <c r="G18" s="719">
        <f>ROUND(1-(1/(POWER(1+G24,E18))),4)</f>
        <v>0</v>
      </c>
      <c r="H18" s="719" t="s">
        <v>1635</v>
      </c>
      <c r="I18" s="719">
        <f>ROUND(1-(1/(POWER(1+G24,J24))),4)</f>
        <v>0.8825</v>
      </c>
      <c r="J18" s="853"/>
      <c r="K18" s="649"/>
      <c r="L18" s="649">
        <f>SUMPRODUCT(('地价-分区'!A22:A30=YEAR(G23)&amp;"-"&amp;ROUNDUP(MONTH(G23)/3,0))*('地价-分区'!S19:W19=E2)*('地价-分区'!S22:W30))</f>
        <v>1.0211</v>
      </c>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1636</v>
      </c>
      <c r="E19" s="712">
        <v>0</v>
      </c>
      <c r="F19" s="726" t="s">
        <v>1637</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1638</v>
      </c>
      <c r="B20" s="675" t="s">
        <v>1639</v>
      </c>
      <c r="C20" s="675">
        <f>ROUND(IF(F21="与级别开发程度一致",0,(G21-E21)/C21),0)</f>
        <v>0</v>
      </c>
      <c r="D20" s="728" t="s">
        <v>1640</v>
      </c>
      <c r="E20" s="729"/>
      <c r="F20" s="728" t="s">
        <v>1641</v>
      </c>
      <c r="G20" s="729"/>
      <c r="H20" s="730"/>
      <c r="I20" s="730"/>
      <c r="J20" s="855"/>
      <c r="K20" s="730"/>
      <c r="L20" s="730"/>
      <c r="M20" s="730"/>
      <c r="N20" s="730"/>
      <c r="O20" s="856"/>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1642</v>
      </c>
      <c r="C21" s="733">
        <f>IF(E3="M4科研用地",SUMPRODUCT((修正!A2:A7=E3)*(修正!B1:M1=G2)*(修正!B2:M7)),SUMPRODUCT((修正!A2:A7=E2)*(修正!B1:M1=G2)*(修正!B2:M7)))</f>
        <v>3.5</v>
      </c>
      <c r="D21" s="734" t="str">
        <f>IF(OR(G2="八级",G2="九级",G2="十级",G2="十一级",G2="十二级"),"五通一平","七通一平")</f>
        <v>七通一平</v>
      </c>
      <c r="E21" s="735">
        <f>SUMPRODUCT((修正!B1:M1=G2)*(修正!B17:M17))</f>
        <v>375</v>
      </c>
      <c r="F21" s="736" t="s">
        <v>1643</v>
      </c>
      <c r="G21" s="737">
        <f>SUM(H21:O21)</f>
        <v>0</v>
      </c>
      <c r="H21" s="733">
        <f>SUMPRODUCT((七通一平=H20)*(修正!B1:M1=G2)*(修正!B8:M16))</f>
        <v>0</v>
      </c>
      <c r="I21" s="733">
        <f>SUMPRODUCT((七通一平=I20)*(修正!B1:M1=G2)*(修正!B8:M16))</f>
        <v>0</v>
      </c>
      <c r="J21" s="857">
        <f>SUMPRODUCT((七通一平=J20)*(修正!B1:M1=G2)*(修正!B8:M16))</f>
        <v>0</v>
      </c>
      <c r="K21" s="733">
        <f>SUMPRODUCT((七通一平=K20)*(修正!B1:M1=G2)*(修正!B8:M16))</f>
        <v>0</v>
      </c>
      <c r="L21" s="733">
        <f>SUMPRODUCT((七通一平=L20)*(修正!B1:M1=G2)*(修正!B8:M16))</f>
        <v>0</v>
      </c>
      <c r="M21" s="733">
        <f>SUMPRODUCT((七通一平=M20)*(修正!B1:M1=G2)*(修正!B8:M16))</f>
        <v>0</v>
      </c>
      <c r="N21" s="733">
        <f>SUMPRODUCT((七通一平=N20)*(修正!B1:M1=G2)*(修正!B8:M16))</f>
        <v>0</v>
      </c>
      <c r="O21" s="829">
        <f>SUMPRODUCT((七通一平=O20)*(修正!B1:M1=G2)*(修正!B8:M16))</f>
        <v>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803</v>
      </c>
      <c r="B22" s="739" t="s">
        <v>1644</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808</v>
      </c>
      <c r="B23" s="744" t="s">
        <v>1645</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v>
      </c>
      <c r="D23" s="745" t="s">
        <v>1646</v>
      </c>
      <c r="E23" s="746">
        <v>44197</v>
      </c>
      <c r="F23" s="745" t="s">
        <v>1647</v>
      </c>
      <c r="G23" s="747">
        <f>项目基本情况!D3</f>
        <v>44783</v>
      </c>
      <c r="H23" s="748" t="s">
        <v>1648</v>
      </c>
      <c r="I23" s="860" t="str">
        <f>IF(H23="季度增幅（自定义）",SUMIF(N25:N28,E2,O25:O28),"")</f>
        <v/>
      </c>
      <c r="J23" s="861" t="s">
        <v>1649</v>
      </c>
      <c r="K23" s="859"/>
      <c r="L23" s="862" t="s">
        <v>1650</v>
      </c>
      <c r="M23" s="863">
        <f>ROUND(SUMIF(地价!B2:G2,E2,地价!B13:G13),0)</f>
        <v>348</v>
      </c>
      <c r="N23" s="673" t="s">
        <v>1651</v>
      </c>
      <c r="O23" s="864">
        <f>ROUNDDOWN(DATEDIF(E23,G23,"M")/3,0)</f>
        <v>6</v>
      </c>
      <c r="P23" s="649"/>
      <c r="Q23" s="649"/>
      <c r="R23" s="649"/>
      <c r="S23" s="649"/>
      <c r="T23" s="649"/>
      <c r="U23" s="649"/>
      <c r="V23" s="649"/>
      <c r="W23" s="649"/>
      <c r="X23" s="649"/>
      <c r="Y23" s="649"/>
      <c r="Z23" s="859"/>
      <c r="AA23" s="859"/>
      <c r="AB23" s="859"/>
      <c r="AC23" s="859"/>
      <c r="AD23" s="859"/>
    </row>
    <row r="24" s="648" customFormat="1" ht="24.75" spans="1:32">
      <c r="A24" s="749" t="s">
        <v>811</v>
      </c>
      <c r="B24" s="750" t="s">
        <v>1652</v>
      </c>
      <c r="C24" s="750">
        <f>ROUND(POWER(1+G24,J24-I24)*(POWER(1+G24,I24)-1)/(POWER(1+G24,J24)-1),4)</f>
        <v>0.517</v>
      </c>
      <c r="D24" s="751" t="s">
        <v>1653</v>
      </c>
      <c r="E24" s="751">
        <f>存贷款利率!E20/100</f>
        <v>0.0435</v>
      </c>
      <c r="F24" s="751" t="s">
        <v>1654</v>
      </c>
      <c r="G24" s="752">
        <f>SUMIF(M30:Q30,E2,M33:Q33)</f>
        <v>0.055</v>
      </c>
      <c r="H24" s="751" t="s">
        <v>1655</v>
      </c>
      <c r="I24" s="865">
        <f>项目基本情况!E15</f>
        <v>11.38</v>
      </c>
      <c r="J24" s="866">
        <f>IF(E2="住宅",70,IF(E2="商业",40,50))</f>
        <v>40</v>
      </c>
      <c r="K24" s="859"/>
      <c r="L24" s="867" t="s">
        <v>1656</v>
      </c>
      <c r="M24" s="868">
        <f>ROUND(SUMPRODUCT((地价!A4:A13=YEAR(G23)&amp;"-"&amp;ROUNDUP(MONTH(G23)/3,0))*(地价!B2:G2=E2)*(地价!B4:G13)),0)</f>
        <v>355</v>
      </c>
      <c r="N24" s="869" t="s">
        <v>1657</v>
      </c>
      <c r="O24" s="870" t="s">
        <v>1658</v>
      </c>
      <c r="P24" s="871" t="s">
        <v>1659</v>
      </c>
      <c r="R24" s="649"/>
      <c r="S24" s="649"/>
      <c r="T24" s="649"/>
      <c r="U24" s="649"/>
      <c r="V24" s="649"/>
      <c r="W24" s="649"/>
      <c r="X24" s="649"/>
      <c r="Y24" s="649"/>
      <c r="Z24" s="859"/>
      <c r="AA24" s="859"/>
      <c r="AB24" s="859"/>
      <c r="AC24" s="859"/>
      <c r="AD24" s="859"/>
      <c r="AE24" s="859"/>
      <c r="AF24" s="859"/>
    </row>
    <row r="25" ht="14.4" spans="1:30">
      <c r="A25" s="753" t="s">
        <v>833</v>
      </c>
      <c r="B25" s="754" t="s">
        <v>1660</v>
      </c>
      <c r="C25" s="755">
        <f>IF(B25="容积率修正",IF(G3&lt;10,D26,J26),C27)</f>
        <v>1.2072</v>
      </c>
      <c r="D25" s="756"/>
      <c r="E25" s="756"/>
      <c r="F25" s="756"/>
      <c r="G25" s="756"/>
      <c r="H25" s="756"/>
      <c r="I25" s="756"/>
      <c r="J25" s="872"/>
      <c r="K25" s="859"/>
      <c r="L25" s="648"/>
      <c r="M25" s="648"/>
      <c r="N25" s="873" t="s">
        <v>1661</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1662</v>
      </c>
      <c r="B26" s="758" t="s">
        <v>1663</v>
      </c>
      <c r="C26" s="758" t="s">
        <v>1664</v>
      </c>
      <c r="D26" s="758">
        <f>IF(E26=G26,F26,IF(G3&lt;10,ROUND(F26+(H26-F26)*(G3-E26)/(G26-E26),4),"——"))</f>
        <v>1</v>
      </c>
      <c r="E26" s="758">
        <f>ROUNDDOWN(G3,1)</f>
        <v>3.5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3.5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1665</v>
      </c>
      <c r="J26" s="876" t="str">
        <f>IF(G3&gt;=10,D117,"——")</f>
        <v>——</v>
      </c>
      <c r="K26" s="859"/>
      <c r="L26" s="648"/>
      <c r="M26" s="648"/>
      <c r="N26" s="873" t="s">
        <v>1666</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1667</v>
      </c>
      <c r="B27" s="759" t="s">
        <v>1668</v>
      </c>
      <c r="C27" s="760">
        <f>ROUND(IF(I3&lt;6,SUMPRODUCT((B107:B111=I3)*(C106:N106=G2)*(C107:N111)),SUMIF(C106:N106,G2,C113:N113)),4)</f>
        <v>1.2072</v>
      </c>
      <c r="D27" s="710"/>
      <c r="E27" s="710"/>
      <c r="F27" s="761"/>
      <c r="G27" s="762"/>
      <c r="H27" s="763"/>
      <c r="I27" s="759"/>
      <c r="J27" s="877"/>
      <c r="N27" s="873" t="s">
        <v>1669</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1670</v>
      </c>
      <c r="B28" s="744" t="s">
        <v>1671</v>
      </c>
      <c r="C28" s="744">
        <f>SUMIF(A48:A102,E2,B48:B102)</f>
        <v>1.0788</v>
      </c>
      <c r="D28" s="764"/>
      <c r="E28" s="745"/>
      <c r="F28" s="745"/>
      <c r="G28" s="745"/>
      <c r="H28" s="745"/>
      <c r="I28" s="745"/>
      <c r="J28" s="878"/>
      <c r="K28" s="859"/>
      <c r="L28" s="648"/>
      <c r="M28" s="648"/>
      <c r="N28" s="879" t="s">
        <v>1672</v>
      </c>
      <c r="O28" s="880"/>
      <c r="P28" s="881">
        <f>SUMPRODUCT((地价!A3:A13=YEAR(G23)&amp;"-"&amp;ROUNDUP(MONTH(G23)/3,0))*(地价!AF2:AK2=N28)*(地价!AF3:AK13))</f>
        <v>0.0059</v>
      </c>
      <c r="Q28" s="648"/>
      <c r="R28" s="649"/>
      <c r="S28" s="649"/>
      <c r="T28" s="649"/>
      <c r="U28" s="649"/>
      <c r="V28" s="649"/>
      <c r="W28" s="649"/>
      <c r="X28" s="649"/>
      <c r="Y28" s="649"/>
      <c r="Z28" s="859"/>
      <c r="AA28" s="859"/>
      <c r="AB28" s="859"/>
      <c r="AC28" s="859"/>
      <c r="AD28" s="859"/>
    </row>
    <row r="29" ht="15.15" spans="1:30">
      <c r="A29" s="749" t="s">
        <v>1673</v>
      </c>
      <c r="B29" s="765" t="s">
        <v>1674</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1675</v>
      </c>
      <c r="C30" s="770">
        <f>IF(B25="容积率修正",E33+SUM(E37:E42),SUM(V2:V16)+SUM(E37:E42))</f>
        <v>0</v>
      </c>
      <c r="D30" s="771"/>
      <c r="E30" s="772"/>
      <c r="F30" s="773"/>
      <c r="G30" s="772"/>
      <c r="H30" s="772"/>
      <c r="I30" s="772"/>
      <c r="J30" s="886"/>
      <c r="L30" s="887" t="s">
        <v>1560</v>
      </c>
      <c r="M30" s="677" t="s">
        <v>1676</v>
      </c>
      <c r="N30" s="677" t="s">
        <v>1677</v>
      </c>
      <c r="O30" s="677" t="s">
        <v>1678</v>
      </c>
      <c r="P30" s="888" t="s">
        <v>1679</v>
      </c>
      <c r="Q30" s="888" t="s">
        <v>288</v>
      </c>
      <c r="R30" s="649"/>
      <c r="S30" s="649"/>
      <c r="T30" s="649"/>
      <c r="U30" s="649"/>
      <c r="V30" s="649"/>
      <c r="W30" s="649"/>
      <c r="X30" s="649"/>
      <c r="Y30" s="649"/>
      <c r="Z30" s="859"/>
      <c r="AA30" s="859"/>
      <c r="AB30" s="859"/>
      <c r="AC30" s="859"/>
      <c r="AD30" s="859"/>
    </row>
    <row r="31" ht="15.15" spans="1:30">
      <c r="A31" s="769"/>
      <c r="B31" s="774" t="s">
        <v>1680</v>
      </c>
      <c r="C31" s="775">
        <f>E34+SUM(I37:I42)</f>
        <v>0</v>
      </c>
      <c r="D31" s="776"/>
      <c r="E31" s="777"/>
      <c r="F31" s="778"/>
      <c r="G31" s="777"/>
      <c r="H31" s="777"/>
      <c r="I31" s="777"/>
      <c r="J31" s="889"/>
      <c r="L31" s="890" t="s">
        <v>1681</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1682</v>
      </c>
      <c r="C32" s="780" t="s">
        <v>1683</v>
      </c>
      <c r="D32" s="780" t="s">
        <v>465</v>
      </c>
      <c r="E32" s="765" t="s">
        <v>1684</v>
      </c>
      <c r="F32" s="676"/>
      <c r="G32" s="698"/>
      <c r="H32" s="698"/>
      <c r="I32" s="698"/>
      <c r="J32" s="847"/>
      <c r="L32" s="891" t="s">
        <v>1654</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1685</v>
      </c>
      <c r="C33" s="782">
        <f>ROUND(C5*C22*C23*C24*C25*C28,0)</f>
        <v>24670</v>
      </c>
      <c r="D33" s="783">
        <v>3997</v>
      </c>
      <c r="E33" s="784">
        <f>ROUND(C33*D33/10000,0)</f>
        <v>9861</v>
      </c>
      <c r="F33" s="785" t="s">
        <v>1686</v>
      </c>
      <c r="G33" s="786"/>
      <c r="H33" s="786"/>
      <c r="I33" s="786"/>
      <c r="J33" s="893"/>
      <c r="L33" s="894" t="s">
        <v>1687</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1688</v>
      </c>
      <c r="C34" s="734" t="e">
        <f>ROUND(IF(E2="工业",C33*M42,IF(B25="楼层修正",SUM(V2:V16)*M41*10000/D34,C33*M41)),0)</f>
        <v>#DIV/0!</v>
      </c>
      <c r="D34" s="787"/>
      <c r="E34" s="784">
        <f>ROUND(IF(B25="楼层修正",SUM(V2:V16)*M41,C34*D34/10000),0)</f>
        <v>0</v>
      </c>
      <c r="F34" s="732" t="s">
        <v>1689</v>
      </c>
      <c r="G34" s="788"/>
      <c r="H34" s="788"/>
      <c r="I34" s="788"/>
      <c r="J34" s="896"/>
      <c r="L34" s="894" t="s">
        <v>1690</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1691</v>
      </c>
      <c r="C35" s="791" t="s">
        <v>1692</v>
      </c>
      <c r="D35" s="698"/>
      <c r="E35" s="791"/>
      <c r="F35" s="791"/>
      <c r="G35" s="697" t="s">
        <v>1689</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1683</v>
      </c>
      <c r="D36" s="794" t="s">
        <v>465</v>
      </c>
      <c r="E36" s="794" t="s">
        <v>1684</v>
      </c>
      <c r="F36" s="654" t="s">
        <v>1693</v>
      </c>
      <c r="G36" s="795" t="s">
        <v>1683</v>
      </c>
      <c r="H36" s="795" t="s">
        <v>465</v>
      </c>
      <c r="I36" s="795" t="s">
        <v>1684</v>
      </c>
      <c r="J36" s="302"/>
      <c r="K36" s="649" t="s">
        <v>1694</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1695</v>
      </c>
      <c r="C37" s="782">
        <f>ROUND(D5*C22*C23*C24*C28*F37,0)</f>
        <v>13755</v>
      </c>
      <c r="D37" s="783"/>
      <c r="E37" s="654">
        <f>ROUND(C37*D37/10000,0)</f>
        <v>0</v>
      </c>
      <c r="F37" s="654">
        <f>SUMIF(修正!A57:A68,G2,修正!B57:B68)</f>
        <v>0.7</v>
      </c>
      <c r="G37" s="654">
        <f>ROUND(IF(E2="工业",C37*$M$42,C37*$M$41),0)</f>
        <v>3439</v>
      </c>
      <c r="H37" s="654">
        <f>D37</f>
        <v>0</v>
      </c>
      <c r="I37" s="654">
        <f>ROUND(G37*H37/10000,0)</f>
        <v>0</v>
      </c>
      <c r="J37" s="898"/>
      <c r="K37" s="899" t="s">
        <v>1696</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1697</v>
      </c>
      <c r="C38" s="782">
        <f>ROUND(D5*C22*C23*C24*C28*F38,0)</f>
        <v>7860</v>
      </c>
      <c r="D38" s="783"/>
      <c r="E38" s="654">
        <f t="shared" ref="E38:E42" si="4">ROUND(C38*D38/10000,0)</f>
        <v>0</v>
      </c>
      <c r="F38" s="654">
        <f>SUMIF(修正!A57:A68,G2,修正!C57:C68)</f>
        <v>0.4</v>
      </c>
      <c r="G38" s="654">
        <f>ROUND(IF(E2="工业",C38*$M$42,C38*$M$41),0)</f>
        <v>1965</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1698</v>
      </c>
      <c r="C39" s="782">
        <f>ROUND(D5*C22*C23*C24*C28*F39,0)</f>
        <v>5895</v>
      </c>
      <c r="D39" s="783"/>
      <c r="E39" s="654">
        <f t="shared" si="4"/>
        <v>0</v>
      </c>
      <c r="F39" s="654">
        <f>SUMIF(修正!A57:A68,G2,修正!D57:D68)</f>
        <v>0.3</v>
      </c>
      <c r="G39" s="654">
        <f>ROUND(IF(E2="工业",C39*$M$42,C39*$M$41),0)</f>
        <v>1474</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1699</v>
      </c>
      <c r="C40" s="654">
        <f>ROUND(D5*C22*C23*C24*C28*F40,0)</f>
        <v>5895</v>
      </c>
      <c r="D40" s="783"/>
      <c r="E40" s="654">
        <f t="shared" si="4"/>
        <v>0</v>
      </c>
      <c r="F40" s="782">
        <f>SUMIF(修正!A57:A68,G2,修正!E57:E68)</f>
        <v>0.3</v>
      </c>
      <c r="G40" s="654">
        <f>ROUND(IF(E2="工业",C40*$M$42,C40*$M$41),0)</f>
        <v>1474</v>
      </c>
      <c r="H40" s="654">
        <f t="shared" si="5"/>
        <v>0</v>
      </c>
      <c r="I40" s="654">
        <f t="shared" si="6"/>
        <v>0</v>
      </c>
      <c r="J40" s="900"/>
      <c r="L40" s="901" t="s">
        <v>1700</v>
      </c>
      <c r="M40" s="841"/>
    </row>
    <row r="41" s="649" customFormat="1" spans="1:13">
      <c r="A41" s="799"/>
      <c r="B41" s="701" t="s">
        <v>1701</v>
      </c>
      <c r="C41" s="654">
        <f>ROUND(D5*C22*C23*C44*C28*F41,0)</f>
        <v>0</v>
      </c>
      <c r="D41" s="783"/>
      <c r="E41" s="654">
        <f t="shared" si="4"/>
        <v>0</v>
      </c>
      <c r="F41" s="782">
        <f>SUMIF(修正!A57:A68,G2,修正!F57:F68)</f>
        <v>0.3</v>
      </c>
      <c r="G41" s="654">
        <f>ROUND(IF(E2="工业",C41*$M$42,C41*$M$41),0)</f>
        <v>0</v>
      </c>
      <c r="H41" s="654">
        <f t="shared" si="5"/>
        <v>0</v>
      </c>
      <c r="I41" s="654">
        <f t="shared" si="6"/>
        <v>0</v>
      </c>
      <c r="J41" s="900"/>
      <c r="L41" s="902" t="s">
        <v>1702</v>
      </c>
      <c r="M41" s="903">
        <v>0.25</v>
      </c>
    </row>
    <row r="42" s="649" customFormat="1" ht="13.95" spans="1:13">
      <c r="A42" s="731"/>
      <c r="B42" s="800" t="s">
        <v>1703</v>
      </c>
      <c r="C42" s="734">
        <f>ROUND(D5*C22*C23*C44*C28*F42,0)</f>
        <v>0</v>
      </c>
      <c r="D42" s="787"/>
      <c r="E42" s="734">
        <f t="shared" si="4"/>
        <v>0</v>
      </c>
      <c r="F42" s="801">
        <f>SUMIF(修正!A57:A68,G2,修正!G57:G68)</f>
        <v>0.2</v>
      </c>
      <c r="G42" s="734">
        <f>ROUND(IF(E2="工业",C42*$M$42,C42*$M$41),0)</f>
        <v>0</v>
      </c>
      <c r="H42" s="734">
        <f t="shared" si="5"/>
        <v>0</v>
      </c>
      <c r="I42" s="734">
        <f t="shared" si="6"/>
        <v>0</v>
      </c>
      <c r="J42" s="889"/>
      <c r="L42" s="891" t="s">
        <v>1679</v>
      </c>
      <c r="M42" s="892">
        <v>0.15</v>
      </c>
    </row>
    <row r="43" s="649" customFormat="1"/>
    <row r="44" s="649" customFormat="1" spans="2:8">
      <c r="B44" s="719" t="s">
        <v>1704</v>
      </c>
      <c r="C44" s="654">
        <f>ROUND(POWER(1+E44,H44-G44)*(POWER(1+E44,G44)-1)/(POWER(1+E44,H44)-1),4)</f>
        <v>0</v>
      </c>
      <c r="D44" s="654" t="s">
        <v>1654</v>
      </c>
      <c r="E44" s="802">
        <f>G24</f>
        <v>0.055</v>
      </c>
      <c r="F44" s="654" t="s">
        <v>1655</v>
      </c>
      <c r="G44" s="803"/>
      <c r="H44" s="654">
        <v>50</v>
      </c>
    </row>
    <row r="45" s="649" customFormat="1"/>
    <row r="46" s="649" customFormat="1"/>
    <row r="47" s="649" customFormat="1"/>
    <row r="48" s="649" customFormat="1" ht="15.15" spans="1:13">
      <c r="A48" s="804" t="s">
        <v>1705</v>
      </c>
      <c r="B48" s="805"/>
      <c r="C48" s="806"/>
      <c r="D48" s="806"/>
      <c r="E48" s="806"/>
      <c r="F48" s="807"/>
      <c r="G48" s="807"/>
      <c r="H48" s="807"/>
      <c r="I48" s="807"/>
      <c r="J48" s="807"/>
      <c r="K48" s="807"/>
      <c r="L48" s="807"/>
      <c r="M48" s="807"/>
    </row>
    <row r="49" s="649" customFormat="1" ht="14.4" spans="1:13">
      <c r="A49" s="808" t="s">
        <v>1706</v>
      </c>
      <c r="B49" s="809">
        <f>1+E51</f>
        <v>1.0788</v>
      </c>
      <c r="C49" s="810"/>
      <c r="D49" s="811"/>
      <c r="E49" s="812"/>
      <c r="F49" s="813"/>
      <c r="G49" s="807"/>
      <c r="H49" s="807"/>
      <c r="I49" s="807"/>
      <c r="J49" s="807"/>
      <c r="K49" s="807"/>
      <c r="L49" s="807"/>
      <c r="M49" s="807"/>
    </row>
    <row r="50" s="649" customFormat="1" ht="25.2" spans="1:14">
      <c r="A50" s="814" t="s">
        <v>1707</v>
      </c>
      <c r="B50" s="802" t="s">
        <v>1708</v>
      </c>
      <c r="C50" s="802" t="s">
        <v>1709</v>
      </c>
      <c r="D50" s="802" t="s">
        <v>1710</v>
      </c>
      <c r="E50" s="815" t="s">
        <v>1711</v>
      </c>
      <c r="F50" s="816" t="s">
        <v>1712</v>
      </c>
      <c r="G50" s="817" t="s">
        <v>1628</v>
      </c>
      <c r="H50" s="818" t="s">
        <v>1713</v>
      </c>
      <c r="I50" s="802" t="s">
        <v>1714</v>
      </c>
      <c r="J50" s="904" t="s">
        <v>1435</v>
      </c>
      <c r="K50" s="904" t="s">
        <v>1436</v>
      </c>
      <c r="L50" s="904" t="s">
        <v>1437</v>
      </c>
      <c r="M50" s="904" t="s">
        <v>1438</v>
      </c>
      <c r="N50" s="904" t="s">
        <v>1439</v>
      </c>
    </row>
    <row r="51" s="649" customFormat="1" ht="37.2" spans="1:14">
      <c r="A51" s="814" t="s">
        <v>1715</v>
      </c>
      <c r="B51" s="802" t="str">
        <f>估价对象房地状况!C4</f>
        <v>估价对象位于XX商圈，周边商业氛围成熟，人流量大，商业繁华度好</v>
      </c>
      <c r="C51" s="706" t="s">
        <v>1716</v>
      </c>
      <c r="D51" s="802">
        <f t="shared" ref="D51:D59" si="7">SUMIF($J$50:$N$50,C51,J51:N51)</f>
        <v>0.0294</v>
      </c>
      <c r="E51" s="819">
        <f>ROUND(SUM(D51:D59),4)</f>
        <v>0.0788</v>
      </c>
      <c r="F51" s="710">
        <f>IF(E2="商业",SUMIF(L1:L12,G2,N1:N12),"——")</f>
        <v>0.098</v>
      </c>
      <c r="G51" s="820">
        <f>H51</f>
        <v>0.0147</v>
      </c>
      <c r="H51" s="821">
        <f t="shared" ref="H51:H59" si="8">IFERROR(ROUNDDOWN($F$51*I51/2,4),"——")</f>
        <v>0.0147</v>
      </c>
      <c r="I51" s="802">
        <v>0.3</v>
      </c>
      <c r="J51" s="758">
        <f t="shared" ref="J51:J59" si="9">K51+$G51</f>
        <v>0.0294</v>
      </c>
      <c r="K51" s="758">
        <f t="shared" ref="K51:K59" si="10">$L51+$G51</f>
        <v>0.0147</v>
      </c>
      <c r="L51" s="758">
        <v>0</v>
      </c>
      <c r="M51" s="758">
        <f t="shared" ref="M51:N59" si="11">L51-$G51</f>
        <v>-0.0147</v>
      </c>
      <c r="N51" s="758">
        <f t="shared" si="11"/>
        <v>-0.0294</v>
      </c>
    </row>
    <row r="52" s="649" customFormat="1" ht="48" spans="1:14">
      <c r="A52" s="814" t="s">
        <v>1717</v>
      </c>
      <c r="B52" s="802" t="str">
        <f>估价对象房地状况!C18</f>
        <v>估价对象周边道路状况、公共交通通达情况、停车便捷程度，综合评价交通便捷度较好</v>
      </c>
      <c r="C52" s="706" t="s">
        <v>1716</v>
      </c>
      <c r="D52" s="802">
        <f t="shared" si="7"/>
        <v>0.0214</v>
      </c>
      <c r="E52" s="822"/>
      <c r="F52" s="772"/>
      <c r="G52" s="820">
        <f>H52</f>
        <v>0.0107</v>
      </c>
      <c r="H52" s="821">
        <f t="shared" si="8"/>
        <v>0.0107</v>
      </c>
      <c r="I52" s="802">
        <v>0.22</v>
      </c>
      <c r="J52" s="758">
        <f t="shared" si="9"/>
        <v>0.0214</v>
      </c>
      <c r="K52" s="758">
        <f t="shared" si="10"/>
        <v>0.0107</v>
      </c>
      <c r="L52" s="758">
        <v>0</v>
      </c>
      <c r="M52" s="758">
        <f t="shared" si="11"/>
        <v>-0.0107</v>
      </c>
      <c r="N52" s="758">
        <f t="shared" si="11"/>
        <v>-0.0214</v>
      </c>
    </row>
    <row r="53" s="649" customFormat="1" ht="48" spans="1:14">
      <c r="A53" s="823" t="s">
        <v>1718</v>
      </c>
      <c r="B53" s="802">
        <f>估价对象房地状况!C19</f>
        <v>0</v>
      </c>
      <c r="C53" s="706" t="s">
        <v>1719</v>
      </c>
      <c r="D53" s="802">
        <f t="shared" si="7"/>
        <v>0.0058</v>
      </c>
      <c r="E53" s="822"/>
      <c r="F53" s="772"/>
      <c r="G53" s="820">
        <f>H53</f>
        <v>0.0058</v>
      </c>
      <c r="H53" s="821">
        <f t="shared" si="8"/>
        <v>0.0058</v>
      </c>
      <c r="I53" s="802">
        <v>0.12</v>
      </c>
      <c r="J53" s="758">
        <f t="shared" si="9"/>
        <v>0.0116</v>
      </c>
      <c r="K53" s="758">
        <f t="shared" si="10"/>
        <v>0.0058</v>
      </c>
      <c r="L53" s="758">
        <v>0</v>
      </c>
      <c r="M53" s="758">
        <f t="shared" si="11"/>
        <v>-0.0058</v>
      </c>
      <c r="N53" s="758">
        <f t="shared" si="11"/>
        <v>-0.0116</v>
      </c>
    </row>
    <row r="54" s="649" customFormat="1" ht="37.2" spans="1:14">
      <c r="A54" s="814" t="s">
        <v>1720</v>
      </c>
      <c r="B54" s="824" t="s">
        <v>1721</v>
      </c>
      <c r="C54" s="706" t="s">
        <v>1719</v>
      </c>
      <c r="D54" s="802">
        <f t="shared" si="7"/>
        <v>0.0024</v>
      </c>
      <c r="E54" s="822"/>
      <c r="F54" s="772"/>
      <c r="G54" s="820">
        <f>H54</f>
        <v>0.0024</v>
      </c>
      <c r="H54" s="821">
        <f t="shared" si="8"/>
        <v>0.0024</v>
      </c>
      <c r="I54" s="802">
        <v>0.05</v>
      </c>
      <c r="J54" s="758">
        <f t="shared" si="9"/>
        <v>0.0048</v>
      </c>
      <c r="K54" s="758">
        <f t="shared" si="10"/>
        <v>0.0024</v>
      </c>
      <c r="L54" s="758">
        <v>0</v>
      </c>
      <c r="M54" s="758">
        <f t="shared" si="11"/>
        <v>-0.0024</v>
      </c>
      <c r="N54" s="758">
        <f t="shared" si="11"/>
        <v>-0.0048</v>
      </c>
    </row>
    <row r="55" s="649" customFormat="1" ht="24" spans="1:14">
      <c r="A55" s="814" t="s">
        <v>1722</v>
      </c>
      <c r="B55" s="802">
        <f>估价对象房地状况!C24</f>
        <v>0</v>
      </c>
      <c r="C55" s="706" t="s">
        <v>1723</v>
      </c>
      <c r="D55" s="802">
        <f t="shared" si="7"/>
        <v>0</v>
      </c>
      <c r="E55" s="822"/>
      <c r="F55" s="772"/>
      <c r="G55" s="820">
        <f>H55</f>
        <v>0.0039</v>
      </c>
      <c r="H55" s="821">
        <f t="shared" si="8"/>
        <v>0.0039</v>
      </c>
      <c r="I55" s="802">
        <v>0.08</v>
      </c>
      <c r="J55" s="758">
        <f t="shared" si="9"/>
        <v>0.0078</v>
      </c>
      <c r="K55" s="758">
        <f t="shared" si="10"/>
        <v>0.0039</v>
      </c>
      <c r="L55" s="758">
        <v>0</v>
      </c>
      <c r="M55" s="758">
        <f t="shared" si="11"/>
        <v>-0.0039</v>
      </c>
      <c r="N55" s="758">
        <f t="shared" si="11"/>
        <v>-0.0078</v>
      </c>
    </row>
    <row r="56" s="649" customFormat="1" ht="36" spans="1:14">
      <c r="A56" s="814" t="s">
        <v>1724</v>
      </c>
      <c r="B56" s="825" t="s">
        <v>1725</v>
      </c>
      <c r="C56" s="706" t="s">
        <v>1719</v>
      </c>
      <c r="D56" s="802">
        <f t="shared" si="7"/>
        <v>0.0024</v>
      </c>
      <c r="E56" s="822"/>
      <c r="F56" s="772"/>
      <c r="G56" s="820">
        <f>H56</f>
        <v>0.0024</v>
      </c>
      <c r="H56" s="821">
        <f t="shared" si="8"/>
        <v>0.0024</v>
      </c>
      <c r="I56" s="802">
        <v>0.05</v>
      </c>
      <c r="J56" s="758">
        <f t="shared" si="9"/>
        <v>0.0048</v>
      </c>
      <c r="K56" s="758">
        <f t="shared" si="10"/>
        <v>0.0024</v>
      </c>
      <c r="L56" s="758">
        <v>0</v>
      </c>
      <c r="M56" s="758">
        <f t="shared" si="11"/>
        <v>-0.0024</v>
      </c>
      <c r="N56" s="758">
        <f t="shared" si="11"/>
        <v>-0.0048</v>
      </c>
    </row>
    <row r="57" s="649" customFormat="1" ht="24" spans="1:14">
      <c r="A57" s="826" t="s">
        <v>1726</v>
      </c>
      <c r="B57" s="700" t="str">
        <f>估价对象房地状况!C21</f>
        <v>估价对象所在区域公共配套设施齐备情况</v>
      </c>
      <c r="C57" s="706" t="s">
        <v>1716</v>
      </c>
      <c r="D57" s="802">
        <f t="shared" si="7"/>
        <v>0.0048</v>
      </c>
      <c r="E57" s="822"/>
      <c r="F57" s="772"/>
      <c r="G57" s="820">
        <f>H57</f>
        <v>0.0024</v>
      </c>
      <c r="H57" s="821">
        <f t="shared" si="8"/>
        <v>0.0024</v>
      </c>
      <c r="I57" s="802">
        <v>0.05</v>
      </c>
      <c r="J57" s="758">
        <f t="shared" si="9"/>
        <v>0.0048</v>
      </c>
      <c r="K57" s="758">
        <f t="shared" si="10"/>
        <v>0.0024</v>
      </c>
      <c r="L57" s="758">
        <v>0</v>
      </c>
      <c r="M57" s="758">
        <f t="shared" si="11"/>
        <v>-0.0024</v>
      </c>
      <c r="N57" s="758">
        <f t="shared" si="11"/>
        <v>-0.0048</v>
      </c>
    </row>
    <row r="58" s="649" customFormat="1" ht="24" spans="1:14">
      <c r="A58" s="826" t="s">
        <v>1727</v>
      </c>
      <c r="B58" s="802" t="str">
        <f>估价对象房地状况!C22</f>
        <v>估价对象所在区域基础设施水平</v>
      </c>
      <c r="C58" s="706" t="s">
        <v>1716</v>
      </c>
      <c r="D58" s="802">
        <f t="shared" si="7"/>
        <v>0.0078</v>
      </c>
      <c r="E58" s="822"/>
      <c r="F58" s="772"/>
      <c r="G58" s="820">
        <f>H58</f>
        <v>0.0039</v>
      </c>
      <c r="H58" s="821">
        <f t="shared" si="8"/>
        <v>0.0039</v>
      </c>
      <c r="I58" s="802">
        <v>0.08</v>
      </c>
      <c r="J58" s="758">
        <f t="shared" si="9"/>
        <v>0.0078</v>
      </c>
      <c r="K58" s="758">
        <f t="shared" si="10"/>
        <v>0.0039</v>
      </c>
      <c r="L58" s="758">
        <v>0</v>
      </c>
      <c r="M58" s="758">
        <f t="shared" si="11"/>
        <v>-0.0039</v>
      </c>
      <c r="N58" s="758">
        <f t="shared" si="11"/>
        <v>-0.0078</v>
      </c>
    </row>
    <row r="59" s="649" customFormat="1" ht="36.75" spans="1:14">
      <c r="A59" s="827" t="s">
        <v>1728</v>
      </c>
      <c r="B59" s="828" t="str">
        <f>估价对象房地状况!C20</f>
        <v>区域自然环境：；人文环境；综合评价环境状况一般</v>
      </c>
      <c r="C59" s="706" t="s">
        <v>1716</v>
      </c>
      <c r="D59" s="802">
        <f t="shared" si="7"/>
        <v>0.0048</v>
      </c>
      <c r="E59" s="829"/>
      <c r="F59" s="772"/>
      <c r="G59" s="820">
        <f>H59</f>
        <v>0.0024</v>
      </c>
      <c r="H59" s="821">
        <f t="shared" si="8"/>
        <v>0.0024</v>
      </c>
      <c r="I59" s="905">
        <v>0.05</v>
      </c>
      <c r="J59" s="758">
        <f t="shared" si="9"/>
        <v>0.0048</v>
      </c>
      <c r="K59" s="758">
        <f t="shared" si="10"/>
        <v>0.0024</v>
      </c>
      <c r="L59" s="758">
        <v>0</v>
      </c>
      <c r="M59" s="758">
        <f t="shared" si="11"/>
        <v>-0.0024</v>
      </c>
      <c r="N59" s="758">
        <f t="shared" si="11"/>
        <v>-0.0048</v>
      </c>
    </row>
    <row r="60" s="649" customFormat="1" ht="14.4" spans="1:14">
      <c r="A60" s="808" t="s">
        <v>1729</v>
      </c>
      <c r="B60" s="809">
        <f>1+E62</f>
        <v>1</v>
      </c>
      <c r="C60" s="830"/>
      <c r="D60" s="830"/>
      <c r="E60" s="831"/>
      <c r="F60" s="813"/>
      <c r="G60" s="807"/>
      <c r="H60" s="807"/>
      <c r="I60" s="807"/>
      <c r="J60" s="807"/>
      <c r="K60" s="807"/>
      <c r="L60" s="807"/>
      <c r="M60" s="807"/>
      <c r="N60" s="807"/>
    </row>
    <row r="61" s="649" customFormat="1" ht="25.2" spans="1:14">
      <c r="A61" s="814" t="s">
        <v>1707</v>
      </c>
      <c r="B61" s="802"/>
      <c r="C61" s="802" t="s">
        <v>1709</v>
      </c>
      <c r="D61" s="802" t="s">
        <v>1710</v>
      </c>
      <c r="E61" s="815" t="s">
        <v>1711</v>
      </c>
      <c r="F61" s="816" t="s">
        <v>1730</v>
      </c>
      <c r="G61" s="802" t="s">
        <v>1628</v>
      </c>
      <c r="H61" s="818" t="s">
        <v>1713</v>
      </c>
      <c r="I61" s="802" t="s">
        <v>1714</v>
      </c>
      <c r="J61" s="904" t="s">
        <v>1435</v>
      </c>
      <c r="K61" s="904" t="s">
        <v>1436</v>
      </c>
      <c r="L61" s="904" t="s">
        <v>1437</v>
      </c>
      <c r="M61" s="904" t="s">
        <v>1438</v>
      </c>
      <c r="N61" s="904" t="s">
        <v>1439</v>
      </c>
    </row>
    <row r="62" s="649" customFormat="1" ht="37.2" spans="1:14">
      <c r="A62" s="814" t="s">
        <v>1731</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2">IFERROR(ROUNDDOWN($F$62*I62/2,4),"——")</f>
        <v>——</v>
      </c>
      <c r="I62" s="802">
        <v>0.25</v>
      </c>
      <c r="J62" s="758">
        <f t="shared" ref="J62:J70" si="13">K62+$G62</f>
        <v>0</v>
      </c>
      <c r="K62" s="758">
        <f t="shared" ref="K62:K70" si="14">$L62+$G62</f>
        <v>0</v>
      </c>
      <c r="L62" s="758">
        <v>0</v>
      </c>
      <c r="M62" s="758">
        <f t="shared" ref="M62:N70" si="15">L62-$G62</f>
        <v>0</v>
      </c>
      <c r="N62" s="758">
        <f t="shared" si="15"/>
        <v>0</v>
      </c>
    </row>
    <row r="63" s="649" customFormat="1" ht="48" spans="1:14">
      <c r="A63" s="814" t="s">
        <v>1717</v>
      </c>
      <c r="B63" s="802" t="str">
        <f>估价对象房地状况!C18</f>
        <v>估价对象周边道路状况、公共交通通达情况、停车便捷程度，综合评价交通便捷度较好</v>
      </c>
      <c r="C63" s="706"/>
      <c r="D63" s="802">
        <f t="shared" ref="D63:D70" si="16">SUMIF($J$61:$N$61,C63,J63:N63)</f>
        <v>0</v>
      </c>
      <c r="E63" s="822"/>
      <c r="F63" s="772"/>
      <c r="G63" s="820"/>
      <c r="H63" s="821" t="str">
        <f t="shared" si="12"/>
        <v>——</v>
      </c>
      <c r="I63" s="802">
        <v>0.26</v>
      </c>
      <c r="J63" s="758">
        <f t="shared" si="13"/>
        <v>0</v>
      </c>
      <c r="K63" s="758">
        <f t="shared" si="14"/>
        <v>0</v>
      </c>
      <c r="L63" s="758">
        <v>0</v>
      </c>
      <c r="M63" s="758">
        <f t="shared" si="15"/>
        <v>0</v>
      </c>
      <c r="N63" s="758">
        <f t="shared" si="15"/>
        <v>0</v>
      </c>
    </row>
    <row r="64" s="649" customFormat="1" ht="48" spans="1:14">
      <c r="A64" s="823" t="s">
        <v>1718</v>
      </c>
      <c r="B64" s="802">
        <f>估价对象房地状况!C19</f>
        <v>0</v>
      </c>
      <c r="C64" s="706"/>
      <c r="D64" s="802">
        <f t="shared" si="16"/>
        <v>0</v>
      </c>
      <c r="E64" s="822"/>
      <c r="F64" s="772"/>
      <c r="G64" s="820"/>
      <c r="H64" s="821" t="str">
        <f t="shared" si="12"/>
        <v>——</v>
      </c>
      <c r="I64" s="802">
        <v>0.11</v>
      </c>
      <c r="J64" s="758">
        <f t="shared" si="13"/>
        <v>0</v>
      </c>
      <c r="K64" s="758">
        <f t="shared" si="14"/>
        <v>0</v>
      </c>
      <c r="L64" s="758">
        <v>0</v>
      </c>
      <c r="M64" s="758">
        <f t="shared" si="15"/>
        <v>0</v>
      </c>
      <c r="N64" s="758">
        <f t="shared" si="15"/>
        <v>0</v>
      </c>
    </row>
    <row r="65" s="649" customFormat="1" ht="37.2" spans="1:14">
      <c r="A65" s="814" t="s">
        <v>1720</v>
      </c>
      <c r="B65" s="824" t="s">
        <v>1721</v>
      </c>
      <c r="C65" s="706"/>
      <c r="D65" s="802">
        <f t="shared" si="16"/>
        <v>0</v>
      </c>
      <c r="E65" s="822"/>
      <c r="F65" s="772"/>
      <c r="G65" s="820"/>
      <c r="H65" s="821" t="str">
        <f t="shared" si="12"/>
        <v>——</v>
      </c>
      <c r="I65" s="802">
        <v>0.05</v>
      </c>
      <c r="J65" s="758">
        <f t="shared" si="13"/>
        <v>0</v>
      </c>
      <c r="K65" s="758">
        <f t="shared" si="14"/>
        <v>0</v>
      </c>
      <c r="L65" s="758">
        <v>0</v>
      </c>
      <c r="M65" s="758">
        <f t="shared" si="15"/>
        <v>0</v>
      </c>
      <c r="N65" s="758">
        <f t="shared" si="15"/>
        <v>0</v>
      </c>
    </row>
    <row r="66" s="649" customFormat="1" ht="24" spans="1:14">
      <c r="A66" s="814" t="s">
        <v>1722</v>
      </c>
      <c r="B66" s="802">
        <f>估价对象房地状况!C24</f>
        <v>0</v>
      </c>
      <c r="C66" s="706"/>
      <c r="D66" s="802">
        <f t="shared" si="16"/>
        <v>0</v>
      </c>
      <c r="E66" s="822"/>
      <c r="F66" s="772"/>
      <c r="G66" s="820"/>
      <c r="H66" s="821" t="str">
        <f t="shared" si="12"/>
        <v>——</v>
      </c>
      <c r="I66" s="802">
        <v>0.05</v>
      </c>
      <c r="J66" s="758">
        <f t="shared" si="13"/>
        <v>0</v>
      </c>
      <c r="K66" s="758">
        <f t="shared" si="14"/>
        <v>0</v>
      </c>
      <c r="L66" s="758">
        <v>0</v>
      </c>
      <c r="M66" s="758">
        <f t="shared" si="15"/>
        <v>0</v>
      </c>
      <c r="N66" s="758">
        <f t="shared" si="15"/>
        <v>0</v>
      </c>
    </row>
    <row r="67" s="649" customFormat="1" ht="36" spans="1:14">
      <c r="A67" s="814" t="s">
        <v>1724</v>
      </c>
      <c r="B67" s="825" t="s">
        <v>1725</v>
      </c>
      <c r="C67" s="706"/>
      <c r="D67" s="802">
        <f t="shared" si="16"/>
        <v>0</v>
      </c>
      <c r="E67" s="822"/>
      <c r="F67" s="772"/>
      <c r="G67" s="820"/>
      <c r="H67" s="821" t="str">
        <f t="shared" si="12"/>
        <v>——</v>
      </c>
      <c r="I67" s="802">
        <v>0.06</v>
      </c>
      <c r="J67" s="758">
        <f t="shared" si="13"/>
        <v>0</v>
      </c>
      <c r="K67" s="758">
        <f t="shared" si="14"/>
        <v>0</v>
      </c>
      <c r="L67" s="758">
        <v>0</v>
      </c>
      <c r="M67" s="758">
        <f t="shared" si="15"/>
        <v>0</v>
      </c>
      <c r="N67" s="758">
        <f t="shared" si="15"/>
        <v>0</v>
      </c>
    </row>
    <row r="68" s="649" customFormat="1" ht="24" spans="1:14">
      <c r="A68" s="814" t="s">
        <v>1726</v>
      </c>
      <c r="B68" s="700" t="str">
        <f>估价对象房地状况!C21</f>
        <v>估价对象所在区域公共配套设施齐备情况</v>
      </c>
      <c r="C68" s="706"/>
      <c r="D68" s="802">
        <f t="shared" si="16"/>
        <v>0</v>
      </c>
      <c r="E68" s="822"/>
      <c r="F68" s="772"/>
      <c r="G68" s="820"/>
      <c r="H68" s="821" t="str">
        <f t="shared" si="12"/>
        <v>——</v>
      </c>
      <c r="I68" s="802">
        <v>0.06</v>
      </c>
      <c r="J68" s="758">
        <f t="shared" si="13"/>
        <v>0</v>
      </c>
      <c r="K68" s="758">
        <f t="shared" si="14"/>
        <v>0</v>
      </c>
      <c r="L68" s="758">
        <v>0</v>
      </c>
      <c r="M68" s="758">
        <f t="shared" si="15"/>
        <v>0</v>
      </c>
      <c r="N68" s="758">
        <f t="shared" si="15"/>
        <v>0</v>
      </c>
    </row>
    <row r="69" s="649" customFormat="1" ht="24" spans="1:14">
      <c r="A69" s="814" t="s">
        <v>1727</v>
      </c>
      <c r="B69" s="700" t="str">
        <f>估价对象房地状况!C22</f>
        <v>估价对象所在区域基础设施水平</v>
      </c>
      <c r="C69" s="706"/>
      <c r="D69" s="802">
        <f t="shared" si="16"/>
        <v>0</v>
      </c>
      <c r="E69" s="822"/>
      <c r="F69" s="772"/>
      <c r="G69" s="820"/>
      <c r="H69" s="821" t="str">
        <f t="shared" si="12"/>
        <v>——</v>
      </c>
      <c r="I69" s="802">
        <v>0.09</v>
      </c>
      <c r="J69" s="758">
        <f t="shared" si="13"/>
        <v>0</v>
      </c>
      <c r="K69" s="758">
        <f t="shared" si="14"/>
        <v>0</v>
      </c>
      <c r="L69" s="758">
        <v>0</v>
      </c>
      <c r="M69" s="758">
        <f t="shared" si="15"/>
        <v>0</v>
      </c>
      <c r="N69" s="758">
        <f t="shared" si="15"/>
        <v>0</v>
      </c>
    </row>
    <row r="70" s="649" customFormat="1" ht="36.75" spans="1:14">
      <c r="A70" s="827" t="s">
        <v>1728</v>
      </c>
      <c r="B70" s="905" t="str">
        <f>估价对象房地状况!C20</f>
        <v>区域自然环境：；人文环境；综合评价环境状况一般</v>
      </c>
      <c r="C70" s="706"/>
      <c r="D70" s="802">
        <f t="shared" si="16"/>
        <v>0</v>
      </c>
      <c r="E70" s="829"/>
      <c r="F70" s="772"/>
      <c r="G70" s="820"/>
      <c r="H70" s="821" t="str">
        <f t="shared" si="12"/>
        <v>——</v>
      </c>
      <c r="I70" s="905">
        <v>0.07</v>
      </c>
      <c r="J70" s="758">
        <f t="shared" si="13"/>
        <v>0</v>
      </c>
      <c r="K70" s="758">
        <f t="shared" si="14"/>
        <v>0</v>
      </c>
      <c r="L70" s="758">
        <v>0</v>
      </c>
      <c r="M70" s="758">
        <f t="shared" si="15"/>
        <v>0</v>
      </c>
      <c r="N70" s="758">
        <f t="shared" si="15"/>
        <v>0</v>
      </c>
    </row>
    <row r="71" s="649" customFormat="1" ht="14.4" spans="1:14">
      <c r="A71" s="808" t="s">
        <v>1732</v>
      </c>
      <c r="B71" s="809">
        <f>1+E73</f>
        <v>1</v>
      </c>
      <c r="C71" s="811"/>
      <c r="D71" s="811"/>
      <c r="E71" s="812"/>
      <c r="F71" s="921"/>
      <c r="G71" s="807"/>
      <c r="H71" s="807"/>
      <c r="I71" s="807"/>
      <c r="J71" s="807"/>
      <c r="K71" s="807"/>
      <c r="L71" s="807"/>
      <c r="M71" s="807"/>
      <c r="N71" s="807"/>
    </row>
    <row r="72" s="649" customFormat="1" ht="25.2" spans="1:14">
      <c r="A72" s="814" t="s">
        <v>1707</v>
      </c>
      <c r="B72" s="802"/>
      <c r="C72" s="802" t="s">
        <v>1709</v>
      </c>
      <c r="D72" s="802" t="s">
        <v>1710</v>
      </c>
      <c r="E72" s="815" t="s">
        <v>1711</v>
      </c>
      <c r="F72" s="816" t="s">
        <v>1730</v>
      </c>
      <c r="G72" s="802" t="s">
        <v>1628</v>
      </c>
      <c r="H72" s="818" t="s">
        <v>1713</v>
      </c>
      <c r="I72" s="802" t="s">
        <v>1714</v>
      </c>
      <c r="J72" s="904" t="s">
        <v>1435</v>
      </c>
      <c r="K72" s="904" t="s">
        <v>1436</v>
      </c>
      <c r="L72" s="904" t="s">
        <v>1437</v>
      </c>
      <c r="M72" s="904" t="s">
        <v>1438</v>
      </c>
      <c r="N72" s="904" t="s">
        <v>1439</v>
      </c>
    </row>
    <row r="73" s="649" customFormat="1" ht="48" spans="1:25">
      <c r="A73" s="823" t="s">
        <v>1733</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8">
        <f t="shared" ref="J73:J81" si="19">K73+$G73</f>
        <v>0</v>
      </c>
      <c r="K73" s="758">
        <f t="shared" ref="K73:K81" si="20">$L73+$G73</f>
        <v>0</v>
      </c>
      <c r="L73" s="758">
        <v>0</v>
      </c>
      <c r="M73" s="758">
        <f t="shared" ref="M73:N81" si="21">L73-$G73</f>
        <v>0</v>
      </c>
      <c r="N73" s="758">
        <f t="shared" si="21"/>
        <v>0</v>
      </c>
      <c r="S73" s="650"/>
      <c r="T73" s="650"/>
      <c r="U73" s="650"/>
      <c r="V73" s="650"/>
      <c r="W73" s="650"/>
      <c r="X73" s="650"/>
      <c r="Y73" s="650"/>
    </row>
    <row r="74" s="649" customFormat="1" ht="48" spans="1:25">
      <c r="A74" s="814" t="s">
        <v>1717</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8">
        <f t="shared" si="19"/>
        <v>0</v>
      </c>
      <c r="K74" s="758">
        <f t="shared" si="20"/>
        <v>0</v>
      </c>
      <c r="L74" s="758">
        <v>0</v>
      </c>
      <c r="M74" s="758">
        <f t="shared" si="21"/>
        <v>0</v>
      </c>
      <c r="N74" s="758">
        <f t="shared" si="21"/>
        <v>0</v>
      </c>
      <c r="S74" s="650"/>
      <c r="T74" s="650"/>
      <c r="U74" s="650"/>
      <c r="V74" s="650"/>
      <c r="W74" s="650"/>
      <c r="X74" s="650"/>
      <c r="Y74" s="650"/>
    </row>
    <row r="75" ht="48" spans="1:33">
      <c r="A75" s="823" t="s">
        <v>1718</v>
      </c>
      <c r="B75" s="802">
        <f>估价对象房地状况!C19</f>
        <v>0</v>
      </c>
      <c r="C75" s="706"/>
      <c r="D75" s="802">
        <f t="shared" si="17"/>
        <v>0</v>
      </c>
      <c r="E75" s="822"/>
      <c r="F75" s="710"/>
      <c r="G75" s="820"/>
      <c r="H75" s="821" t="str">
        <f t="shared" si="18"/>
        <v>——</v>
      </c>
      <c r="I75" s="802">
        <v>0.1</v>
      </c>
      <c r="J75" s="758">
        <f t="shared" si="19"/>
        <v>0</v>
      </c>
      <c r="K75" s="758">
        <f t="shared" si="20"/>
        <v>0</v>
      </c>
      <c r="L75" s="758">
        <v>0</v>
      </c>
      <c r="M75" s="758">
        <f t="shared" si="21"/>
        <v>0</v>
      </c>
      <c r="N75" s="758">
        <f t="shared" si="21"/>
        <v>0</v>
      </c>
      <c r="O75" s="649"/>
      <c r="P75" s="649"/>
      <c r="Q75" s="649"/>
      <c r="AA75" s="650"/>
      <c r="AG75" s="649"/>
    </row>
    <row r="76" ht="13.8" spans="1:33">
      <c r="A76" s="814" t="s">
        <v>1734</v>
      </c>
      <c r="B76" s="802">
        <f>估价对象房地状况!C24</f>
        <v>0</v>
      </c>
      <c r="C76" s="706"/>
      <c r="D76" s="802">
        <f t="shared" si="17"/>
        <v>0</v>
      </c>
      <c r="E76" s="822"/>
      <c r="F76" s="710"/>
      <c r="G76" s="820"/>
      <c r="H76" s="821" t="str">
        <f t="shared" si="18"/>
        <v>——</v>
      </c>
      <c r="I76" s="802">
        <v>0.05</v>
      </c>
      <c r="J76" s="758">
        <f t="shared" si="19"/>
        <v>0</v>
      </c>
      <c r="K76" s="758">
        <f t="shared" si="20"/>
        <v>0</v>
      </c>
      <c r="L76" s="758">
        <v>0</v>
      </c>
      <c r="M76" s="758">
        <f t="shared" si="21"/>
        <v>0</v>
      </c>
      <c r="N76" s="758">
        <f t="shared" si="21"/>
        <v>0</v>
      </c>
      <c r="O76" s="649"/>
      <c r="P76" s="649"/>
      <c r="Q76" s="649"/>
      <c r="AA76" s="650"/>
      <c r="AG76" s="649"/>
    </row>
    <row r="77" ht="24" spans="1:33">
      <c r="A77" s="814" t="s">
        <v>1726</v>
      </c>
      <c r="B77" s="700" t="str">
        <f>估价对象房地状况!C21</f>
        <v>估价对象所在区域公共配套设施齐备情况</v>
      </c>
      <c r="C77" s="706"/>
      <c r="D77" s="802">
        <f t="shared" si="17"/>
        <v>0</v>
      </c>
      <c r="E77" s="822"/>
      <c r="F77" s="710"/>
      <c r="G77" s="820"/>
      <c r="H77" s="821" t="str">
        <f t="shared" si="18"/>
        <v>——</v>
      </c>
      <c r="I77" s="802">
        <v>0.08</v>
      </c>
      <c r="J77" s="758">
        <f t="shared" si="19"/>
        <v>0</v>
      </c>
      <c r="K77" s="758">
        <f t="shared" si="20"/>
        <v>0</v>
      </c>
      <c r="L77" s="758">
        <v>0</v>
      </c>
      <c r="M77" s="758">
        <f t="shared" si="21"/>
        <v>0</v>
      </c>
      <c r="N77" s="758">
        <f t="shared" si="21"/>
        <v>0</v>
      </c>
      <c r="O77" s="649"/>
      <c r="P77" s="649"/>
      <c r="Q77" s="649"/>
      <c r="AA77" s="650"/>
      <c r="AG77" s="649"/>
    </row>
    <row r="78" ht="24" spans="1:33">
      <c r="A78" s="814" t="s">
        <v>1727</v>
      </c>
      <c r="B78" s="700" t="str">
        <f>估价对象房地状况!C22</f>
        <v>估价对象所在区域基础设施水平</v>
      </c>
      <c r="C78" s="706"/>
      <c r="D78" s="802">
        <f t="shared" si="17"/>
        <v>0</v>
      </c>
      <c r="E78" s="822"/>
      <c r="F78" s="710"/>
      <c r="G78" s="820"/>
      <c r="H78" s="821" t="str">
        <f t="shared" si="18"/>
        <v>——</v>
      </c>
      <c r="I78" s="802">
        <v>0.09</v>
      </c>
      <c r="J78" s="758">
        <f t="shared" si="19"/>
        <v>0</v>
      </c>
      <c r="K78" s="758">
        <f t="shared" si="20"/>
        <v>0</v>
      </c>
      <c r="L78" s="758">
        <v>0</v>
      </c>
      <c r="M78" s="758">
        <f t="shared" si="21"/>
        <v>0</v>
      </c>
      <c r="N78" s="758">
        <f t="shared" si="21"/>
        <v>0</v>
      </c>
      <c r="O78" s="649"/>
      <c r="P78" s="649"/>
      <c r="Q78" s="649"/>
      <c r="AA78" s="650"/>
      <c r="AG78" s="649"/>
    </row>
    <row r="79" ht="36" spans="1:33">
      <c r="A79" s="814" t="s">
        <v>1724</v>
      </c>
      <c r="B79" s="825" t="s">
        <v>1725</v>
      </c>
      <c r="C79" s="706"/>
      <c r="D79" s="802">
        <f t="shared" si="17"/>
        <v>0</v>
      </c>
      <c r="E79" s="822"/>
      <c r="F79" s="710"/>
      <c r="G79" s="820"/>
      <c r="H79" s="821" t="str">
        <f t="shared" si="18"/>
        <v>——</v>
      </c>
      <c r="I79" s="802">
        <v>0.05</v>
      </c>
      <c r="J79" s="758">
        <f t="shared" si="19"/>
        <v>0</v>
      </c>
      <c r="K79" s="758">
        <f t="shared" si="20"/>
        <v>0</v>
      </c>
      <c r="L79" s="758">
        <v>0</v>
      </c>
      <c r="M79" s="758">
        <f t="shared" si="21"/>
        <v>0</v>
      </c>
      <c r="N79" s="758">
        <f t="shared" si="21"/>
        <v>0</v>
      </c>
      <c r="AA79" s="650"/>
      <c r="AG79" s="649"/>
    </row>
    <row r="80" ht="36" spans="1:33">
      <c r="A80" s="814" t="s">
        <v>1728</v>
      </c>
      <c r="B80" s="802" t="str">
        <f>估价对象房地状况!C20</f>
        <v>区域自然环境：；人文环境；综合评价环境状况一般</v>
      </c>
      <c r="C80" s="706"/>
      <c r="D80" s="802">
        <f t="shared" si="17"/>
        <v>0</v>
      </c>
      <c r="E80" s="822"/>
      <c r="F80" s="710"/>
      <c r="G80" s="820"/>
      <c r="H80" s="821" t="str">
        <f t="shared" si="18"/>
        <v>——</v>
      </c>
      <c r="I80" s="802">
        <v>0.12</v>
      </c>
      <c r="J80" s="758">
        <f t="shared" si="19"/>
        <v>0</v>
      </c>
      <c r="K80" s="758">
        <f t="shared" si="20"/>
        <v>0</v>
      </c>
      <c r="L80" s="758">
        <v>0</v>
      </c>
      <c r="M80" s="758">
        <f t="shared" si="21"/>
        <v>0</v>
      </c>
      <c r="N80" s="758">
        <f t="shared" si="21"/>
        <v>0</v>
      </c>
      <c r="AA80" s="650"/>
      <c r="AG80" s="649"/>
    </row>
    <row r="81" ht="36.75" spans="1:33">
      <c r="A81" s="827" t="s">
        <v>1735</v>
      </c>
      <c r="B81" s="922"/>
      <c r="C81" s="706"/>
      <c r="D81" s="802">
        <f t="shared" si="17"/>
        <v>0</v>
      </c>
      <c r="E81" s="829"/>
      <c r="F81" s="710"/>
      <c r="G81" s="820"/>
      <c r="H81" s="821" t="str">
        <f t="shared" si="18"/>
        <v>——</v>
      </c>
      <c r="I81" s="905">
        <v>0.05</v>
      </c>
      <c r="J81" s="758">
        <f t="shared" si="19"/>
        <v>0</v>
      </c>
      <c r="K81" s="758">
        <f t="shared" si="20"/>
        <v>0</v>
      </c>
      <c r="L81" s="758">
        <v>0</v>
      </c>
      <c r="M81" s="758">
        <f t="shared" si="21"/>
        <v>0</v>
      </c>
      <c r="N81" s="758">
        <f t="shared" si="21"/>
        <v>0</v>
      </c>
      <c r="AA81" s="650"/>
      <c r="AG81" s="649"/>
    </row>
    <row r="82" ht="14.4" spans="1:33">
      <c r="A82" s="808" t="s">
        <v>1736</v>
      </c>
      <c r="B82" s="809">
        <f>1+E84</f>
        <v>1</v>
      </c>
      <c r="C82" s="811"/>
      <c r="D82" s="811"/>
      <c r="E82" s="812"/>
      <c r="F82" s="921"/>
      <c r="G82" s="807"/>
      <c r="H82" s="807"/>
      <c r="I82" s="807"/>
      <c r="J82" s="807"/>
      <c r="K82" s="807"/>
      <c r="L82" s="807"/>
      <c r="M82" s="807"/>
      <c r="N82" s="807"/>
      <c r="AA82" s="650"/>
      <c r="AG82" s="649"/>
    </row>
    <row r="83" ht="25.2" spans="1:33">
      <c r="A83" s="814" t="s">
        <v>1707</v>
      </c>
      <c r="B83" s="802"/>
      <c r="C83" s="802" t="s">
        <v>1709</v>
      </c>
      <c r="D83" s="802" t="s">
        <v>1710</v>
      </c>
      <c r="E83" s="815" t="s">
        <v>1711</v>
      </c>
      <c r="F83" s="816" t="s">
        <v>1730</v>
      </c>
      <c r="G83" s="802" t="s">
        <v>1628</v>
      </c>
      <c r="H83" s="818" t="s">
        <v>1713</v>
      </c>
      <c r="I83" s="802" t="s">
        <v>1714</v>
      </c>
      <c r="J83" s="904" t="s">
        <v>1435</v>
      </c>
      <c r="K83" s="904" t="s">
        <v>1436</v>
      </c>
      <c r="L83" s="904" t="s">
        <v>1437</v>
      </c>
      <c r="M83" s="904" t="s">
        <v>1438</v>
      </c>
      <c r="N83" s="904" t="s">
        <v>1439</v>
      </c>
      <c r="AA83" s="650"/>
      <c r="AG83" s="649"/>
    </row>
    <row r="84" ht="39.6" spans="1:33">
      <c r="A84" s="814" t="s">
        <v>1737</v>
      </c>
      <c r="B84" s="802" t="str">
        <f>估价对象房地状况!G15</f>
        <v>估价对象位于XX开发区，园区建设成熟度XX，产业集聚程度XX</v>
      </c>
      <c r="C84" s="706"/>
      <c r="D84" s="802">
        <f t="shared" ref="D84:D91" si="22">SUMIF($J$83:$N$83,C84,J84:N84)</f>
        <v>0</v>
      </c>
      <c r="E84" s="819">
        <f>ROUND(SUM(D84:D91),4)</f>
        <v>0</v>
      </c>
      <c r="F84" s="710" t="str">
        <f>IF(E2="工业",SUMIF(L1:L12,G2,N1:N12),"——")</f>
        <v>——</v>
      </c>
      <c r="G84" s="820"/>
      <c r="H84" s="821" t="str">
        <f t="shared" ref="H84:H91" si="23">IFERROR(ROUNDDOWN($F$84*I84/2,4),"——")</f>
        <v>——</v>
      </c>
      <c r="I84" s="802">
        <v>0.26</v>
      </c>
      <c r="J84" s="758">
        <f t="shared" ref="J84:J91" si="24">K84+$G84</f>
        <v>0</v>
      </c>
      <c r="K84" s="758">
        <f t="shared" ref="K84:K91" si="25">$L84+$G84</f>
        <v>0</v>
      </c>
      <c r="L84" s="758">
        <v>0</v>
      </c>
      <c r="M84" s="758">
        <f t="shared" ref="M84:N91" si="26">L84-$G84</f>
        <v>0</v>
      </c>
      <c r="N84" s="758">
        <f t="shared" si="26"/>
        <v>0</v>
      </c>
      <c r="AA84" s="650"/>
      <c r="AG84" s="649"/>
    </row>
    <row r="85" ht="48" spans="1:33">
      <c r="A85" s="814" t="s">
        <v>1717</v>
      </c>
      <c r="B85" s="802" t="str">
        <f>估价对象房地状况!G16</f>
        <v>估价对象周边道路状况、公共交通通达情况、停车便捷程度，综合评价交通便捷度较好</v>
      </c>
      <c r="C85" s="706"/>
      <c r="D85" s="802">
        <f t="shared" si="22"/>
        <v>0</v>
      </c>
      <c r="E85" s="822"/>
      <c r="F85" s="710"/>
      <c r="G85" s="820"/>
      <c r="H85" s="821" t="str">
        <f t="shared" si="23"/>
        <v>——</v>
      </c>
      <c r="I85" s="802">
        <v>0.3</v>
      </c>
      <c r="J85" s="758">
        <f t="shared" si="24"/>
        <v>0</v>
      </c>
      <c r="K85" s="758">
        <f t="shared" si="25"/>
        <v>0</v>
      </c>
      <c r="L85" s="758">
        <v>0</v>
      </c>
      <c r="M85" s="758">
        <f t="shared" si="26"/>
        <v>0</v>
      </c>
      <c r="N85" s="758">
        <f t="shared" si="26"/>
        <v>0</v>
      </c>
      <c r="AA85" s="650"/>
      <c r="AG85" s="649"/>
    </row>
    <row r="86" ht="48" spans="1:33">
      <c r="A86" s="823" t="s">
        <v>1718</v>
      </c>
      <c r="B86" s="802">
        <f>估价对象房地状况!G17</f>
        <v>0</v>
      </c>
      <c r="C86" s="706"/>
      <c r="D86" s="802">
        <f t="shared" si="22"/>
        <v>0</v>
      </c>
      <c r="E86" s="822"/>
      <c r="F86" s="710"/>
      <c r="G86" s="820"/>
      <c r="H86" s="821" t="str">
        <f t="shared" si="23"/>
        <v>——</v>
      </c>
      <c r="I86" s="802">
        <v>0.1</v>
      </c>
      <c r="J86" s="758">
        <f t="shared" si="24"/>
        <v>0</v>
      </c>
      <c r="K86" s="758">
        <f t="shared" si="25"/>
        <v>0</v>
      </c>
      <c r="L86" s="758">
        <v>0</v>
      </c>
      <c r="M86" s="758">
        <f t="shared" si="26"/>
        <v>0</v>
      </c>
      <c r="N86" s="758">
        <f t="shared" si="26"/>
        <v>0</v>
      </c>
      <c r="AA86" s="650"/>
      <c r="AG86" s="649"/>
    </row>
    <row r="87" ht="13.8" spans="1:33">
      <c r="A87" s="814" t="s">
        <v>1734</v>
      </c>
      <c r="B87" s="802">
        <f>估价对象房地状况!G22</f>
        <v>0</v>
      </c>
      <c r="C87" s="706"/>
      <c r="D87" s="802">
        <f t="shared" si="22"/>
        <v>0</v>
      </c>
      <c r="E87" s="822"/>
      <c r="F87" s="710"/>
      <c r="G87" s="820"/>
      <c r="H87" s="821" t="str">
        <f t="shared" si="23"/>
        <v>——</v>
      </c>
      <c r="I87" s="802">
        <v>0.05</v>
      </c>
      <c r="J87" s="758">
        <f t="shared" si="24"/>
        <v>0</v>
      </c>
      <c r="K87" s="758">
        <f t="shared" si="25"/>
        <v>0</v>
      </c>
      <c r="L87" s="758">
        <v>0</v>
      </c>
      <c r="M87" s="758">
        <f t="shared" si="26"/>
        <v>0</v>
      </c>
      <c r="N87" s="758">
        <f t="shared" si="26"/>
        <v>0</v>
      </c>
      <c r="AA87" s="650"/>
      <c r="AG87" s="649"/>
    </row>
    <row r="88" ht="24" spans="1:14">
      <c r="A88" s="814" t="s">
        <v>1726</v>
      </c>
      <c r="B88" s="700" t="str">
        <f>估价对象房地状况!G19</f>
        <v>估价对象所在区域公共配套设施齐备情况</v>
      </c>
      <c r="C88" s="706"/>
      <c r="D88" s="802">
        <f t="shared" si="22"/>
        <v>0</v>
      </c>
      <c r="E88" s="822"/>
      <c r="F88" s="710"/>
      <c r="G88" s="820"/>
      <c r="H88" s="821" t="str">
        <f t="shared" si="23"/>
        <v>——</v>
      </c>
      <c r="I88" s="802">
        <v>0.06</v>
      </c>
      <c r="J88" s="758">
        <f t="shared" si="24"/>
        <v>0</v>
      </c>
      <c r="K88" s="758">
        <f t="shared" si="25"/>
        <v>0</v>
      </c>
      <c r="L88" s="758">
        <v>0</v>
      </c>
      <c r="M88" s="758">
        <f t="shared" si="26"/>
        <v>0</v>
      </c>
      <c r="N88" s="758">
        <f t="shared" si="26"/>
        <v>0</v>
      </c>
    </row>
    <row r="89" ht="24" spans="1:14">
      <c r="A89" s="814" t="s">
        <v>1727</v>
      </c>
      <c r="B89" s="700" t="str">
        <f>估价对象房地状况!G20</f>
        <v>估价对象所在区域基础设施水平</v>
      </c>
      <c r="C89" s="706"/>
      <c r="D89" s="802">
        <f t="shared" si="22"/>
        <v>0</v>
      </c>
      <c r="E89" s="822"/>
      <c r="F89" s="710"/>
      <c r="G89" s="820"/>
      <c r="H89" s="821" t="str">
        <f t="shared" si="23"/>
        <v>——</v>
      </c>
      <c r="I89" s="802">
        <v>0.12</v>
      </c>
      <c r="J89" s="758">
        <f t="shared" si="24"/>
        <v>0</v>
      </c>
      <c r="K89" s="758">
        <f t="shared" si="25"/>
        <v>0</v>
      </c>
      <c r="L89" s="758">
        <v>0</v>
      </c>
      <c r="M89" s="758">
        <f t="shared" si="26"/>
        <v>0</v>
      </c>
      <c r="N89" s="758">
        <f t="shared" si="26"/>
        <v>0</v>
      </c>
    </row>
    <row r="90" ht="36" spans="1:14">
      <c r="A90" s="814" t="s">
        <v>1724</v>
      </c>
      <c r="B90" s="825" t="s">
        <v>1738</v>
      </c>
      <c r="C90" s="706"/>
      <c r="D90" s="802">
        <f t="shared" si="22"/>
        <v>0</v>
      </c>
      <c r="E90" s="822"/>
      <c r="F90" s="710"/>
      <c r="G90" s="820"/>
      <c r="H90" s="821" t="str">
        <f t="shared" si="23"/>
        <v>——</v>
      </c>
      <c r="I90" s="802">
        <v>0.06</v>
      </c>
      <c r="J90" s="758">
        <f t="shared" si="24"/>
        <v>0</v>
      </c>
      <c r="K90" s="758">
        <f t="shared" si="25"/>
        <v>0</v>
      </c>
      <c r="L90" s="758">
        <v>0</v>
      </c>
      <c r="M90" s="758">
        <f t="shared" si="26"/>
        <v>0</v>
      </c>
      <c r="N90" s="758">
        <f t="shared" si="26"/>
        <v>0</v>
      </c>
    </row>
    <row r="91" ht="36.75" spans="1:25">
      <c r="A91" s="827" t="s">
        <v>1739</v>
      </c>
      <c r="B91" s="905" t="str">
        <f>估价对象房地状况!G18</f>
        <v>该园区内是否有污染型企业，绿化情况，卫生条件，整体环境状况判断</v>
      </c>
      <c r="C91" s="706"/>
      <c r="D91" s="802">
        <f t="shared" si="22"/>
        <v>0</v>
      </c>
      <c r="E91" s="829"/>
      <c r="F91" s="710"/>
      <c r="G91" s="820"/>
      <c r="H91" s="821" t="str">
        <f t="shared" si="23"/>
        <v>——</v>
      </c>
      <c r="I91" s="905">
        <v>0.05</v>
      </c>
      <c r="J91" s="758">
        <f t="shared" si="24"/>
        <v>0</v>
      </c>
      <c r="K91" s="758">
        <f t="shared" si="25"/>
        <v>0</v>
      </c>
      <c r="L91" s="758">
        <v>0</v>
      </c>
      <c r="M91" s="758">
        <f t="shared" si="26"/>
        <v>0</v>
      </c>
      <c r="N91" s="758">
        <f t="shared" si="26"/>
        <v>0</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1707</v>
      </c>
      <c r="B93" s="802"/>
      <c r="C93" s="802" t="s">
        <v>1709</v>
      </c>
      <c r="D93" s="802" t="s">
        <v>1710</v>
      </c>
      <c r="E93" s="815" t="s">
        <v>1711</v>
      </c>
      <c r="F93" s="816" t="s">
        <v>1730</v>
      </c>
      <c r="G93" s="802" t="s">
        <v>1628</v>
      </c>
      <c r="H93" s="818" t="s">
        <v>1713</v>
      </c>
      <c r="I93" s="802" t="s">
        <v>1714</v>
      </c>
      <c r="J93" s="904" t="s">
        <v>1435</v>
      </c>
      <c r="K93" s="904" t="s">
        <v>1436</v>
      </c>
      <c r="L93" s="904" t="s">
        <v>1437</v>
      </c>
      <c r="M93" s="904" t="s">
        <v>1438</v>
      </c>
      <c r="N93" s="904" t="s">
        <v>1439</v>
      </c>
    </row>
    <row r="94" s="649" customFormat="1" ht="24" spans="1:14">
      <c r="A94" s="823" t="s">
        <v>1740</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7">K94+$G94</f>
        <v>0</v>
      </c>
      <c r="K94" s="758">
        <f t="shared" ref="K94:K102" si="28">$L94+$G94</f>
        <v>0</v>
      </c>
      <c r="L94" s="758">
        <v>0</v>
      </c>
      <c r="M94" s="758">
        <f t="shared" ref="M94:M102" si="29">L94-$G94</f>
        <v>0</v>
      </c>
      <c r="N94" s="758">
        <f t="shared" ref="N94:N102" si="30">M94-$G94</f>
        <v>0</v>
      </c>
    </row>
    <row r="95" s="649" customFormat="1" ht="48" spans="1:14">
      <c r="A95" s="814" t="s">
        <v>1717</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8">
        <f t="shared" si="27"/>
        <v>0</v>
      </c>
      <c r="K95" s="758">
        <f t="shared" si="28"/>
        <v>0</v>
      </c>
      <c r="L95" s="758">
        <v>0</v>
      </c>
      <c r="M95" s="758">
        <f t="shared" si="29"/>
        <v>0</v>
      </c>
      <c r="N95" s="758">
        <f t="shared" si="30"/>
        <v>0</v>
      </c>
    </row>
    <row r="96" s="649" customFormat="1" ht="48" spans="1:14">
      <c r="A96" s="823" t="s">
        <v>1718</v>
      </c>
      <c r="B96" s="802">
        <f>估价对象房地状况!C19</f>
        <v>0</v>
      </c>
      <c r="C96" s="706"/>
      <c r="D96" s="802">
        <f t="shared" si="31"/>
        <v>0</v>
      </c>
      <c r="E96" s="822"/>
      <c r="F96" s="710"/>
      <c r="G96" s="820"/>
      <c r="H96" s="821" t="str">
        <f t="shared" ref="H96:H102" si="32">IFERROR(ROUNDDOWN($F$94*I96/2,4),"——")</f>
        <v>——</v>
      </c>
      <c r="I96" s="802">
        <v>0.11</v>
      </c>
      <c r="J96" s="758">
        <f t="shared" si="27"/>
        <v>0</v>
      </c>
      <c r="K96" s="758">
        <f t="shared" si="28"/>
        <v>0</v>
      </c>
      <c r="L96" s="758">
        <v>0</v>
      </c>
      <c r="M96" s="758">
        <f t="shared" si="29"/>
        <v>0</v>
      </c>
      <c r="N96" s="758">
        <f t="shared" si="30"/>
        <v>0</v>
      </c>
    </row>
    <row r="97" s="649" customFormat="1" ht="37.2" spans="1:14">
      <c r="A97" s="814" t="s">
        <v>1720</v>
      </c>
      <c r="B97" s="824" t="s">
        <v>1721</v>
      </c>
      <c r="C97" s="706"/>
      <c r="D97" s="802">
        <f t="shared" si="31"/>
        <v>0</v>
      </c>
      <c r="E97" s="822"/>
      <c r="F97" s="710"/>
      <c r="G97" s="820"/>
      <c r="H97" s="821" t="str">
        <f t="shared" si="32"/>
        <v>——</v>
      </c>
      <c r="I97" s="802">
        <v>0.05</v>
      </c>
      <c r="J97" s="758">
        <f t="shared" si="27"/>
        <v>0</v>
      </c>
      <c r="K97" s="758">
        <f t="shared" si="28"/>
        <v>0</v>
      </c>
      <c r="L97" s="758">
        <v>0</v>
      </c>
      <c r="M97" s="758">
        <f t="shared" si="29"/>
        <v>0</v>
      </c>
      <c r="N97" s="758">
        <f t="shared" si="30"/>
        <v>0</v>
      </c>
    </row>
    <row r="98" s="649" customFormat="1" ht="24" spans="1:14">
      <c r="A98" s="814" t="s">
        <v>1722</v>
      </c>
      <c r="B98" s="802">
        <f>估价对象房地状况!C24</f>
        <v>0</v>
      </c>
      <c r="C98" s="706"/>
      <c r="D98" s="802">
        <f t="shared" si="31"/>
        <v>0</v>
      </c>
      <c r="E98" s="822"/>
      <c r="F98" s="710"/>
      <c r="G98" s="820"/>
      <c r="H98" s="821" t="str">
        <f t="shared" si="32"/>
        <v>——</v>
      </c>
      <c r="I98" s="802">
        <v>0.05</v>
      </c>
      <c r="J98" s="758">
        <f t="shared" si="27"/>
        <v>0</v>
      </c>
      <c r="K98" s="758">
        <f t="shared" si="28"/>
        <v>0</v>
      </c>
      <c r="L98" s="758">
        <v>0</v>
      </c>
      <c r="M98" s="758">
        <f t="shared" si="29"/>
        <v>0</v>
      </c>
      <c r="N98" s="758">
        <f t="shared" si="30"/>
        <v>0</v>
      </c>
    </row>
    <row r="99" s="649" customFormat="1" ht="36" spans="1:14">
      <c r="A99" s="814" t="s">
        <v>1724</v>
      </c>
      <c r="B99" s="825" t="s">
        <v>1725</v>
      </c>
      <c r="C99" s="706"/>
      <c r="D99" s="802">
        <f t="shared" si="31"/>
        <v>0</v>
      </c>
      <c r="E99" s="822"/>
      <c r="F99" s="710"/>
      <c r="G99" s="820"/>
      <c r="H99" s="821" t="str">
        <f t="shared" si="32"/>
        <v>——</v>
      </c>
      <c r="I99" s="802">
        <v>0.06</v>
      </c>
      <c r="J99" s="758">
        <f t="shared" si="27"/>
        <v>0</v>
      </c>
      <c r="K99" s="758">
        <f t="shared" si="28"/>
        <v>0</v>
      </c>
      <c r="L99" s="758">
        <v>0</v>
      </c>
      <c r="M99" s="758">
        <f t="shared" si="29"/>
        <v>0</v>
      </c>
      <c r="N99" s="758">
        <f t="shared" si="30"/>
        <v>0</v>
      </c>
    </row>
    <row r="100" s="649" customFormat="1" ht="24" spans="1:14">
      <c r="A100" s="814" t="s">
        <v>1726</v>
      </c>
      <c r="B100" s="700" t="str">
        <f>估价对象房地状况!C21</f>
        <v>估价对象所在区域公共配套设施齐备情况</v>
      </c>
      <c r="C100" s="706"/>
      <c r="D100" s="802">
        <f t="shared" si="31"/>
        <v>0</v>
      </c>
      <c r="E100" s="822"/>
      <c r="F100" s="710"/>
      <c r="G100" s="820"/>
      <c r="H100" s="821" t="str">
        <f t="shared" si="32"/>
        <v>——</v>
      </c>
      <c r="I100" s="802">
        <v>0.06</v>
      </c>
      <c r="J100" s="758">
        <f t="shared" si="27"/>
        <v>0</v>
      </c>
      <c r="K100" s="758">
        <f t="shared" si="28"/>
        <v>0</v>
      </c>
      <c r="L100" s="758">
        <v>0</v>
      </c>
      <c r="M100" s="758">
        <f t="shared" si="29"/>
        <v>0</v>
      </c>
      <c r="N100" s="758">
        <f t="shared" si="30"/>
        <v>0</v>
      </c>
    </row>
    <row r="101" s="649" customFormat="1" ht="24" spans="1:14">
      <c r="A101" s="814" t="s">
        <v>1727</v>
      </c>
      <c r="B101" s="700" t="str">
        <f>估价对象房地状况!C22</f>
        <v>估价对象所在区域基础设施水平</v>
      </c>
      <c r="C101" s="706"/>
      <c r="D101" s="802">
        <f t="shared" si="31"/>
        <v>0</v>
      </c>
      <c r="E101" s="822"/>
      <c r="F101" s="710"/>
      <c r="G101" s="820"/>
      <c r="H101" s="821" t="str">
        <f t="shared" si="32"/>
        <v>——</v>
      </c>
      <c r="I101" s="802">
        <v>0.09</v>
      </c>
      <c r="J101" s="758">
        <f t="shared" si="27"/>
        <v>0</v>
      </c>
      <c r="K101" s="758">
        <f t="shared" si="28"/>
        <v>0</v>
      </c>
      <c r="L101" s="758">
        <v>0</v>
      </c>
      <c r="M101" s="758">
        <f t="shared" si="29"/>
        <v>0</v>
      </c>
      <c r="N101" s="758">
        <f t="shared" si="30"/>
        <v>0</v>
      </c>
    </row>
    <row r="102" s="649" customFormat="1" ht="36.75" spans="1:25">
      <c r="A102" s="827" t="s">
        <v>1728</v>
      </c>
      <c r="B102" s="905" t="str">
        <f>估价对象房地状况!C20</f>
        <v>区域自然环境：；人文环境；综合评价环境状况一般</v>
      </c>
      <c r="C102" s="706"/>
      <c r="D102" s="802">
        <f t="shared" si="31"/>
        <v>0</v>
      </c>
      <c r="E102" s="829"/>
      <c r="F102" s="710"/>
      <c r="G102" s="820"/>
      <c r="H102" s="821" t="str">
        <f t="shared" si="32"/>
        <v>——</v>
      </c>
      <c r="I102" s="905">
        <v>0.07</v>
      </c>
      <c r="J102" s="758">
        <f t="shared" si="27"/>
        <v>0</v>
      </c>
      <c r="K102" s="758">
        <f t="shared" si="28"/>
        <v>0</v>
      </c>
      <c r="L102" s="758">
        <v>0</v>
      </c>
      <c r="M102" s="758">
        <f t="shared" si="29"/>
        <v>0</v>
      </c>
      <c r="N102" s="758">
        <f t="shared" si="30"/>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1741</v>
      </c>
      <c r="B104" s="928"/>
      <c r="C104" s="928"/>
      <c r="D104" s="928"/>
      <c r="E104" s="928"/>
      <c r="F104" s="928"/>
      <c r="G104" s="928"/>
      <c r="H104" s="928"/>
      <c r="I104" s="928"/>
      <c r="J104" s="928"/>
      <c r="K104" s="928"/>
      <c r="L104" s="928"/>
      <c r="M104" s="928"/>
      <c r="N104" s="928"/>
    </row>
    <row r="105" spans="1:14">
      <c r="A105" s="784" t="s">
        <v>1742</v>
      </c>
      <c r="B105" s="784" t="s">
        <v>1743</v>
      </c>
      <c r="C105" s="785" t="s">
        <v>1744</v>
      </c>
      <c r="D105" s="786"/>
      <c r="E105" s="786"/>
      <c r="F105" s="786"/>
      <c r="G105" s="786"/>
      <c r="H105" s="786"/>
      <c r="I105" s="786"/>
      <c r="J105" s="944"/>
      <c r="K105" s="945"/>
      <c r="L105" s="945"/>
      <c r="M105" s="945"/>
      <c r="N105" s="945"/>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29" t="s">
        <v>1745</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1605</v>
      </c>
      <c r="C112" s="931">
        <f>$I$3</f>
        <v>2</v>
      </c>
      <c r="D112" s="931">
        <f t="shared" ref="D112:N112" si="33">$I$3</f>
        <v>2</v>
      </c>
      <c r="E112" s="931">
        <f t="shared" si="33"/>
        <v>2</v>
      </c>
      <c r="F112" s="931">
        <f t="shared" si="33"/>
        <v>2</v>
      </c>
      <c r="G112" s="931">
        <f t="shared" si="33"/>
        <v>2</v>
      </c>
      <c r="H112" s="931">
        <f t="shared" si="33"/>
        <v>2</v>
      </c>
      <c r="I112" s="931">
        <f t="shared" si="33"/>
        <v>2</v>
      </c>
      <c r="J112" s="931">
        <f t="shared" si="33"/>
        <v>2</v>
      </c>
      <c r="K112" s="931">
        <f t="shared" si="33"/>
        <v>2</v>
      </c>
      <c r="L112" s="931">
        <f t="shared" si="33"/>
        <v>2</v>
      </c>
      <c r="M112" s="931">
        <f t="shared" si="33"/>
        <v>2</v>
      </c>
      <c r="N112" s="931">
        <f t="shared" si="33"/>
        <v>2</v>
      </c>
    </row>
    <row r="113" spans="1:14">
      <c r="A113" s="932"/>
      <c r="B113" s="784">
        <v>6</v>
      </c>
      <c r="C113" s="818">
        <f>(-0.5556*(C112^2)-0.2719*C112+8944)*(10^(-4))</f>
        <v>0.89412338</v>
      </c>
      <c r="D113" s="818">
        <f>(-0.5556*(D112^2)-0.2719*D112+8944)*(10^(-4))</f>
        <v>0.89412338</v>
      </c>
      <c r="E113" s="818">
        <f>(-0.7912*(E112^2)-11.3794*E112+8482)*(10^(-4))</f>
        <v>0.84560764</v>
      </c>
      <c r="F113" s="818">
        <f t="shared" ref="F113:I113" si="34">(-0.7912*(F112^2)-11.3794*F112+8482)*(10^(-4))</f>
        <v>0.84560764</v>
      </c>
      <c r="G113" s="818">
        <f t="shared" si="34"/>
        <v>0.84560764</v>
      </c>
      <c r="H113" s="818">
        <f t="shared" si="34"/>
        <v>0.84560764</v>
      </c>
      <c r="I113" s="818">
        <f t="shared" si="34"/>
        <v>0.84560764</v>
      </c>
      <c r="J113" s="818">
        <f>(-0.989*(J112^2)-63.78*J112+7771)*(10^(-4))</f>
        <v>0.7639484</v>
      </c>
      <c r="K113" s="818">
        <f t="shared" ref="K113:N113" si="35">(-0.989*(K112^2)-63.78*K112+7771)*(10^(-4))</f>
        <v>0.7639484</v>
      </c>
      <c r="L113" s="818">
        <f t="shared" si="35"/>
        <v>0.7639484</v>
      </c>
      <c r="M113" s="818">
        <f t="shared" si="35"/>
        <v>0.7639484</v>
      </c>
      <c r="N113" s="818">
        <f t="shared" si="35"/>
        <v>0.7639484</v>
      </c>
    </row>
    <row r="114" spans="1:14">
      <c r="A114" s="933" t="s">
        <v>1746</v>
      </c>
      <c r="B114" s="933"/>
      <c r="C114" s="933"/>
      <c r="D114" s="933"/>
      <c r="E114" s="933"/>
      <c r="F114" s="933"/>
      <c r="G114" s="933"/>
      <c r="H114" s="933"/>
      <c r="I114" s="933"/>
      <c r="J114" s="933"/>
      <c r="K114" s="933"/>
      <c r="L114" s="933"/>
      <c r="M114" s="933"/>
      <c r="N114" s="933"/>
    </row>
    <row r="116" ht="13.95"/>
    <row r="117" ht="25.95" spans="1:13">
      <c r="A117" s="761" t="s">
        <v>1747</v>
      </c>
      <c r="B117" s="934">
        <f>G3</f>
        <v>3.5</v>
      </c>
      <c r="C117" s="751" t="s">
        <v>1748</v>
      </c>
      <c r="D117" s="935">
        <f>SUMPRODUCT((A119:A123=F117)*(B118:M118=H117)*B119:M123)</f>
        <v>0.9583</v>
      </c>
      <c r="E117" s="654" t="s">
        <v>1560</v>
      </c>
      <c r="F117" s="936" t="str">
        <f>E2</f>
        <v>商业</v>
      </c>
      <c r="G117" s="654" t="s">
        <v>1562</v>
      </c>
      <c r="H117" s="936" t="str">
        <f>G2</f>
        <v>一级</v>
      </c>
      <c r="I117" s="654"/>
      <c r="J117" s="946"/>
      <c r="K117" s="946"/>
      <c r="L117" s="946"/>
      <c r="M117" s="946"/>
    </row>
    <row r="118" spans="1:13">
      <c r="A118" s="937"/>
      <c r="B118" s="938" t="s">
        <v>1749</v>
      </c>
      <c r="C118" s="938" t="s">
        <v>1750</v>
      </c>
      <c r="D118" s="938" t="s">
        <v>1751</v>
      </c>
      <c r="E118" s="939" t="s">
        <v>1752</v>
      </c>
      <c r="F118" s="939" t="s">
        <v>1753</v>
      </c>
      <c r="G118" s="939" t="s">
        <v>1754</v>
      </c>
      <c r="H118" s="940" t="s">
        <v>1755</v>
      </c>
      <c r="I118" s="940" t="s">
        <v>1756</v>
      </c>
      <c r="J118" s="947" t="s">
        <v>1757</v>
      </c>
      <c r="K118" s="947" t="s">
        <v>1758</v>
      </c>
      <c r="L118" s="947" t="s">
        <v>1759</v>
      </c>
      <c r="M118" s="948" t="s">
        <v>1760</v>
      </c>
    </row>
    <row r="119" spans="1:13">
      <c r="A119" s="890" t="s">
        <v>1676</v>
      </c>
      <c r="B119" s="818">
        <f>ROUND(0.9968-0.011*B117,4)</f>
        <v>0.9583</v>
      </c>
      <c r="C119" s="818">
        <f>B119</f>
        <v>0.9583</v>
      </c>
      <c r="D119" s="818">
        <f>ROUND(0.949-0.014*B117,4)</f>
        <v>0.9</v>
      </c>
      <c r="E119" s="818">
        <f>D119</f>
        <v>0.9</v>
      </c>
      <c r="F119" s="818">
        <f>E119</f>
        <v>0.9</v>
      </c>
      <c r="G119" s="818">
        <f>F119</f>
        <v>0.9</v>
      </c>
      <c r="H119" s="818">
        <f>G119</f>
        <v>0.9</v>
      </c>
      <c r="I119" s="818">
        <f>ROUND(0.8486-0.018*B117,4)</f>
        <v>0.7856</v>
      </c>
      <c r="J119" s="818">
        <f t="shared" ref="J119:M122" si="36">I119</f>
        <v>0.7856</v>
      </c>
      <c r="K119" s="818">
        <f t="shared" si="36"/>
        <v>0.7856</v>
      </c>
      <c r="L119" s="818">
        <f t="shared" si="36"/>
        <v>0.7856</v>
      </c>
      <c r="M119" s="949">
        <f t="shared" si="36"/>
        <v>0.7856</v>
      </c>
    </row>
    <row r="120" spans="1:13">
      <c r="A120" s="890" t="s">
        <v>1677</v>
      </c>
      <c r="B120" s="818">
        <f>ROUND(0.993-0.0112*B117,4)</f>
        <v>0.9538</v>
      </c>
      <c r="C120" s="818">
        <f>B120</f>
        <v>0.9538</v>
      </c>
      <c r="D120" s="818">
        <f>ROUND(0.9415-0.0142*B117,4)</f>
        <v>0.8918</v>
      </c>
      <c r="E120" s="818">
        <f t="shared" ref="E120:H121" si="37">D120</f>
        <v>0.8918</v>
      </c>
      <c r="F120" s="818">
        <f t="shared" si="37"/>
        <v>0.8918</v>
      </c>
      <c r="G120" s="818">
        <f t="shared" si="37"/>
        <v>0.8918</v>
      </c>
      <c r="H120" s="818">
        <f t="shared" si="37"/>
        <v>0.8918</v>
      </c>
      <c r="I120" s="818">
        <f>ROUND(0.838-0.0182*B117,4)</f>
        <v>0.7743</v>
      </c>
      <c r="J120" s="818">
        <f t="shared" si="36"/>
        <v>0.7743</v>
      </c>
      <c r="K120" s="818">
        <f t="shared" si="36"/>
        <v>0.7743</v>
      </c>
      <c r="L120" s="818">
        <f t="shared" si="36"/>
        <v>0.7743</v>
      </c>
      <c r="M120" s="949">
        <f t="shared" si="36"/>
        <v>0.7743</v>
      </c>
    </row>
    <row r="121" spans="1:13">
      <c r="A121" s="890" t="s">
        <v>1678</v>
      </c>
      <c r="B121" s="818">
        <f>ROUND(0.9448-0.0115*B117,4)</f>
        <v>0.9046</v>
      </c>
      <c r="C121" s="818">
        <f>B121</f>
        <v>0.9046</v>
      </c>
      <c r="D121" s="818">
        <f>ROUND(0.937-0.0145*B117,4)</f>
        <v>0.8863</v>
      </c>
      <c r="E121" s="818">
        <f t="shared" si="37"/>
        <v>0.8863</v>
      </c>
      <c r="F121" s="818">
        <f t="shared" si="37"/>
        <v>0.8863</v>
      </c>
      <c r="G121" s="818">
        <f t="shared" si="37"/>
        <v>0.8863</v>
      </c>
      <c r="H121" s="818">
        <f t="shared" si="37"/>
        <v>0.8863</v>
      </c>
      <c r="I121" s="818">
        <f>ROUND(0.7965-0.0185*B117,4)</f>
        <v>0.7318</v>
      </c>
      <c r="J121" s="818">
        <f t="shared" si="36"/>
        <v>0.7318</v>
      </c>
      <c r="K121" s="818">
        <f t="shared" si="36"/>
        <v>0.7318</v>
      </c>
      <c r="L121" s="818">
        <f t="shared" si="36"/>
        <v>0.7318</v>
      </c>
      <c r="M121" s="949">
        <f t="shared" si="36"/>
        <v>0.7318</v>
      </c>
    </row>
    <row r="122" ht="13.95" spans="1:13">
      <c r="A122" s="891" t="s">
        <v>1679</v>
      </c>
      <c r="B122" s="941">
        <f>ROUND(0.7836-0.012*B117,4)</f>
        <v>0.7416</v>
      </c>
      <c r="C122" s="941">
        <f>B122</f>
        <v>0.7416</v>
      </c>
      <c r="D122" s="941">
        <f>ROUND(0.753-0.015*B117,4)</f>
        <v>0.7005</v>
      </c>
      <c r="E122" s="941">
        <f>D122</f>
        <v>0.7005</v>
      </c>
      <c r="F122" s="941">
        <f>E122</f>
        <v>0.7005</v>
      </c>
      <c r="G122" s="941">
        <f>ROUND(0.6612-0.018*B117,4)</f>
        <v>0.5982</v>
      </c>
      <c r="H122" s="941">
        <f>G122</f>
        <v>0.5982</v>
      </c>
      <c r="I122" s="941">
        <f>ROUND(0.5905-0.019*B117,4)</f>
        <v>0.524</v>
      </c>
      <c r="J122" s="941">
        <f t="shared" si="36"/>
        <v>0.524</v>
      </c>
      <c r="K122" s="941">
        <f t="shared" si="36"/>
        <v>0.524</v>
      </c>
      <c r="L122" s="941">
        <f t="shared" si="36"/>
        <v>0.524</v>
      </c>
      <c r="M122" s="950">
        <f t="shared" si="36"/>
        <v>0.524</v>
      </c>
    </row>
    <row r="123" spans="1:13">
      <c r="A123" s="942" t="s">
        <v>288</v>
      </c>
      <c r="B123" s="818">
        <f>ROUND(0.9404-0.0106*B117,4)</f>
        <v>0.9033</v>
      </c>
      <c r="C123" s="818">
        <f>B123</f>
        <v>0.9033</v>
      </c>
      <c r="D123" s="818">
        <f>ROUND(0.8955-0.0135*B117,4)</f>
        <v>0.8483</v>
      </c>
      <c r="E123" s="818">
        <f t="shared" ref="E123" si="38">D123</f>
        <v>0.8483</v>
      </c>
      <c r="F123" s="818">
        <f t="shared" ref="F123" si="39">E123</f>
        <v>0.8483</v>
      </c>
      <c r="G123" s="818">
        <f t="shared" ref="G123" si="40">F123</f>
        <v>0.8483</v>
      </c>
      <c r="H123" s="818">
        <f t="shared" ref="H123" si="41">G123</f>
        <v>0.8483</v>
      </c>
      <c r="I123" s="818">
        <f>ROUND(0.7632-0.0166*B117,4)</f>
        <v>0.7051</v>
      </c>
      <c r="J123" s="818">
        <f t="shared" ref="J123" si="42">I123</f>
        <v>0.7051</v>
      </c>
      <c r="K123" s="818">
        <f t="shared" ref="K123" si="43">J123</f>
        <v>0.7051</v>
      </c>
      <c r="L123" s="818">
        <f t="shared" ref="L123" si="44">K123</f>
        <v>0.7051</v>
      </c>
      <c r="M123" s="949">
        <f t="shared" ref="M123" si="45">L123</f>
        <v>0.7051</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1561</v>
      </c>
      <c r="B2" s="583">
        <v>3.5</v>
      </c>
      <c r="C2" s="583">
        <v>3.5</v>
      </c>
      <c r="D2" s="584">
        <v>2.5</v>
      </c>
      <c r="E2" s="584">
        <v>2.5</v>
      </c>
      <c r="F2" s="584">
        <v>2.5</v>
      </c>
      <c r="G2" s="584">
        <v>2.5</v>
      </c>
      <c r="H2" s="584">
        <v>2.5</v>
      </c>
      <c r="I2" s="583">
        <v>2</v>
      </c>
      <c r="J2" s="583">
        <v>2</v>
      </c>
      <c r="K2" s="583">
        <v>2</v>
      </c>
      <c r="L2" s="583">
        <v>2</v>
      </c>
      <c r="M2" s="637">
        <v>2</v>
      </c>
    </row>
    <row r="3" spans="1:13">
      <c r="A3" s="585" t="s">
        <v>1761</v>
      </c>
      <c r="B3" s="586">
        <v>3.5</v>
      </c>
      <c r="C3" s="586">
        <v>3.5</v>
      </c>
      <c r="D3" s="587">
        <v>2.5</v>
      </c>
      <c r="E3" s="587">
        <v>2.5</v>
      </c>
      <c r="F3" s="587">
        <v>2.5</v>
      </c>
      <c r="G3" s="587">
        <v>2.5</v>
      </c>
      <c r="H3" s="587">
        <v>2.5</v>
      </c>
      <c r="I3" s="586">
        <v>2</v>
      </c>
      <c r="J3" s="586">
        <v>2</v>
      </c>
      <c r="K3" s="586">
        <v>2</v>
      </c>
      <c r="L3" s="586">
        <v>2</v>
      </c>
      <c r="M3" s="638">
        <v>2</v>
      </c>
    </row>
    <row r="4" spans="1:13">
      <c r="A4" s="585" t="s">
        <v>1762</v>
      </c>
      <c r="B4" s="587">
        <v>2.5</v>
      </c>
      <c r="C4" s="587">
        <v>2.5</v>
      </c>
      <c r="D4" s="587">
        <v>2.5</v>
      </c>
      <c r="E4" s="587">
        <v>2.5</v>
      </c>
      <c r="F4" s="587">
        <v>2.5</v>
      </c>
      <c r="G4" s="587">
        <v>2.5</v>
      </c>
      <c r="H4" s="587">
        <v>2.5</v>
      </c>
      <c r="I4" s="586">
        <v>1.5</v>
      </c>
      <c r="J4" s="586">
        <v>1.5</v>
      </c>
      <c r="K4" s="586">
        <v>1.5</v>
      </c>
      <c r="L4" s="586">
        <v>1.5</v>
      </c>
      <c r="M4" s="638">
        <v>1.5</v>
      </c>
    </row>
    <row r="5" spans="1:13">
      <c r="A5" s="588" t="s">
        <v>1763</v>
      </c>
      <c r="B5" s="586">
        <v>1.5</v>
      </c>
      <c r="C5" s="586">
        <v>1.5</v>
      </c>
      <c r="D5" s="586">
        <v>1.5</v>
      </c>
      <c r="E5" s="586">
        <v>1.5</v>
      </c>
      <c r="F5" s="586">
        <v>1.5</v>
      </c>
      <c r="G5" s="586">
        <v>1.2</v>
      </c>
      <c r="H5" s="586">
        <v>1.2</v>
      </c>
      <c r="I5" s="586">
        <v>1</v>
      </c>
      <c r="J5" s="586">
        <v>1</v>
      </c>
      <c r="K5" s="586">
        <v>1</v>
      </c>
      <c r="L5" s="586">
        <v>1</v>
      </c>
      <c r="M5" s="638">
        <v>1</v>
      </c>
    </row>
    <row r="6" spans="1:13">
      <c r="A6" s="589" t="s">
        <v>1764</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1765</v>
      </c>
      <c r="B8" s="594">
        <v>80</v>
      </c>
      <c r="C8" s="594">
        <v>80</v>
      </c>
      <c r="D8" s="594">
        <v>70</v>
      </c>
      <c r="E8" s="594">
        <v>70</v>
      </c>
      <c r="F8" s="594">
        <v>70</v>
      </c>
      <c r="G8" s="594">
        <v>70</v>
      </c>
      <c r="H8" s="594">
        <v>70</v>
      </c>
      <c r="I8" s="594">
        <v>60</v>
      </c>
      <c r="J8" s="594">
        <v>60</v>
      </c>
      <c r="K8" s="594">
        <v>60</v>
      </c>
      <c r="L8" s="594">
        <v>60</v>
      </c>
      <c r="M8" s="643">
        <v>60</v>
      </c>
    </row>
    <row r="9" spans="1:13">
      <c r="A9" s="595" t="s">
        <v>1766</v>
      </c>
      <c r="B9" s="596">
        <v>70</v>
      </c>
      <c r="C9" s="596">
        <v>70</v>
      </c>
      <c r="D9" s="596">
        <v>60</v>
      </c>
      <c r="E9" s="596">
        <v>60</v>
      </c>
      <c r="F9" s="596">
        <v>60</v>
      </c>
      <c r="G9" s="596">
        <v>60</v>
      </c>
      <c r="H9" s="596">
        <v>60</v>
      </c>
      <c r="I9" s="596">
        <v>50</v>
      </c>
      <c r="J9" s="596">
        <v>50</v>
      </c>
      <c r="K9" s="596">
        <v>50</v>
      </c>
      <c r="L9" s="596">
        <v>50</v>
      </c>
      <c r="M9" s="644">
        <v>50</v>
      </c>
    </row>
    <row r="10" spans="1:13">
      <c r="A10" s="595" t="s">
        <v>1767</v>
      </c>
      <c r="B10" s="596">
        <v>20</v>
      </c>
      <c r="C10" s="596">
        <v>20</v>
      </c>
      <c r="D10" s="596">
        <v>15</v>
      </c>
      <c r="E10" s="596">
        <v>15</v>
      </c>
      <c r="F10" s="596">
        <v>15</v>
      </c>
      <c r="G10" s="596">
        <v>15</v>
      </c>
      <c r="H10" s="596">
        <v>15</v>
      </c>
      <c r="I10" s="596">
        <v>10</v>
      </c>
      <c r="J10" s="596">
        <v>10</v>
      </c>
      <c r="K10" s="596">
        <v>10</v>
      </c>
      <c r="L10" s="596">
        <v>10</v>
      </c>
      <c r="M10" s="644">
        <v>10</v>
      </c>
    </row>
    <row r="11" spans="1:13">
      <c r="A11" s="595" t="s">
        <v>1768</v>
      </c>
      <c r="B11" s="596">
        <v>30</v>
      </c>
      <c r="C11" s="596">
        <v>30</v>
      </c>
      <c r="D11" s="596">
        <v>25</v>
      </c>
      <c r="E11" s="596">
        <v>25</v>
      </c>
      <c r="F11" s="596">
        <v>25</v>
      </c>
      <c r="G11" s="596">
        <v>25</v>
      </c>
      <c r="H11" s="596">
        <v>25</v>
      </c>
      <c r="I11" s="596">
        <v>20</v>
      </c>
      <c r="J11" s="596">
        <v>20</v>
      </c>
      <c r="K11" s="596">
        <v>20</v>
      </c>
      <c r="L11" s="596">
        <v>20</v>
      </c>
      <c r="M11" s="644">
        <v>20</v>
      </c>
    </row>
    <row r="12" spans="1:13">
      <c r="A12" s="595" t="s">
        <v>1769</v>
      </c>
      <c r="B12" s="596">
        <v>45</v>
      </c>
      <c r="C12" s="596">
        <v>45</v>
      </c>
      <c r="D12" s="596">
        <v>40</v>
      </c>
      <c r="E12" s="596">
        <v>40</v>
      </c>
      <c r="F12" s="596">
        <v>40</v>
      </c>
      <c r="G12" s="596">
        <v>40</v>
      </c>
      <c r="H12" s="596">
        <v>40</v>
      </c>
      <c r="I12" s="596">
        <v>35</v>
      </c>
      <c r="J12" s="596">
        <v>35</v>
      </c>
      <c r="K12" s="596">
        <v>35</v>
      </c>
      <c r="L12" s="596">
        <v>35</v>
      </c>
      <c r="M12" s="644">
        <v>35</v>
      </c>
    </row>
    <row r="13" spans="1:13">
      <c r="A13" s="595" t="s">
        <v>1770</v>
      </c>
      <c r="B13" s="596">
        <v>60</v>
      </c>
      <c r="C13" s="596">
        <v>60</v>
      </c>
      <c r="D13" s="596">
        <v>50</v>
      </c>
      <c r="E13" s="596">
        <v>50</v>
      </c>
      <c r="F13" s="596">
        <v>50</v>
      </c>
      <c r="G13" s="596">
        <v>50</v>
      </c>
      <c r="H13" s="596">
        <v>50</v>
      </c>
      <c r="I13" s="596">
        <v>40</v>
      </c>
      <c r="J13" s="596">
        <v>40</v>
      </c>
      <c r="K13" s="596">
        <v>40</v>
      </c>
      <c r="L13" s="596">
        <v>40</v>
      </c>
      <c r="M13" s="644">
        <v>40</v>
      </c>
    </row>
    <row r="14" spans="1:13">
      <c r="A14" s="595" t="s">
        <v>1771</v>
      </c>
      <c r="B14" s="596">
        <v>50</v>
      </c>
      <c r="C14" s="596">
        <v>50</v>
      </c>
      <c r="D14" s="596">
        <v>40</v>
      </c>
      <c r="E14" s="596">
        <v>40</v>
      </c>
      <c r="F14" s="596">
        <v>40</v>
      </c>
      <c r="G14" s="596">
        <v>40</v>
      </c>
      <c r="H14" s="596">
        <v>40</v>
      </c>
      <c r="I14" s="596">
        <v>30</v>
      </c>
      <c r="J14" s="596">
        <v>30</v>
      </c>
      <c r="K14" s="596">
        <v>30</v>
      </c>
      <c r="L14" s="596">
        <v>30</v>
      </c>
      <c r="M14" s="644">
        <v>30</v>
      </c>
    </row>
    <row r="15" spans="1:13">
      <c r="A15" s="597" t="s">
        <v>1772</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1773</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1774</v>
      </c>
      <c r="B18" s="599"/>
      <c r="C18" s="600"/>
      <c r="D18" s="600"/>
      <c r="E18" s="599"/>
      <c r="F18" s="600"/>
      <c r="G18" s="600"/>
    </row>
    <row r="19" ht="15.15" spans="1:7">
      <c r="A19" s="598" t="s">
        <v>1775</v>
      </c>
      <c r="B19" s="601" t="s">
        <v>1776</v>
      </c>
      <c r="C19" s="601" t="s">
        <v>1777</v>
      </c>
      <c r="D19" s="602"/>
      <c r="E19" s="598" t="s">
        <v>1778</v>
      </c>
      <c r="F19" s="603"/>
      <c r="G19" s="603"/>
    </row>
    <row r="20" spans="1:7">
      <c r="A20" s="604" t="s">
        <v>1561</v>
      </c>
      <c r="B20" s="605" t="s">
        <v>1779</v>
      </c>
      <c r="C20" s="606" t="s">
        <v>1566</v>
      </c>
      <c r="D20" s="607"/>
      <c r="E20" s="608">
        <v>1</v>
      </c>
      <c r="F20" s="609" t="s">
        <v>1780</v>
      </c>
      <c r="G20" s="609"/>
    </row>
    <row r="21" spans="1:7">
      <c r="A21" s="610"/>
      <c r="B21" s="611"/>
      <c r="C21" s="612" t="s">
        <v>1781</v>
      </c>
      <c r="D21" s="613"/>
      <c r="E21" s="614">
        <v>1</v>
      </c>
      <c r="F21" s="609" t="s">
        <v>1782</v>
      </c>
      <c r="G21" s="609"/>
    </row>
    <row r="22" spans="1:7">
      <c r="A22" s="610"/>
      <c r="B22" s="611"/>
      <c r="C22" s="612" t="s">
        <v>1783</v>
      </c>
      <c r="D22" s="613"/>
      <c r="E22" s="614">
        <v>0.9</v>
      </c>
      <c r="F22" s="609" t="s">
        <v>1784</v>
      </c>
      <c r="G22" s="609"/>
    </row>
    <row r="23" spans="1:7">
      <c r="A23" s="610"/>
      <c r="B23" s="611"/>
      <c r="C23" s="612" t="s">
        <v>1785</v>
      </c>
      <c r="D23" s="613"/>
      <c r="E23" s="614">
        <v>0.9</v>
      </c>
      <c r="F23" s="609" t="s">
        <v>1786</v>
      </c>
      <c r="G23" s="609"/>
    </row>
    <row r="24" spans="1:7">
      <c r="A24" s="610"/>
      <c r="B24" s="611"/>
      <c r="C24" s="612" t="s">
        <v>1787</v>
      </c>
      <c r="D24" s="613"/>
      <c r="E24" s="614">
        <v>0.8</v>
      </c>
      <c r="F24" s="609" t="s">
        <v>1788</v>
      </c>
      <c r="G24" s="609"/>
    </row>
    <row r="25" ht="15.15" spans="1:7">
      <c r="A25" s="615"/>
      <c r="B25" s="616"/>
      <c r="C25" s="617" t="s">
        <v>1789</v>
      </c>
      <c r="D25" s="618"/>
      <c r="E25" s="619">
        <v>0.8</v>
      </c>
      <c r="F25" s="609" t="s">
        <v>1790</v>
      </c>
      <c r="G25" s="609"/>
    </row>
    <row r="26" ht="15.15" spans="1:7">
      <c r="A26" s="620" t="s">
        <v>1761</v>
      </c>
      <c r="B26" s="621" t="s">
        <v>1779</v>
      </c>
      <c r="C26" s="622" t="s">
        <v>1791</v>
      </c>
      <c r="D26" s="623"/>
      <c r="E26" s="624">
        <v>1</v>
      </c>
      <c r="F26" s="609" t="s">
        <v>1792</v>
      </c>
      <c r="G26" s="609"/>
    </row>
    <row r="27" spans="1:7">
      <c r="A27" s="625" t="s">
        <v>288</v>
      </c>
      <c r="B27" s="605" t="s">
        <v>288</v>
      </c>
      <c r="C27" s="606" t="s">
        <v>1793</v>
      </c>
      <c r="D27" s="607"/>
      <c r="E27" s="608">
        <v>1</v>
      </c>
      <c r="F27" s="609" t="s">
        <v>1794</v>
      </c>
      <c r="G27" s="609"/>
    </row>
    <row r="28" spans="1:7">
      <c r="A28" s="626"/>
      <c r="B28" s="611"/>
      <c r="C28" s="612" t="s">
        <v>1795</v>
      </c>
      <c r="D28" s="613"/>
      <c r="E28" s="614">
        <v>1</v>
      </c>
      <c r="F28" s="609" t="s">
        <v>1796</v>
      </c>
      <c r="G28" s="609"/>
    </row>
    <row r="29" spans="1:7">
      <c r="A29" s="626"/>
      <c r="B29" s="611"/>
      <c r="C29" s="612" t="s">
        <v>1797</v>
      </c>
      <c r="D29" s="613"/>
      <c r="E29" s="614">
        <v>0.8</v>
      </c>
      <c r="F29" s="609" t="s">
        <v>1798</v>
      </c>
      <c r="G29" s="609"/>
    </row>
    <row r="30" spans="1:7">
      <c r="A30" s="626"/>
      <c r="B30" s="611"/>
      <c r="C30" s="612" t="s">
        <v>1799</v>
      </c>
      <c r="D30" s="613"/>
      <c r="E30" s="614">
        <v>0.8</v>
      </c>
      <c r="F30" s="609" t="s">
        <v>1800</v>
      </c>
      <c r="G30" s="609"/>
    </row>
    <row r="31" spans="1:7">
      <c r="A31" s="626"/>
      <c r="B31" s="611"/>
      <c r="C31" s="612" t="s">
        <v>1801</v>
      </c>
      <c r="D31" s="613"/>
      <c r="E31" s="614">
        <v>0.8</v>
      </c>
      <c r="F31" s="609" t="s">
        <v>1802</v>
      </c>
      <c r="G31" s="609"/>
    </row>
    <row r="32" spans="1:7">
      <c r="A32" s="626"/>
      <c r="B32" s="611"/>
      <c r="C32" s="612" t="s">
        <v>1803</v>
      </c>
      <c r="D32" s="613"/>
      <c r="E32" s="614">
        <v>0.7</v>
      </c>
      <c r="F32" s="609" t="s">
        <v>1804</v>
      </c>
      <c r="G32" s="609"/>
    </row>
    <row r="33" spans="1:7">
      <c r="A33" s="626"/>
      <c r="B33" s="611"/>
      <c r="C33" s="612" t="s">
        <v>1805</v>
      </c>
      <c r="D33" s="613"/>
      <c r="E33" s="614">
        <v>0.8</v>
      </c>
      <c r="F33" s="609" t="s">
        <v>1806</v>
      </c>
      <c r="G33" s="609"/>
    </row>
    <row r="34" spans="1:7">
      <c r="A34" s="626"/>
      <c r="B34" s="611"/>
      <c r="C34" s="612" t="s">
        <v>1807</v>
      </c>
      <c r="D34" s="613"/>
      <c r="E34" s="614">
        <v>0.6</v>
      </c>
      <c r="F34" s="609" t="s">
        <v>1808</v>
      </c>
      <c r="G34" s="609"/>
    </row>
    <row r="35" spans="1:7">
      <c r="A35" s="626"/>
      <c r="B35" s="611"/>
      <c r="C35" s="612" t="s">
        <v>1809</v>
      </c>
      <c r="D35" s="613"/>
      <c r="E35" s="614">
        <v>0.2</v>
      </c>
      <c r="F35" s="609" t="s">
        <v>1810</v>
      </c>
      <c r="G35" s="609"/>
    </row>
    <row r="36" spans="1:7">
      <c r="A36" s="626"/>
      <c r="B36" s="611"/>
      <c r="C36" s="612" t="s">
        <v>1811</v>
      </c>
      <c r="D36" s="613"/>
      <c r="E36" s="614">
        <v>0.2</v>
      </c>
      <c r="F36" s="609" t="s">
        <v>1812</v>
      </c>
      <c r="G36" s="609"/>
    </row>
    <row r="37" spans="1:7">
      <c r="A37" s="626"/>
      <c r="B37" s="627" t="s">
        <v>1813</v>
      </c>
      <c r="C37" s="612" t="s">
        <v>1814</v>
      </c>
      <c r="D37" s="613"/>
      <c r="E37" s="614">
        <v>0.6</v>
      </c>
      <c r="F37" s="609" t="s">
        <v>1815</v>
      </c>
      <c r="G37" s="609"/>
    </row>
    <row r="38" spans="1:7">
      <c r="A38" s="626"/>
      <c r="B38" s="611"/>
      <c r="C38" s="612" t="s">
        <v>1816</v>
      </c>
      <c r="D38" s="613"/>
      <c r="E38" s="614">
        <v>0.6</v>
      </c>
      <c r="F38" s="609" t="s">
        <v>1817</v>
      </c>
      <c r="G38" s="609"/>
    </row>
    <row r="39" ht="15.15" spans="1:7">
      <c r="A39" s="628"/>
      <c r="B39" s="616"/>
      <c r="C39" s="617" t="s">
        <v>1818</v>
      </c>
      <c r="D39" s="618"/>
      <c r="E39" s="619">
        <v>0.6</v>
      </c>
      <c r="F39" s="609" t="s">
        <v>1819</v>
      </c>
      <c r="G39" s="609"/>
    </row>
    <row r="40" ht="15.15" spans="1:7">
      <c r="A40" s="620" t="s">
        <v>1762</v>
      </c>
      <c r="B40" s="621" t="s">
        <v>1762</v>
      </c>
      <c r="C40" s="622" t="s">
        <v>1820</v>
      </c>
      <c r="D40" s="623"/>
      <c r="E40" s="624">
        <v>1</v>
      </c>
      <c r="F40" s="609" t="s">
        <v>1821</v>
      </c>
      <c r="G40" s="609"/>
    </row>
    <row r="41" spans="1:7">
      <c r="A41" s="604" t="s">
        <v>1763</v>
      </c>
      <c r="B41" s="605" t="s">
        <v>1822</v>
      </c>
      <c r="C41" s="606" t="s">
        <v>1823</v>
      </c>
      <c r="D41" s="607"/>
      <c r="E41" s="608">
        <v>1</v>
      </c>
      <c r="F41" s="609" t="s">
        <v>1824</v>
      </c>
      <c r="G41" s="609"/>
    </row>
    <row r="42" spans="1:7">
      <c r="A42" s="610"/>
      <c r="B42" s="611"/>
      <c r="C42" s="612" t="s">
        <v>1825</v>
      </c>
      <c r="D42" s="613"/>
      <c r="E42" s="614">
        <v>1</v>
      </c>
      <c r="F42" s="609" t="s">
        <v>1826</v>
      </c>
      <c r="G42" s="609"/>
    </row>
    <row r="43" spans="1:7">
      <c r="A43" s="610"/>
      <c r="B43" s="629"/>
      <c r="C43" s="612" t="s">
        <v>1827</v>
      </c>
      <c r="D43" s="613"/>
      <c r="E43" s="614">
        <v>1.5</v>
      </c>
      <c r="F43" s="609" t="s">
        <v>1828</v>
      </c>
      <c r="G43" s="609"/>
    </row>
    <row r="44" spans="1:7">
      <c r="A44" s="610"/>
      <c r="B44" s="630" t="s">
        <v>288</v>
      </c>
      <c r="C44" s="612" t="s">
        <v>1764</v>
      </c>
      <c r="D44" s="613"/>
      <c r="E44" s="614">
        <v>2</v>
      </c>
      <c r="F44" s="609" t="s">
        <v>1829</v>
      </c>
      <c r="G44" s="609"/>
    </row>
    <row r="45" spans="1:7">
      <c r="A45" s="610"/>
      <c r="B45" s="627" t="s">
        <v>1830</v>
      </c>
      <c r="C45" s="612" t="s">
        <v>1831</v>
      </c>
      <c r="D45" s="613"/>
      <c r="E45" s="614">
        <v>1</v>
      </c>
      <c r="F45" s="609" t="s">
        <v>1832</v>
      </c>
      <c r="G45" s="609"/>
    </row>
    <row r="46" spans="1:7">
      <c r="A46" s="610"/>
      <c r="B46" s="611"/>
      <c r="C46" s="612" t="s">
        <v>1833</v>
      </c>
      <c r="D46" s="613"/>
      <c r="E46" s="614">
        <v>1</v>
      </c>
      <c r="F46" s="609" t="s">
        <v>1834</v>
      </c>
      <c r="G46" s="609"/>
    </row>
    <row r="47" spans="1:7">
      <c r="A47" s="610"/>
      <c r="B47" s="611"/>
      <c r="C47" s="612" t="s">
        <v>1835</v>
      </c>
      <c r="D47" s="613"/>
      <c r="E47" s="614">
        <v>1</v>
      </c>
      <c r="F47" s="609" t="s">
        <v>1836</v>
      </c>
      <c r="G47" s="609"/>
    </row>
    <row r="48" spans="1:7">
      <c r="A48" s="610"/>
      <c r="B48" s="611"/>
      <c r="C48" s="612" t="s">
        <v>1837</v>
      </c>
      <c r="D48" s="613"/>
      <c r="E48" s="614">
        <v>1</v>
      </c>
      <c r="F48" s="609" t="s">
        <v>1838</v>
      </c>
      <c r="G48" s="609"/>
    </row>
    <row r="49" spans="1:7">
      <c r="A49" s="610"/>
      <c r="B49" s="611"/>
      <c r="C49" s="612" t="s">
        <v>1839</v>
      </c>
      <c r="D49" s="613"/>
      <c r="E49" s="614">
        <v>1</v>
      </c>
      <c r="F49" s="609" t="s">
        <v>1840</v>
      </c>
      <c r="G49" s="609"/>
    </row>
    <row r="50" spans="1:7">
      <c r="A50" s="610"/>
      <c r="B50" s="611"/>
      <c r="C50" s="612" t="s">
        <v>1841</v>
      </c>
      <c r="D50" s="613"/>
      <c r="E50" s="614">
        <v>1</v>
      </c>
      <c r="F50" s="609" t="s">
        <v>1842</v>
      </c>
      <c r="G50" s="609"/>
    </row>
    <row r="51" ht="15.15" spans="1:7">
      <c r="A51" s="615"/>
      <c r="B51" s="616"/>
      <c r="C51" s="617" t="s">
        <v>1843</v>
      </c>
      <c r="D51" s="618"/>
      <c r="E51" s="619">
        <v>1</v>
      </c>
      <c r="F51" s="609" t="s">
        <v>1844</v>
      </c>
      <c r="G51" s="609"/>
    </row>
    <row r="52" spans="1:7">
      <c r="A52" s="631"/>
      <c r="B52" s="631"/>
      <c r="C52" s="631"/>
      <c r="D52" s="631"/>
      <c r="E52" s="631"/>
      <c r="F52" s="631"/>
      <c r="G52" s="631"/>
    </row>
    <row r="54" spans="1:7">
      <c r="A54" s="632"/>
      <c r="B54" s="596" t="s">
        <v>1845</v>
      </c>
      <c r="C54" s="596" t="s">
        <v>1845</v>
      </c>
      <c r="D54" s="596" t="s">
        <v>1845</v>
      </c>
      <c r="E54" s="598" t="s">
        <v>1845</v>
      </c>
      <c r="F54" s="598" t="s">
        <v>1846</v>
      </c>
      <c r="G54" s="598" t="s">
        <v>1845</v>
      </c>
    </row>
    <row r="55" spans="1:7">
      <c r="A55" s="633"/>
      <c r="B55" s="598" t="s">
        <v>1561</v>
      </c>
      <c r="C55" s="598" t="s">
        <v>1561</v>
      </c>
      <c r="D55" s="598" t="s">
        <v>1561</v>
      </c>
      <c r="E55" s="596" t="s">
        <v>1761</v>
      </c>
      <c r="F55" s="596" t="s">
        <v>1763</v>
      </c>
      <c r="G55" s="596" t="s">
        <v>1847</v>
      </c>
    </row>
    <row r="56" spans="1:7">
      <c r="A56" s="634"/>
      <c r="B56" s="596">
        <v>1</v>
      </c>
      <c r="C56" s="596">
        <v>2</v>
      </c>
      <c r="D56" s="596">
        <v>3</v>
      </c>
      <c r="E56" s="635" t="s">
        <v>1848</v>
      </c>
      <c r="F56" s="635" t="s">
        <v>1848</v>
      </c>
      <c r="G56" s="635" t="s">
        <v>1848</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1849</v>
      </c>
      <c r="E70" s="647"/>
      <c r="F70" s="647"/>
    </row>
    <row r="71" spans="1:6">
      <c r="A71" s="630" t="s">
        <v>1850</v>
      </c>
      <c r="B71" s="630" t="s">
        <v>1851</v>
      </c>
      <c r="C71" s="630" t="s">
        <v>1852</v>
      </c>
      <c r="D71" s="630" t="s">
        <v>1853</v>
      </c>
      <c r="E71" s="630" t="s">
        <v>1854</v>
      </c>
      <c r="F71" s="630" t="s">
        <v>1855</v>
      </c>
    </row>
    <row r="72" spans="1:6">
      <c r="A72" s="630"/>
      <c r="B72" s="630"/>
      <c r="C72" s="630" t="s">
        <v>1856</v>
      </c>
      <c r="D72" s="630"/>
      <c r="E72" s="630" t="s">
        <v>124</v>
      </c>
      <c r="F72" s="630" t="s">
        <v>124</v>
      </c>
    </row>
    <row r="73" spans="1:6">
      <c r="A73" s="630">
        <v>1</v>
      </c>
      <c r="B73" s="627" t="s">
        <v>1857</v>
      </c>
      <c r="C73" s="596" t="s">
        <v>1858</v>
      </c>
      <c r="D73" s="596" t="s">
        <v>1859</v>
      </c>
      <c r="E73" s="630">
        <v>0.2</v>
      </c>
      <c r="F73" s="630">
        <v>25</v>
      </c>
    </row>
    <row r="74" ht="24" spans="1:6">
      <c r="A74" s="630">
        <v>2</v>
      </c>
      <c r="B74" s="611"/>
      <c r="C74" s="596" t="s">
        <v>1860</v>
      </c>
      <c r="D74" s="596" t="s">
        <v>1861</v>
      </c>
      <c r="E74" s="630">
        <v>0.2</v>
      </c>
      <c r="F74" s="630">
        <v>25</v>
      </c>
    </row>
    <row r="75" ht="24" spans="1:6">
      <c r="A75" s="630">
        <v>3</v>
      </c>
      <c r="B75" s="611"/>
      <c r="C75" s="596" t="s">
        <v>1862</v>
      </c>
      <c r="D75" s="596" t="s">
        <v>1863</v>
      </c>
      <c r="E75" s="630">
        <v>0.2</v>
      </c>
      <c r="F75" s="630">
        <v>25</v>
      </c>
    </row>
    <row r="76" spans="1:6">
      <c r="A76" s="630">
        <v>4</v>
      </c>
      <c r="B76" s="611"/>
      <c r="C76" s="596" t="s">
        <v>1864</v>
      </c>
      <c r="D76" s="596" t="s">
        <v>1865</v>
      </c>
      <c r="E76" s="630">
        <v>0.15</v>
      </c>
      <c r="F76" s="630">
        <v>20</v>
      </c>
    </row>
    <row r="77" ht="24" spans="1:6">
      <c r="A77" s="630">
        <v>5</v>
      </c>
      <c r="B77" s="611"/>
      <c r="C77" s="596" t="s">
        <v>1584</v>
      </c>
      <c r="D77" s="596" t="s">
        <v>1866</v>
      </c>
      <c r="E77" s="630">
        <v>0.15</v>
      </c>
      <c r="F77" s="630">
        <v>20</v>
      </c>
    </row>
    <row r="78" ht="24" spans="1:6">
      <c r="A78" s="630">
        <v>6</v>
      </c>
      <c r="B78" s="611"/>
      <c r="C78" s="596" t="s">
        <v>1867</v>
      </c>
      <c r="D78" s="596" t="s">
        <v>1868</v>
      </c>
      <c r="E78" s="630">
        <v>0.15</v>
      </c>
      <c r="F78" s="630">
        <v>20</v>
      </c>
    </row>
    <row r="79" ht="24" spans="1:6">
      <c r="A79" s="630">
        <v>7</v>
      </c>
      <c r="B79" s="611"/>
      <c r="C79" s="596" t="s">
        <v>1869</v>
      </c>
      <c r="D79" s="596" t="s">
        <v>1870</v>
      </c>
      <c r="E79" s="630">
        <v>0.15</v>
      </c>
      <c r="F79" s="630">
        <v>20</v>
      </c>
    </row>
    <row r="80" ht="24" spans="1:6">
      <c r="A80" s="630">
        <v>8</v>
      </c>
      <c r="B80" s="611"/>
      <c r="C80" s="596" t="s">
        <v>1871</v>
      </c>
      <c r="D80" s="596" t="s">
        <v>1872</v>
      </c>
      <c r="E80" s="630">
        <v>0.1</v>
      </c>
      <c r="F80" s="630">
        <v>15</v>
      </c>
    </row>
    <row r="81" ht="24" spans="1:6">
      <c r="A81" s="630">
        <v>9</v>
      </c>
      <c r="B81" s="611"/>
      <c r="C81" s="596" t="s">
        <v>1873</v>
      </c>
      <c r="D81" s="596" t="s">
        <v>1874</v>
      </c>
      <c r="E81" s="630">
        <v>0.1</v>
      </c>
      <c r="F81" s="630">
        <v>15</v>
      </c>
    </row>
    <row r="82" ht="24" spans="1:6">
      <c r="A82" s="630">
        <v>10</v>
      </c>
      <c r="B82" s="611"/>
      <c r="C82" s="596" t="s">
        <v>1875</v>
      </c>
      <c r="D82" s="596" t="s">
        <v>1876</v>
      </c>
      <c r="E82" s="630">
        <v>0.1</v>
      </c>
      <c r="F82" s="630">
        <v>15</v>
      </c>
    </row>
    <row r="83" ht="24" spans="1:6">
      <c r="A83" s="630">
        <v>11</v>
      </c>
      <c r="B83" s="611"/>
      <c r="C83" s="596" t="s">
        <v>1877</v>
      </c>
      <c r="D83" s="596" t="s">
        <v>1878</v>
      </c>
      <c r="E83" s="630">
        <v>0.1</v>
      </c>
      <c r="F83" s="630">
        <v>15</v>
      </c>
    </row>
    <row r="84" ht="36" spans="1:6">
      <c r="A84" s="630">
        <v>12</v>
      </c>
      <c r="B84" s="611"/>
      <c r="C84" s="596" t="s">
        <v>1879</v>
      </c>
      <c r="D84" s="596" t="s">
        <v>1880</v>
      </c>
      <c r="E84" s="630">
        <v>0.1</v>
      </c>
      <c r="F84" s="630">
        <v>15</v>
      </c>
    </row>
    <row r="85" ht="24" spans="1:6">
      <c r="A85" s="630">
        <v>13</v>
      </c>
      <c r="B85" s="611"/>
      <c r="C85" s="596" t="s">
        <v>1881</v>
      </c>
      <c r="D85" s="596" t="s">
        <v>1882</v>
      </c>
      <c r="E85" s="630">
        <v>0.1</v>
      </c>
      <c r="F85" s="630">
        <v>15</v>
      </c>
    </row>
    <row r="86" ht="24" spans="1:6">
      <c r="A86" s="630">
        <v>14</v>
      </c>
      <c r="B86" s="611"/>
      <c r="C86" s="596" t="s">
        <v>1883</v>
      </c>
      <c r="D86" s="596" t="s">
        <v>1884</v>
      </c>
      <c r="E86" s="630">
        <v>0.1</v>
      </c>
      <c r="F86" s="630">
        <v>15</v>
      </c>
    </row>
    <row r="87" ht="24" spans="1:6">
      <c r="A87" s="630">
        <v>15</v>
      </c>
      <c r="B87" s="611"/>
      <c r="C87" s="596" t="s">
        <v>1885</v>
      </c>
      <c r="D87" s="596" t="s">
        <v>1886</v>
      </c>
      <c r="E87" s="630">
        <v>0.1</v>
      </c>
      <c r="F87" s="630">
        <v>15</v>
      </c>
    </row>
    <row r="88" ht="24" spans="1:6">
      <c r="A88" s="630">
        <v>16</v>
      </c>
      <c r="B88" s="611"/>
      <c r="C88" s="596" t="s">
        <v>1887</v>
      </c>
      <c r="D88" s="596" t="s">
        <v>1888</v>
      </c>
      <c r="E88" s="630">
        <v>0.1</v>
      </c>
      <c r="F88" s="630">
        <v>15</v>
      </c>
    </row>
    <row r="89" ht="24" spans="1:6">
      <c r="A89" s="630">
        <v>17</v>
      </c>
      <c r="B89" s="629"/>
      <c r="C89" s="596" t="s">
        <v>1889</v>
      </c>
      <c r="D89" s="596" t="s">
        <v>1890</v>
      </c>
      <c r="E89" s="630">
        <v>0.1</v>
      </c>
      <c r="F89" s="630">
        <v>15</v>
      </c>
    </row>
    <row r="90" spans="1:6">
      <c r="A90" s="630">
        <v>18</v>
      </c>
      <c r="B90" s="627" t="s">
        <v>1891</v>
      </c>
      <c r="C90" s="596" t="s">
        <v>1892</v>
      </c>
      <c r="D90" s="596" t="s">
        <v>1893</v>
      </c>
      <c r="E90" s="630">
        <v>0.2</v>
      </c>
      <c r="F90" s="630">
        <v>25</v>
      </c>
    </row>
    <row r="91" ht="24" spans="1:6">
      <c r="A91" s="630">
        <v>19</v>
      </c>
      <c r="B91" s="611"/>
      <c r="C91" s="596" t="s">
        <v>1894</v>
      </c>
      <c r="D91" s="596" t="s">
        <v>1895</v>
      </c>
      <c r="E91" s="630">
        <v>0.2</v>
      </c>
      <c r="F91" s="630">
        <v>25</v>
      </c>
    </row>
    <row r="92" spans="1:6">
      <c r="A92" s="630">
        <v>20</v>
      </c>
      <c r="B92" s="611"/>
      <c r="C92" s="596" t="s">
        <v>1896</v>
      </c>
      <c r="D92" s="596" t="s">
        <v>1897</v>
      </c>
      <c r="E92" s="630">
        <v>0.15</v>
      </c>
      <c r="F92" s="630">
        <v>20</v>
      </c>
    </row>
    <row r="93" ht="24" spans="1:6">
      <c r="A93" s="630">
        <v>21</v>
      </c>
      <c r="B93" s="611"/>
      <c r="C93" s="596" t="s">
        <v>1898</v>
      </c>
      <c r="D93" s="596" t="s">
        <v>1899</v>
      </c>
      <c r="E93" s="630">
        <v>0.15</v>
      </c>
      <c r="F93" s="630">
        <v>20</v>
      </c>
    </row>
    <row r="94" ht="24" spans="1:6">
      <c r="A94" s="630">
        <v>22</v>
      </c>
      <c r="B94" s="611"/>
      <c r="C94" s="596" t="s">
        <v>1900</v>
      </c>
      <c r="D94" s="596" t="s">
        <v>1901</v>
      </c>
      <c r="E94" s="630">
        <v>0.15</v>
      </c>
      <c r="F94" s="630">
        <v>20</v>
      </c>
    </row>
    <row r="95" ht="36" spans="1:6">
      <c r="A95" s="630">
        <v>23</v>
      </c>
      <c r="B95" s="611"/>
      <c r="C95" s="596" t="s">
        <v>1902</v>
      </c>
      <c r="D95" s="596" t="s">
        <v>1903</v>
      </c>
      <c r="E95" s="630">
        <v>0.15</v>
      </c>
      <c r="F95" s="630">
        <v>20</v>
      </c>
    </row>
    <row r="96" ht="24" spans="1:6">
      <c r="A96" s="630">
        <v>24</v>
      </c>
      <c r="B96" s="611"/>
      <c r="C96" s="596" t="s">
        <v>1904</v>
      </c>
      <c r="D96" s="596" t="s">
        <v>1905</v>
      </c>
      <c r="E96" s="630">
        <v>0.1</v>
      </c>
      <c r="F96" s="630">
        <v>15</v>
      </c>
    </row>
    <row r="97" ht="24" spans="1:6">
      <c r="A97" s="630">
        <v>25</v>
      </c>
      <c r="B97" s="611"/>
      <c r="C97" s="596" t="s">
        <v>1906</v>
      </c>
      <c r="D97" s="596" t="s">
        <v>1907</v>
      </c>
      <c r="E97" s="630">
        <v>0.1</v>
      </c>
      <c r="F97" s="630">
        <v>15</v>
      </c>
    </row>
    <row r="98" ht="36" spans="1:6">
      <c r="A98" s="630">
        <v>26</v>
      </c>
      <c r="B98" s="611"/>
      <c r="C98" s="596" t="s">
        <v>1908</v>
      </c>
      <c r="D98" s="596" t="s">
        <v>1909</v>
      </c>
      <c r="E98" s="630">
        <v>0.1</v>
      </c>
      <c r="F98" s="630">
        <v>15</v>
      </c>
    </row>
    <row r="99" ht="24" spans="1:6">
      <c r="A99" s="630">
        <v>27</v>
      </c>
      <c r="B99" s="611"/>
      <c r="C99" s="596" t="s">
        <v>1910</v>
      </c>
      <c r="D99" s="596" t="s">
        <v>1911</v>
      </c>
      <c r="E99" s="630">
        <v>0.1</v>
      </c>
      <c r="F99" s="630">
        <v>15</v>
      </c>
    </row>
    <row r="100" ht="24" spans="1:6">
      <c r="A100" s="630">
        <v>28</v>
      </c>
      <c r="B100" s="611"/>
      <c r="C100" s="596" t="s">
        <v>1912</v>
      </c>
      <c r="D100" s="596" t="s">
        <v>1913</v>
      </c>
      <c r="E100" s="630">
        <v>0.1</v>
      </c>
      <c r="F100" s="630">
        <v>15</v>
      </c>
    </row>
    <row r="101" ht="24" spans="1:6">
      <c r="A101" s="630">
        <v>29</v>
      </c>
      <c r="B101" s="611"/>
      <c r="C101" s="596" t="s">
        <v>1914</v>
      </c>
      <c r="D101" s="596" t="s">
        <v>1915</v>
      </c>
      <c r="E101" s="630">
        <v>0.1</v>
      </c>
      <c r="F101" s="630">
        <v>15</v>
      </c>
    </row>
    <row r="102" ht="24" spans="1:6">
      <c r="A102" s="630">
        <v>30</v>
      </c>
      <c r="B102" s="611"/>
      <c r="C102" s="596" t="s">
        <v>1916</v>
      </c>
      <c r="D102" s="596" t="s">
        <v>1917</v>
      </c>
      <c r="E102" s="630">
        <v>0.1</v>
      </c>
      <c r="F102" s="630">
        <v>15</v>
      </c>
    </row>
    <row r="103" ht="24" spans="1:6">
      <c r="A103" s="630">
        <v>31</v>
      </c>
      <c r="B103" s="611"/>
      <c r="C103" s="596" t="s">
        <v>1918</v>
      </c>
      <c r="D103" s="596" t="s">
        <v>1919</v>
      </c>
      <c r="E103" s="630">
        <v>0.1</v>
      </c>
      <c r="F103" s="630">
        <v>15</v>
      </c>
    </row>
    <row r="104" ht="24" spans="1:6">
      <c r="A104" s="630">
        <v>32</v>
      </c>
      <c r="B104" s="611"/>
      <c r="C104" s="596" t="s">
        <v>1920</v>
      </c>
      <c r="D104" s="596" t="s">
        <v>1921</v>
      </c>
      <c r="E104" s="630">
        <v>0.1</v>
      </c>
      <c r="F104" s="630">
        <v>15</v>
      </c>
    </row>
    <row r="105" ht="36" spans="1:6">
      <c r="A105" s="630">
        <v>33</v>
      </c>
      <c r="B105" s="611"/>
      <c r="C105" s="596" t="s">
        <v>1922</v>
      </c>
      <c r="D105" s="596" t="s">
        <v>1923</v>
      </c>
      <c r="E105" s="630">
        <v>0.1</v>
      </c>
      <c r="F105" s="630">
        <v>15</v>
      </c>
    </row>
    <row r="106" ht="24" spans="1:6">
      <c r="A106" s="630">
        <v>34</v>
      </c>
      <c r="B106" s="629"/>
      <c r="C106" s="596" t="s">
        <v>1924</v>
      </c>
      <c r="D106" s="596" t="s">
        <v>1925</v>
      </c>
      <c r="E106" s="630">
        <v>0.1</v>
      </c>
      <c r="F106" s="630">
        <v>15</v>
      </c>
    </row>
    <row r="107" ht="36" spans="1:6">
      <c r="A107" s="630">
        <v>35</v>
      </c>
      <c r="B107" s="627" t="s">
        <v>1926</v>
      </c>
      <c r="C107" s="630" t="s">
        <v>1927</v>
      </c>
      <c r="D107" s="596" t="s">
        <v>1928</v>
      </c>
      <c r="E107" s="630">
        <v>0.15</v>
      </c>
      <c r="F107" s="630">
        <v>20</v>
      </c>
    </row>
    <row r="108" ht="24" spans="1:6">
      <c r="A108" s="630">
        <v>36</v>
      </c>
      <c r="B108" s="611"/>
      <c r="C108" s="630" t="s">
        <v>1929</v>
      </c>
      <c r="D108" s="596" t="s">
        <v>1930</v>
      </c>
      <c r="E108" s="630">
        <v>0.15</v>
      </c>
      <c r="F108" s="630">
        <v>20</v>
      </c>
    </row>
    <row r="109" ht="24" spans="1:6">
      <c r="A109" s="630">
        <v>37</v>
      </c>
      <c r="B109" s="611"/>
      <c r="C109" s="630" t="s">
        <v>1931</v>
      </c>
      <c r="D109" s="596" t="s">
        <v>1932</v>
      </c>
      <c r="E109" s="630">
        <v>0.15</v>
      </c>
      <c r="F109" s="630">
        <v>20</v>
      </c>
    </row>
    <row r="110" ht="24" spans="1:6">
      <c r="A110" s="630">
        <v>38</v>
      </c>
      <c r="B110" s="611"/>
      <c r="C110" s="630" t="s">
        <v>1933</v>
      </c>
      <c r="D110" s="596" t="s">
        <v>1934</v>
      </c>
      <c r="E110" s="630">
        <v>0.1</v>
      </c>
      <c r="F110" s="630">
        <v>15</v>
      </c>
    </row>
    <row r="111" ht="24" spans="1:6">
      <c r="A111" s="630">
        <v>39</v>
      </c>
      <c r="B111" s="611"/>
      <c r="C111" s="630" t="s">
        <v>1935</v>
      </c>
      <c r="D111" s="596" t="s">
        <v>1936</v>
      </c>
      <c r="E111" s="630">
        <v>0.1</v>
      </c>
      <c r="F111" s="630">
        <v>15</v>
      </c>
    </row>
    <row r="112" ht="24" spans="1:6">
      <c r="A112" s="630">
        <v>40</v>
      </c>
      <c r="B112" s="629"/>
      <c r="C112" s="630" t="s">
        <v>1937</v>
      </c>
      <c r="D112" s="596" t="s">
        <v>1938</v>
      </c>
      <c r="E112" s="630">
        <v>0.1</v>
      </c>
      <c r="F112" s="630">
        <v>15</v>
      </c>
    </row>
    <row r="113" ht="24" spans="1:6">
      <c r="A113" s="630">
        <v>41</v>
      </c>
      <c r="B113" s="630" t="s">
        <v>1939</v>
      </c>
      <c r="C113" s="630" t="s">
        <v>1940</v>
      </c>
      <c r="D113" s="596" t="s">
        <v>1941</v>
      </c>
      <c r="E113" s="630">
        <v>0.1</v>
      </c>
      <c r="F113" s="630">
        <v>15</v>
      </c>
    </row>
    <row r="114" ht="24" spans="1:6">
      <c r="A114" s="630">
        <v>42</v>
      </c>
      <c r="B114" s="630"/>
      <c r="C114" s="630" t="s">
        <v>1942</v>
      </c>
      <c r="D114" s="596" t="s">
        <v>1943</v>
      </c>
      <c r="E114" s="630">
        <v>0.1</v>
      </c>
      <c r="F114" s="630">
        <v>15</v>
      </c>
    </row>
    <row r="115" ht="24" spans="1:6">
      <c r="A115" s="630">
        <v>43</v>
      </c>
      <c r="B115" s="630"/>
      <c r="C115" s="630" t="s">
        <v>1944</v>
      </c>
      <c r="D115" s="596" t="s">
        <v>1945</v>
      </c>
      <c r="E115" s="630">
        <v>0.1</v>
      </c>
      <c r="F115" s="630">
        <v>15</v>
      </c>
    </row>
    <row r="116" ht="24" spans="1:6">
      <c r="A116" s="630">
        <v>44</v>
      </c>
      <c r="B116" s="627" t="s">
        <v>1946</v>
      </c>
      <c r="C116" s="630" t="s">
        <v>1947</v>
      </c>
      <c r="D116" s="596" t="s">
        <v>1948</v>
      </c>
      <c r="E116" s="630">
        <v>0.1</v>
      </c>
      <c r="F116" s="630">
        <v>15</v>
      </c>
    </row>
    <row r="117" ht="24" spans="1:6">
      <c r="A117" s="630">
        <v>45</v>
      </c>
      <c r="B117" s="629"/>
      <c r="C117" s="596" t="s">
        <v>1949</v>
      </c>
      <c r="D117" s="596" t="s">
        <v>1950</v>
      </c>
      <c r="E117" s="630">
        <v>0.1</v>
      </c>
      <c r="F117" s="630">
        <v>15</v>
      </c>
    </row>
    <row r="118" ht="24" spans="1:6">
      <c r="A118" s="630">
        <v>46</v>
      </c>
      <c r="B118" s="627" t="s">
        <v>1951</v>
      </c>
      <c r="C118" s="630" t="s">
        <v>1952</v>
      </c>
      <c r="D118" s="596" t="s">
        <v>1953</v>
      </c>
      <c r="E118" s="630">
        <v>0.1</v>
      </c>
      <c r="F118" s="630">
        <v>15</v>
      </c>
    </row>
    <row r="119" ht="24" spans="1:6">
      <c r="A119" s="630">
        <v>47</v>
      </c>
      <c r="B119" s="629"/>
      <c r="C119" s="630" t="s">
        <v>1954</v>
      </c>
      <c r="D119" s="596" t="s">
        <v>1955</v>
      </c>
      <c r="E119" s="630">
        <v>0.1</v>
      </c>
      <c r="F119" s="630">
        <v>15</v>
      </c>
    </row>
    <row r="120" ht="24" spans="1:6">
      <c r="A120" s="630">
        <v>48</v>
      </c>
      <c r="B120" s="627" t="s">
        <v>1956</v>
      </c>
      <c r="C120" s="630" t="s">
        <v>1957</v>
      </c>
      <c r="D120" s="596" t="s">
        <v>1958</v>
      </c>
      <c r="E120" s="630">
        <v>0.1</v>
      </c>
      <c r="F120" s="630">
        <v>15</v>
      </c>
    </row>
    <row r="121" ht="24" spans="1:6">
      <c r="A121" s="630">
        <v>49</v>
      </c>
      <c r="B121" s="629"/>
      <c r="C121" s="630" t="s">
        <v>1959</v>
      </c>
      <c r="D121" s="596" t="s">
        <v>1960</v>
      </c>
      <c r="E121" s="630">
        <v>0.1</v>
      </c>
      <c r="F121" s="630">
        <v>15</v>
      </c>
    </row>
    <row r="122" ht="24" spans="1:6">
      <c r="A122" s="630">
        <v>50</v>
      </c>
      <c r="B122" s="630" t="s">
        <v>1961</v>
      </c>
      <c r="C122" s="630" t="s">
        <v>1962</v>
      </c>
      <c r="D122" s="596" t="s">
        <v>1963</v>
      </c>
      <c r="E122" s="630">
        <v>0.1</v>
      </c>
      <c r="F122" s="630">
        <v>15</v>
      </c>
    </row>
    <row r="123" ht="24" spans="1:6">
      <c r="A123" s="630">
        <v>51</v>
      </c>
      <c r="B123" s="630"/>
      <c r="C123" s="630" t="s">
        <v>1964</v>
      </c>
      <c r="D123" s="596" t="s">
        <v>1965</v>
      </c>
      <c r="E123" s="630">
        <v>0.1</v>
      </c>
      <c r="F123" s="630">
        <v>15</v>
      </c>
    </row>
    <row r="124" ht="24" spans="1:6">
      <c r="A124" s="630">
        <v>52</v>
      </c>
      <c r="B124" s="630" t="s">
        <v>1966</v>
      </c>
      <c r="C124" s="630" t="s">
        <v>1967</v>
      </c>
      <c r="D124" s="596" t="s">
        <v>1968</v>
      </c>
      <c r="E124" s="630">
        <v>0.1</v>
      </c>
      <c r="F124" s="630">
        <v>15</v>
      </c>
    </row>
    <row r="125" ht="24" spans="1:6">
      <c r="A125" s="630">
        <v>53</v>
      </c>
      <c r="B125" s="630"/>
      <c r="C125" s="630" t="s">
        <v>1969</v>
      </c>
      <c r="D125" s="596" t="s">
        <v>1970</v>
      </c>
      <c r="E125" s="630">
        <v>0.1</v>
      </c>
      <c r="F125" s="630">
        <v>15</v>
      </c>
    </row>
    <row r="126" ht="24" spans="1:6">
      <c r="A126" s="630">
        <v>54</v>
      </c>
      <c r="B126" s="630" t="s">
        <v>1971</v>
      </c>
      <c r="C126" s="630" t="s">
        <v>1972</v>
      </c>
      <c r="D126" s="596" t="s">
        <v>1973</v>
      </c>
      <c r="E126" s="630">
        <v>0.1</v>
      </c>
      <c r="F126" s="630">
        <v>15</v>
      </c>
    </row>
    <row r="127" ht="24" spans="1:6">
      <c r="A127" s="630">
        <v>55</v>
      </c>
      <c r="B127" s="630" t="s">
        <v>1974</v>
      </c>
      <c r="C127" s="630" t="s">
        <v>1975</v>
      </c>
      <c r="D127" s="596" t="s">
        <v>1976</v>
      </c>
      <c r="E127" s="630">
        <v>0.1</v>
      </c>
      <c r="F127" s="630">
        <v>15</v>
      </c>
    </row>
    <row r="128" ht="24" spans="1:6">
      <c r="A128" s="630">
        <v>56</v>
      </c>
      <c r="B128" s="630"/>
      <c r="C128" s="630" t="s">
        <v>1977</v>
      </c>
      <c r="D128" s="596" t="s">
        <v>1978</v>
      </c>
      <c r="E128" s="630">
        <v>0.1</v>
      </c>
      <c r="F128" s="630">
        <v>15</v>
      </c>
    </row>
    <row r="129" ht="24" spans="1:6">
      <c r="A129" s="630">
        <v>57</v>
      </c>
      <c r="B129" s="630"/>
      <c r="C129" s="630" t="s">
        <v>1979</v>
      </c>
      <c r="D129" s="596" t="s">
        <v>1980</v>
      </c>
      <c r="E129" s="630">
        <v>0.1</v>
      </c>
      <c r="F129" s="630">
        <v>15</v>
      </c>
    </row>
    <row r="130" ht="24" spans="1:6">
      <c r="A130" s="630">
        <v>58</v>
      </c>
      <c r="B130" s="630" t="s">
        <v>1981</v>
      </c>
      <c r="C130" s="630" t="s">
        <v>1982</v>
      </c>
      <c r="D130" s="596" t="s">
        <v>1983</v>
      </c>
      <c r="E130" s="630">
        <v>0.1</v>
      </c>
      <c r="F130" s="630">
        <v>15</v>
      </c>
    </row>
    <row r="131" ht="24" spans="1:6">
      <c r="A131" s="630">
        <v>59</v>
      </c>
      <c r="B131" s="630"/>
      <c r="C131" s="630" t="s">
        <v>1984</v>
      </c>
      <c r="D131" s="596" t="s">
        <v>1985</v>
      </c>
      <c r="E131" s="630">
        <v>0.1</v>
      </c>
      <c r="F131" s="630">
        <v>15</v>
      </c>
    </row>
    <row r="132" ht="24" spans="1:6">
      <c r="A132" s="630">
        <v>60</v>
      </c>
      <c r="B132" s="627" t="s">
        <v>1986</v>
      </c>
      <c r="C132" s="630" t="s">
        <v>1987</v>
      </c>
      <c r="D132" s="596" t="s">
        <v>1988</v>
      </c>
      <c r="E132" s="630">
        <v>0.1</v>
      </c>
      <c r="F132" s="630">
        <v>15</v>
      </c>
    </row>
    <row r="133" ht="24" spans="1:6">
      <c r="A133" s="630">
        <v>61</v>
      </c>
      <c r="B133" s="629"/>
      <c r="C133" s="630" t="s">
        <v>1989</v>
      </c>
      <c r="D133" s="596" t="s">
        <v>1990</v>
      </c>
      <c r="E133" s="630">
        <v>0.1</v>
      </c>
      <c r="F133" s="630">
        <v>15</v>
      </c>
    </row>
    <row r="134" ht="24" spans="1:6">
      <c r="A134" s="630">
        <v>62</v>
      </c>
      <c r="B134" s="630" t="s">
        <v>1991</v>
      </c>
      <c r="C134" s="630" t="s">
        <v>1992</v>
      </c>
      <c r="D134" s="596" t="s">
        <v>1993</v>
      </c>
      <c r="E134" s="630">
        <v>0.1</v>
      </c>
      <c r="F134" s="630">
        <v>15</v>
      </c>
    </row>
    <row r="135" ht="24" spans="1:6">
      <c r="A135" s="630">
        <v>63</v>
      </c>
      <c r="B135" s="630" t="s">
        <v>1994</v>
      </c>
      <c r="C135" s="630" t="s">
        <v>1995</v>
      </c>
      <c r="D135" s="596" t="s">
        <v>1996</v>
      </c>
      <c r="E135" s="630">
        <v>0.1</v>
      </c>
      <c r="F135" s="630">
        <v>15</v>
      </c>
    </row>
    <row r="136" ht="24" spans="1:6">
      <c r="A136" s="630">
        <v>64</v>
      </c>
      <c r="B136" s="630"/>
      <c r="C136" s="630" t="s">
        <v>1997</v>
      </c>
      <c r="D136" s="596" t="s">
        <v>1998</v>
      </c>
      <c r="E136" s="630">
        <v>0.1</v>
      </c>
      <c r="F136" s="630">
        <v>15</v>
      </c>
    </row>
    <row r="137" ht="24" spans="1:6">
      <c r="A137" s="630">
        <v>65</v>
      </c>
      <c r="B137" s="630" t="s">
        <v>1999</v>
      </c>
      <c r="C137" s="630" t="s">
        <v>2000</v>
      </c>
      <c r="D137" s="596" t="s">
        <v>2001</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2002</v>
      </c>
      <c r="B1" s="561"/>
      <c r="C1" s="561"/>
      <c r="D1" s="561"/>
      <c r="E1" s="561"/>
      <c r="F1" s="561"/>
      <c r="G1" s="561"/>
      <c r="H1" s="561"/>
      <c r="I1" s="561"/>
      <c r="J1" s="561"/>
      <c r="K1" s="561"/>
      <c r="L1" s="561"/>
      <c r="M1" s="561"/>
      <c r="N1" s="568"/>
    </row>
    <row r="2" spans="1:20">
      <c r="A2" s="562" t="s">
        <v>2003</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2004</v>
      </c>
      <c r="R2" s="572" t="s">
        <v>2005</v>
      </c>
      <c r="S2" s="572" t="s">
        <v>2006</v>
      </c>
      <c r="T2" s="572" t="s">
        <v>2007</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2008</v>
      </c>
      <c r="B93" s="561"/>
      <c r="C93" s="561"/>
      <c r="D93" s="561"/>
      <c r="E93" s="561"/>
      <c r="F93" s="561"/>
      <c r="G93" s="561"/>
      <c r="H93" s="561"/>
      <c r="I93" s="561"/>
      <c r="J93" s="561"/>
      <c r="K93" s="561"/>
      <c r="L93" s="561"/>
      <c r="M93" s="561"/>
      <c r="N93" s="568"/>
    </row>
    <row r="94" spans="1:20">
      <c r="A94" s="562" t="s">
        <v>2003</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v>
      </c>
      <c r="Q94" s="572" t="s">
        <v>2004</v>
      </c>
      <c r="R94" s="572" t="s">
        <v>2005</v>
      </c>
      <c r="S94" s="572" t="s">
        <v>2006</v>
      </c>
      <c r="T94" s="572" t="s">
        <v>2007</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2009</v>
      </c>
      <c r="B185" s="561"/>
      <c r="C185" s="561"/>
      <c r="D185" s="561"/>
      <c r="E185" s="561"/>
      <c r="F185" s="561"/>
      <c r="G185" s="561"/>
      <c r="H185" s="561"/>
      <c r="I185" s="561"/>
      <c r="J185" s="561"/>
      <c r="K185" s="561"/>
      <c r="L185" s="561"/>
      <c r="M185" s="561"/>
    </row>
    <row r="186" spans="1:20">
      <c r="A186" s="562" t="s">
        <v>2003</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2004</v>
      </c>
      <c r="R186" s="572" t="s">
        <v>2005</v>
      </c>
      <c r="S186" s="572" t="s">
        <v>2006</v>
      </c>
      <c r="T186" s="572" t="s">
        <v>2007</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2010</v>
      </c>
      <c r="B277" s="561"/>
      <c r="C277" s="561"/>
      <c r="D277" s="561"/>
      <c r="E277" s="561"/>
      <c r="F277" s="561"/>
      <c r="G277" s="561"/>
      <c r="H277" s="561"/>
      <c r="I277" s="561"/>
      <c r="J277" s="561"/>
      <c r="K277" s="561"/>
      <c r="L277" s="561"/>
      <c r="M277" s="561"/>
    </row>
    <row r="278" spans="1:21">
      <c r="A278" s="562" t="s">
        <v>2003</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2004</v>
      </c>
      <c r="R278" s="572" t="s">
        <v>2005</v>
      </c>
      <c r="S278" s="572" t="s">
        <v>2011</v>
      </c>
      <c r="T278" s="572" t="s">
        <v>2012</v>
      </c>
      <c r="U278" s="572" t="s">
        <v>2007</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2013</v>
      </c>
    </row>
    <row r="370" ht="12" spans="1:20">
      <c r="A370" s="562" t="s">
        <v>2003</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0.9471</v>
      </c>
      <c r="Q370" s="572" t="s">
        <v>2004</v>
      </c>
      <c r="R370" s="572" t="s">
        <v>2005</v>
      </c>
      <c r="S370" s="572" t="s">
        <v>2006</v>
      </c>
      <c r="T370" s="572" t="s">
        <v>2007</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2014</v>
      </c>
      <c r="B1" s="548"/>
      <c r="C1" s="548"/>
      <c r="D1" s="548"/>
      <c r="E1" s="548"/>
      <c r="F1" s="549"/>
      <c r="G1" s="549"/>
      <c r="H1" s="549"/>
      <c r="I1" s="549"/>
      <c r="J1" s="549"/>
      <c r="K1" s="549"/>
      <c r="L1" s="549"/>
      <c r="M1" s="549"/>
      <c r="N1" s="549"/>
      <c r="O1" s="549"/>
      <c r="P1" s="549"/>
    </row>
    <row r="2" ht="15.6" spans="1:16">
      <c r="A2" s="550" t="s">
        <v>97</v>
      </c>
      <c r="B2" s="551">
        <f ca="1">SUMIF(B6:B13,"&lt;&gt;#ref!",B6:B13)</f>
        <v>0</v>
      </c>
      <c r="C2" s="550" t="s">
        <v>2015</v>
      </c>
      <c r="D2" s="550" t="s">
        <v>2016</v>
      </c>
      <c r="E2" s="552">
        <f ca="1">SUMIF(E6:E13,"&lt;&gt;#ref!",E6:E13)</f>
        <v>3997</v>
      </c>
      <c r="F2" s="549"/>
      <c r="G2" s="549"/>
      <c r="H2" s="549"/>
      <c r="I2" s="549"/>
      <c r="J2" s="549"/>
      <c r="K2" s="549"/>
      <c r="L2" s="549"/>
      <c r="M2" s="549"/>
      <c r="N2" s="549"/>
      <c r="O2" s="549"/>
      <c r="P2" s="549"/>
    </row>
    <row r="3" ht="15.6" spans="1:16">
      <c r="A3" s="550" t="s">
        <v>2017</v>
      </c>
      <c r="B3" s="551">
        <f ca="1">ROUND(B2*10000/E2,0)</f>
        <v>0</v>
      </c>
      <c r="C3" s="550" t="s">
        <v>2018</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2019</v>
      </c>
      <c r="B5" s="555" t="s">
        <v>2020</v>
      </c>
      <c r="C5" s="556"/>
      <c r="D5" s="549"/>
      <c r="E5" s="557" t="s">
        <v>2021</v>
      </c>
      <c r="F5" s="549"/>
      <c r="G5" s="549"/>
      <c r="H5" s="549"/>
      <c r="I5" s="549"/>
      <c r="J5" s="549"/>
      <c r="K5" s="549"/>
      <c r="L5" s="549"/>
      <c r="M5" s="549"/>
      <c r="N5" s="549"/>
      <c r="O5" s="549"/>
      <c r="P5" s="549"/>
    </row>
    <row r="6" ht="15.6" spans="1:16">
      <c r="A6" s="558" t="s">
        <v>2022</v>
      </c>
      <c r="B6" s="551">
        <f ca="1">SUMIF(INDIRECT("'"&amp;A6&amp;"'"&amp;"!A:A"),"总价",INDIRECT("'"&amp;A6&amp;"'"&amp;"!B:B"))</f>
        <v>0</v>
      </c>
      <c r="C6" s="550" t="s">
        <v>2015</v>
      </c>
      <c r="D6" s="549"/>
      <c r="E6" s="552">
        <f ca="1">SUMIF(INDIRECT("'"&amp;A6&amp;"'"&amp;"!C:C"),"建筑面积",INDIRECT("'"&amp;A6&amp;"'"&amp;"!D:D"))</f>
        <v>3997</v>
      </c>
      <c r="F6" s="549"/>
      <c r="G6" s="549"/>
      <c r="H6" s="549"/>
      <c r="I6" s="549"/>
      <c r="J6" s="549"/>
      <c r="K6" s="549"/>
      <c r="L6" s="549"/>
      <c r="M6" s="549"/>
      <c r="N6" s="549"/>
      <c r="O6" s="549"/>
      <c r="P6" s="549"/>
    </row>
    <row r="7" ht="15.6" spans="1:16">
      <c r="A7" s="558"/>
      <c r="B7" s="551" t="e">
        <f ca="1">SUMIF(INDIRECT("'"&amp;A7&amp;"'"&amp;"!A:A"),"总价",INDIRECT("'"&amp;A7&amp;"'"&amp;"!B:B"))</f>
        <v>#REF!</v>
      </c>
      <c r="C7" s="550" t="s">
        <v>2015</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2015</v>
      </c>
      <c r="D8" s="549"/>
      <c r="E8" s="552" t="e">
        <f ca="1" t="shared" si="0"/>
        <v>#REF!</v>
      </c>
      <c r="F8" s="549"/>
      <c r="G8" s="549"/>
      <c r="H8" s="549"/>
      <c r="I8" s="549"/>
      <c r="J8" s="549"/>
      <c r="K8" s="549"/>
      <c r="L8" s="549"/>
      <c r="M8" s="549"/>
      <c r="N8" s="549"/>
      <c r="O8" s="549"/>
      <c r="P8" s="549"/>
    </row>
    <row r="9" ht="15.6" spans="1:16">
      <c r="A9" s="558"/>
      <c r="B9" s="551" t="e">
        <f ca="1" t="shared" si="1"/>
        <v>#REF!</v>
      </c>
      <c r="C9" s="550" t="s">
        <v>2015</v>
      </c>
      <c r="D9" s="549"/>
      <c r="E9" s="552" t="e">
        <f ca="1" t="shared" si="0"/>
        <v>#REF!</v>
      </c>
      <c r="F9" s="549"/>
      <c r="G9" s="549"/>
      <c r="H9" s="549"/>
      <c r="I9" s="549"/>
      <c r="J9" s="549"/>
      <c r="K9" s="549"/>
      <c r="L9" s="549"/>
      <c r="M9" s="549"/>
      <c r="N9" s="549"/>
      <c r="O9" s="549"/>
      <c r="P9" s="549"/>
    </row>
    <row r="10" ht="15.6" spans="1:16">
      <c r="A10" s="558"/>
      <c r="B10" s="551" t="e">
        <f ca="1" t="shared" si="1"/>
        <v>#REF!</v>
      </c>
      <c r="C10" s="550" t="s">
        <v>2015</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2015</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2015</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2015</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2023</v>
      </c>
      <c r="C1" s="440"/>
      <c r="D1" s="440"/>
      <c r="E1" s="440"/>
      <c r="F1" s="440"/>
      <c r="G1" s="440"/>
      <c r="H1" s="153" t="s">
        <v>2024</v>
      </c>
      <c r="N1" s="190"/>
      <c r="O1" s="153" t="s">
        <v>2025</v>
      </c>
      <c r="S1" s="190"/>
      <c r="T1" s="153" t="s">
        <v>2026</v>
      </c>
      <c r="X1" s="190"/>
      <c r="Y1" s="209" t="s">
        <v>2027</v>
      </c>
      <c r="AE1" s="190"/>
      <c r="AF1" s="209" t="s">
        <v>2028</v>
      </c>
    </row>
    <row r="2" s="154" customFormat="1" ht="15.15" spans="2:37">
      <c r="B2" s="167" t="s">
        <v>2029</v>
      </c>
      <c r="C2" s="167" t="s">
        <v>2030</v>
      </c>
      <c r="D2" s="168" t="s">
        <v>1761</v>
      </c>
      <c r="E2" s="168" t="s">
        <v>288</v>
      </c>
      <c r="F2" s="168" t="s">
        <v>1762</v>
      </c>
      <c r="G2" s="167" t="s">
        <v>2031</v>
      </c>
      <c r="H2" s="165"/>
      <c r="I2" s="166"/>
      <c r="J2" s="167" t="s">
        <v>2029</v>
      </c>
      <c r="K2" s="168" t="s">
        <v>1779</v>
      </c>
      <c r="L2" s="168" t="s">
        <v>1762</v>
      </c>
      <c r="M2" s="167" t="s">
        <v>2031</v>
      </c>
      <c r="N2" s="191"/>
      <c r="O2" s="167" t="s">
        <v>2029</v>
      </c>
      <c r="P2" s="168" t="s">
        <v>1779</v>
      </c>
      <c r="Q2" s="168" t="s">
        <v>1762</v>
      </c>
      <c r="R2" s="167" t="s">
        <v>2031</v>
      </c>
      <c r="S2" s="191"/>
      <c r="T2" s="167" t="s">
        <v>2029</v>
      </c>
      <c r="U2" s="168" t="s">
        <v>1779</v>
      </c>
      <c r="V2" s="168" t="s">
        <v>1762</v>
      </c>
      <c r="W2" s="167" t="s">
        <v>2031</v>
      </c>
      <c r="X2" s="191"/>
      <c r="Y2" s="167" t="s">
        <v>2029</v>
      </c>
      <c r="Z2" s="500" t="s">
        <v>2030</v>
      </c>
      <c r="AA2" s="501" t="s">
        <v>1761</v>
      </c>
      <c r="AB2" s="168" t="s">
        <v>288</v>
      </c>
      <c r="AC2" s="502" t="s">
        <v>1762</v>
      </c>
      <c r="AD2" s="167" t="s">
        <v>2031</v>
      </c>
      <c r="AE2" s="191"/>
      <c r="AF2" s="167" t="s">
        <v>2029</v>
      </c>
      <c r="AG2" s="500" t="s">
        <v>2030</v>
      </c>
      <c r="AH2" s="501" t="s">
        <v>1761</v>
      </c>
      <c r="AI2" s="168" t="s">
        <v>288</v>
      </c>
      <c r="AJ2" s="502" t="s">
        <v>1762</v>
      </c>
      <c r="AK2" s="167" t="s">
        <v>2031</v>
      </c>
    </row>
    <row r="3" s="433" customFormat="1" ht="14.4" spans="1:37">
      <c r="A3" s="441" t="s">
        <v>2032</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2033</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2034</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2035</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2036</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2037</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2038</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2039</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2040</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2041</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2042</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2043</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2044</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2045</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2046</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2047</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2048</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2049</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2050</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2051</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2052</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2053</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2054</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2055</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2056</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2057</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2058</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2059</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2060</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2061</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2062</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2063</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2064</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2065</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2066</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2067</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2068</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2069</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2070</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2071</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2072</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2073</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2074</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2075</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2076</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2077</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2078</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2079</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2080</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2081</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2082</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2083</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2084</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2085</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2086</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2087</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2088</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2089</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2090</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2091</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2092</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2093</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2094</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2095</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2096</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2097</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2098</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2099</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2100</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2101</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2102</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2103</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2104</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2105</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2106</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2107</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2108</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2109</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2110</v>
      </c>
      <c r="B82" s="522">
        <v>111</v>
      </c>
      <c r="C82" s="522">
        <v>114</v>
      </c>
      <c r="D82" s="522">
        <f t="shared" si="210"/>
        <v>114</v>
      </c>
      <c r="E82" s="522"/>
      <c r="F82" s="522">
        <v>108</v>
      </c>
      <c r="G82" s="523">
        <v>104</v>
      </c>
      <c r="H82" s="458">
        <v>2003</v>
      </c>
      <c r="I82" s="534">
        <v>4</v>
      </c>
    </row>
    <row r="83" hidden="1" spans="1:9">
      <c r="A83" s="174" t="s">
        <v>2111</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2112</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2113</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2114</v>
      </c>
      <c r="B86" s="464">
        <v>106</v>
      </c>
      <c r="C86" s="464">
        <v>107</v>
      </c>
      <c r="D86" s="464">
        <f t="shared" si="210"/>
        <v>107</v>
      </c>
      <c r="E86" s="464"/>
      <c r="F86" s="464">
        <v>105</v>
      </c>
      <c r="G86" s="465">
        <v>102</v>
      </c>
      <c r="H86" s="458">
        <v>2002</v>
      </c>
      <c r="I86" s="495">
        <v>4</v>
      </c>
    </row>
    <row r="87" hidden="1" spans="1:9">
      <c r="A87" s="174" t="s">
        <v>2115</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2116</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2117</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2118</v>
      </c>
      <c r="F92" s="212"/>
      <c r="G92" s="212"/>
      <c r="H92" s="212"/>
      <c r="I92" s="212"/>
      <c r="N92" s="544"/>
      <c r="O92" s="545"/>
      <c r="S92" s="544"/>
      <c r="T92" s="545"/>
      <c r="X92" s="544"/>
      <c r="AE92" s="544"/>
    </row>
    <row r="93" s="438" customFormat="1" spans="1:31">
      <c r="A93" s="438" t="s">
        <v>2119</v>
      </c>
      <c r="F93" s="212"/>
      <c r="G93" s="212"/>
      <c r="H93" s="212"/>
      <c r="I93" s="212"/>
      <c r="N93" s="544"/>
      <c r="O93" s="545"/>
      <c r="S93" s="544"/>
      <c r="T93" s="545"/>
      <c r="X93" s="544"/>
      <c r="AE93" s="544"/>
    </row>
    <row r="94" s="438" customFormat="1" spans="1:31">
      <c r="A94" s="438" t="s">
        <v>2120</v>
      </c>
      <c r="F94" s="212"/>
      <c r="G94" s="212"/>
      <c r="H94" s="212"/>
      <c r="I94" s="212"/>
      <c r="N94" s="544"/>
      <c r="O94" s="545"/>
      <c r="S94" s="544"/>
      <c r="T94" s="545"/>
      <c r="X94" s="544"/>
      <c r="AE94" s="544"/>
    </row>
    <row r="95" s="438" customFormat="1" spans="1:31">
      <c r="A95" s="438" t="s">
        <v>2121</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2122</v>
      </c>
      <c r="C1" s="322" t="s">
        <v>2123</v>
      </c>
      <c r="D1" s="323"/>
      <c r="E1" s="323"/>
      <c r="F1" s="323"/>
      <c r="G1" s="323"/>
      <c r="H1" s="323"/>
      <c r="I1" s="323"/>
      <c r="J1" s="323"/>
      <c r="K1" s="323"/>
      <c r="L1" s="323"/>
      <c r="M1" s="323"/>
      <c r="N1" s="323"/>
      <c r="O1" s="323"/>
      <c r="P1" s="323"/>
      <c r="Q1" s="323"/>
      <c r="R1" s="323"/>
      <c r="S1" s="404"/>
      <c r="T1" s="321" t="s">
        <v>1628</v>
      </c>
    </row>
    <row r="2" s="312" customFormat="1" spans="1:45">
      <c r="A2" s="324"/>
      <c r="B2" s="325" t="s">
        <v>364</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2124</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2125</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2126</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2127</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2128</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2129</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2130</v>
      </c>
      <c r="B17" s="357" t="s">
        <v>2131</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2132</v>
      </c>
      <c r="E19" s="367"/>
      <c r="F19" s="367"/>
      <c r="G19" s="367"/>
      <c r="H19" s="368"/>
      <c r="I19" s="365"/>
      <c r="J19" s="365"/>
      <c r="K19" s="365"/>
      <c r="L19" s="365"/>
      <c r="M19" s="365"/>
      <c r="N19" s="365"/>
      <c r="O19" s="365"/>
      <c r="P19" s="365"/>
      <c r="Q19" s="365"/>
      <c r="R19" s="365"/>
      <c r="S19" s="364"/>
    </row>
    <row r="20" ht="16.35" spans="1:19">
      <c r="A20" s="369" t="s">
        <v>2133</v>
      </c>
      <c r="B20" s="370" t="e">
        <f ca="1">IF(D20="——",S22,S22-F20)</f>
        <v>#REF!</v>
      </c>
      <c r="C20" s="365"/>
      <c r="D20" s="371"/>
      <c r="E20" s="372"/>
      <c r="F20" s="321" t="e">
        <f ca="1">SUMIF(INDIRECT("'"&amp;H20&amp;"'"&amp;"!A:A"),"承租人权益价值",INDIRECT("'"&amp;H20&amp;"'"&amp;"!c:c"))</f>
        <v>#REF!</v>
      </c>
      <c r="G20" s="321" t="s">
        <v>704</v>
      </c>
      <c r="H20" s="373"/>
      <c r="I20" s="365"/>
      <c r="J20" s="365"/>
      <c r="K20" s="365"/>
      <c r="L20" s="365"/>
      <c r="M20" s="365"/>
      <c r="N20" s="365"/>
      <c r="O20" s="365"/>
      <c r="P20" s="365"/>
      <c r="Q20" s="365"/>
      <c r="R20" s="365"/>
      <c r="S20" s="364"/>
    </row>
    <row r="21" ht="15.6" spans="1:19">
      <c r="A21" s="369" t="s">
        <v>2134</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2135</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2136</v>
      </c>
      <c r="B23" s="378" t="s">
        <v>364</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2137</v>
      </c>
      <c r="S23" s="378" t="s">
        <v>2138</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2139</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2140</v>
      </c>
      <c r="B1" s="244"/>
      <c r="C1" s="245"/>
      <c r="D1" s="245"/>
      <c r="E1" s="245"/>
      <c r="F1" s="245"/>
      <c r="G1" s="246"/>
    </row>
    <row r="2" s="235" customFormat="1" ht="18" customHeight="1" spans="1:7">
      <c r="A2" s="247" t="s">
        <v>2141</v>
      </c>
      <c r="B2" s="248" t="e">
        <f ca="1">C52</f>
        <v>#VALUE!</v>
      </c>
      <c r="C2" s="249" t="s">
        <v>2142</v>
      </c>
      <c r="D2" s="246"/>
      <c r="E2" s="246"/>
      <c r="F2" s="246"/>
      <c r="G2" s="246"/>
    </row>
    <row r="3" s="235" customFormat="1" ht="18" customHeight="1" spans="1:7">
      <c r="A3" s="250" t="s">
        <v>2143</v>
      </c>
      <c r="B3" s="251" t="e">
        <f ca="1">ROUND(B2*10000/'数据-汇总表'!E3,0)</f>
        <v>#VALUE!</v>
      </c>
      <c r="C3" s="249" t="s">
        <v>2144</v>
      </c>
      <c r="D3" s="246"/>
      <c r="E3" s="246"/>
      <c r="F3" s="246"/>
      <c r="G3" s="246"/>
    </row>
    <row r="4" s="236" customFormat="1" ht="15.6" spans="1:7">
      <c r="A4" s="252" t="s">
        <v>2145</v>
      </c>
      <c r="B4" s="253"/>
      <c r="C4" s="253"/>
      <c r="D4" s="253"/>
      <c r="E4" s="253"/>
      <c r="F4" s="253"/>
      <c r="G4" s="254"/>
    </row>
    <row r="5" s="237" customFormat="1" ht="13.5" customHeight="1" spans="1:7">
      <c r="A5" s="255" t="s">
        <v>891</v>
      </c>
      <c r="B5" s="256" t="s">
        <v>2146</v>
      </c>
      <c r="C5" s="257">
        <f>C6+C7+C8</f>
        <v>20000</v>
      </c>
      <c r="D5" s="257" t="s">
        <v>2147</v>
      </c>
      <c r="E5" s="257" t="s">
        <v>2148</v>
      </c>
      <c r="F5" s="257" t="s">
        <v>2149</v>
      </c>
      <c r="G5" s="258"/>
    </row>
    <row r="6" s="237" customFormat="1" ht="13.5" customHeight="1" spans="1:7">
      <c r="A6" s="259" t="s">
        <v>895</v>
      </c>
      <c r="B6" s="260" t="s">
        <v>2150</v>
      </c>
      <c r="C6" s="261">
        <v>20000</v>
      </c>
      <c r="D6" s="262"/>
      <c r="E6" s="262"/>
      <c r="F6" s="262"/>
      <c r="G6" s="263"/>
    </row>
    <row r="7" s="237" customFormat="1" ht="13.5" customHeight="1" spans="1:7">
      <c r="A7" s="259" t="s">
        <v>897</v>
      </c>
      <c r="B7" s="260" t="s">
        <v>2151</v>
      </c>
      <c r="C7" s="262">
        <f>ROUND(C6*F7,0)</f>
        <v>0</v>
      </c>
      <c r="D7" s="262"/>
      <c r="E7" s="262"/>
      <c r="F7" s="262">
        <f>'数据-取费表'!B48+'数据-取费表'!B49</f>
        <v>0</v>
      </c>
      <c r="G7" s="263"/>
    </row>
    <row r="8" s="238" customFormat="1" spans="1:7">
      <c r="A8" s="259" t="s">
        <v>899</v>
      </c>
      <c r="B8" s="260" t="s">
        <v>2152</v>
      </c>
      <c r="C8" s="262" t="str">
        <f>IF(G8="已包含在土地购买价格中","0",'数据-取费表'!B29)</f>
        <v>0</v>
      </c>
      <c r="D8" s="264"/>
      <c r="E8" s="262"/>
      <c r="F8" s="262"/>
      <c r="G8" s="265" t="s">
        <v>2153</v>
      </c>
    </row>
    <row r="9" s="237" customFormat="1" ht="13.5" customHeight="1" spans="1:7">
      <c r="A9" s="266" t="s">
        <v>901</v>
      </c>
      <c r="B9" s="267" t="s">
        <v>2154</v>
      </c>
      <c r="C9" s="268">
        <f>ROUND(D9*E9/10000,0)</f>
        <v>0</v>
      </c>
      <c r="D9" s="269">
        <f>'数据-汇总表'!E5</f>
        <v>0</v>
      </c>
      <c r="E9" s="268">
        <f>'数据-取费表'!B27</f>
        <v>0</v>
      </c>
      <c r="F9" s="262"/>
      <c r="G9" s="270"/>
    </row>
    <row r="10" s="237" customFormat="1" ht="13.5" customHeight="1" spans="1:7">
      <c r="A10" s="266" t="s">
        <v>904</v>
      </c>
      <c r="B10" s="267" t="s">
        <v>2155</v>
      </c>
      <c r="C10" s="268">
        <f>ROUND(D10*E10/10000,0)</f>
        <v>0</v>
      </c>
      <c r="D10" s="269">
        <f>'数据-汇总表'!E6</f>
        <v>0</v>
      </c>
      <c r="E10" s="268">
        <f>'数据-取费表'!B28</f>
        <v>0</v>
      </c>
      <c r="F10" s="262"/>
      <c r="G10" s="270"/>
    </row>
    <row r="11" s="237" customFormat="1" ht="13.5" hidden="1" customHeight="1" spans="1:7">
      <c r="A11" s="271" t="s">
        <v>906</v>
      </c>
      <c r="B11" s="260" t="s">
        <v>2156</v>
      </c>
      <c r="C11" s="257"/>
      <c r="D11" s="262"/>
      <c r="E11" s="262"/>
      <c r="F11" s="262"/>
      <c r="G11" s="263"/>
    </row>
    <row r="12" s="237" customFormat="1" ht="13.5" hidden="1" customHeight="1" spans="1:7">
      <c r="A12" s="271" t="s">
        <v>908</v>
      </c>
      <c r="B12" s="260" t="s">
        <v>2157</v>
      </c>
      <c r="C12" s="257">
        <v>0</v>
      </c>
      <c r="D12" s="262"/>
      <c r="E12" s="272"/>
      <c r="F12" s="262">
        <v>0.0305</v>
      </c>
      <c r="G12" s="263"/>
    </row>
    <row r="13" s="237" customFormat="1" ht="13.5" hidden="1" customHeight="1" spans="1:7">
      <c r="A13" s="271" t="s">
        <v>909</v>
      </c>
      <c r="B13" s="260" t="s">
        <v>2158</v>
      </c>
      <c r="C13" s="257"/>
      <c r="D13" s="262"/>
      <c r="E13" s="262"/>
      <c r="F13" s="262"/>
      <c r="G13" s="263"/>
    </row>
    <row r="14" s="237" customFormat="1" ht="13.5" hidden="1" customHeight="1" spans="1:7">
      <c r="A14" s="271" t="s">
        <v>911</v>
      </c>
      <c r="B14" s="260" t="s">
        <v>2152</v>
      </c>
      <c r="C14" s="257"/>
      <c r="D14" s="262"/>
      <c r="E14" s="262"/>
      <c r="F14" s="262"/>
      <c r="G14" s="263" t="s">
        <v>2159</v>
      </c>
    </row>
    <row r="15" s="237" customFormat="1" ht="13.5" hidden="1" customHeight="1" spans="1:7">
      <c r="A15" s="271" t="s">
        <v>913</v>
      </c>
      <c r="B15" s="260" t="s">
        <v>2160</v>
      </c>
      <c r="C15" s="262"/>
      <c r="D15" s="262"/>
      <c r="E15" s="262"/>
      <c r="F15" s="262"/>
      <c r="G15" s="263" t="s">
        <v>2161</v>
      </c>
    </row>
    <row r="16" s="237" customFormat="1" ht="13.5" hidden="1" customHeight="1" spans="1:7">
      <c r="A16" s="271" t="s">
        <v>916</v>
      </c>
      <c r="B16" s="260" t="s">
        <v>2152</v>
      </c>
      <c r="C16" s="262"/>
      <c r="D16" s="262"/>
      <c r="E16" s="262"/>
      <c r="F16" s="262"/>
      <c r="G16" s="263"/>
    </row>
    <row r="17" s="237" customFormat="1" ht="13.5" hidden="1" customHeight="1" spans="1:7">
      <c r="A17" s="271" t="s">
        <v>917</v>
      </c>
      <c r="B17" s="260" t="s">
        <v>2162</v>
      </c>
      <c r="C17" s="273"/>
      <c r="D17" s="273"/>
      <c r="E17" s="273"/>
      <c r="F17" s="273"/>
      <c r="G17" s="263" t="s">
        <v>2161</v>
      </c>
    </row>
    <row r="18" s="237" customFormat="1" ht="13.5" hidden="1" customHeight="1" spans="1:7">
      <c r="A18" s="271" t="s">
        <v>919</v>
      </c>
      <c r="B18" s="260" t="s">
        <v>2163</v>
      </c>
      <c r="C18" s="262">
        <v>0</v>
      </c>
      <c r="D18" s="262"/>
      <c r="E18" s="262"/>
      <c r="F18" s="262">
        <v>0.0305</v>
      </c>
      <c r="G18" s="263" t="s">
        <v>2164</v>
      </c>
    </row>
    <row r="19" s="238" customFormat="1" ht="13.5" customHeight="1" spans="1:7">
      <c r="A19" s="274" t="s">
        <v>1577</v>
      </c>
      <c r="B19" s="256" t="s">
        <v>2165</v>
      </c>
      <c r="C19" s="257">
        <f>IF(G19="已包含在土地取得成本中","0",ROUND(D19*E19/10000,0))</f>
        <v>0</v>
      </c>
      <c r="D19" s="257">
        <f>'数据-汇总表'!E3</f>
        <v>0</v>
      </c>
      <c r="E19" s="257">
        <f>'数据-取费表'!B31</f>
        <v>0</v>
      </c>
      <c r="F19" s="275"/>
      <c r="G19" s="265" t="s">
        <v>2166</v>
      </c>
    </row>
    <row r="20" s="237" customFormat="1" ht="13.5" customHeight="1" spans="1:7">
      <c r="A20" s="274" t="s">
        <v>1614</v>
      </c>
      <c r="B20" s="256" t="s">
        <v>2167</v>
      </c>
      <c r="C20" s="276">
        <f>ROUND((C5+C19)*F20,0)</f>
        <v>0</v>
      </c>
      <c r="D20" s="276"/>
      <c r="E20" s="276"/>
      <c r="F20" s="275">
        <f>'数据-取费表'!B37</f>
        <v>0</v>
      </c>
      <c r="G20" s="277" t="s">
        <v>2168</v>
      </c>
    </row>
    <row r="21" s="237" customFormat="1" ht="13.5" customHeight="1" spans="1:7">
      <c r="A21" s="274" t="s">
        <v>1619</v>
      </c>
      <c r="B21" s="256" t="s">
        <v>2169</v>
      </c>
      <c r="C21" s="278">
        <f>F21</f>
        <v>0</v>
      </c>
      <c r="D21" s="279" t="s">
        <v>2170</v>
      </c>
      <c r="E21" s="276"/>
      <c r="F21" s="275">
        <f>'数据-取费表'!B38</f>
        <v>0</v>
      </c>
      <c r="G21" s="280" t="s">
        <v>2171</v>
      </c>
    </row>
    <row r="22" s="237" customFormat="1" ht="13.5" customHeight="1" spans="1:7">
      <c r="A22" s="274" t="s">
        <v>1629</v>
      </c>
      <c r="B22" s="256" t="s">
        <v>2172</v>
      </c>
      <c r="C22" s="276" t="e">
        <f ca="1">ROUND(SUM(C23:C25),0)</f>
        <v>#VALUE!</v>
      </c>
      <c r="D22" s="278" t="e">
        <f ca="1">C26</f>
        <v>#VALUE!</v>
      </c>
      <c r="E22" s="279" t="s">
        <v>2170</v>
      </c>
      <c r="F22" s="281" t="e">
        <f ca="1">'数据-取费表'!B40</f>
        <v>#VALUE!</v>
      </c>
      <c r="G22" s="277" t="str">
        <f>IF('数据-取费表'!B22&lt;=1,"单利计息","复利计息")</f>
        <v>单利计息</v>
      </c>
    </row>
    <row r="23" s="237" customFormat="1" ht="13.5" customHeight="1" spans="1:7">
      <c r="A23" s="282" t="s">
        <v>895</v>
      </c>
      <c r="B23" s="260" t="s">
        <v>2173</v>
      </c>
      <c r="C23" s="283" t="e">
        <f ca="1">ROUND(IF('数据-取费表'!B22&lt;=1,C5*F22*'数据-取费表'!B23,C5*(POWER((1+F22),'数据-取费表'!B23)-1)),0)</f>
        <v>#VALUE!</v>
      </c>
      <c r="D23" s="283"/>
      <c r="E23" s="283"/>
      <c r="F23" s="284"/>
      <c r="G23" s="285" t="s">
        <v>2174</v>
      </c>
    </row>
    <row r="24" s="237" customFormat="1" ht="13.5" customHeight="1" spans="1:7">
      <c r="A24" s="282" t="s">
        <v>897</v>
      </c>
      <c r="B24" s="260" t="s">
        <v>2175</v>
      </c>
      <c r="C24" s="283" t="e">
        <f ca="1">ROUND(IF('数据-取费表'!B22&lt;=1,C19*F22*('数据-取费表'!B19/2+'数据-取费表'!B21),C19*(POWER((1+F22),('数据-取费表'!B19/2+'数据-取费表'!B21))-1)),0)</f>
        <v>#VALUE!</v>
      </c>
      <c r="D24" s="283"/>
      <c r="E24" s="283"/>
      <c r="F24" s="284"/>
      <c r="G24" s="285" t="s">
        <v>2176</v>
      </c>
    </row>
    <row r="25" s="237" customFormat="1" ht="24" spans="1:7">
      <c r="A25" s="282" t="s">
        <v>899</v>
      </c>
      <c r="B25" s="260" t="s">
        <v>2177</v>
      </c>
      <c r="C25" s="283" t="e">
        <f ca="1">ROUND(IF('数据-取费表'!B22&lt;=1,C20*F22*'数据-取费表'!B23/2,C20*(POWER((1+F22),'数据-取费表'!B23/2)-1)),0)</f>
        <v>#VALUE!</v>
      </c>
      <c r="D25" s="283"/>
      <c r="E25" s="286"/>
      <c r="F25" s="284"/>
      <c r="G25" s="287" t="s">
        <v>2178</v>
      </c>
    </row>
    <row r="26" s="237" customFormat="1" spans="1:7">
      <c r="A26" s="282" t="s">
        <v>939</v>
      </c>
      <c r="B26" s="260" t="s">
        <v>2179</v>
      </c>
      <c r="C26" s="283" t="e">
        <f ca="1">ROUND(IF('数据-取费表'!B22&lt;=1,F21*F22*'数据-取费表'!B23/2,F21*(POWER((1+F22),'数据-取费表'!B23/2)-1)),4)</f>
        <v>#VALUE!</v>
      </c>
      <c r="D26" s="283"/>
      <c r="E26" s="286"/>
      <c r="F26" s="284"/>
      <c r="G26" s="288"/>
    </row>
    <row r="27" s="237" customFormat="1" ht="26.4" spans="1:7">
      <c r="A27" s="274" t="s">
        <v>1638</v>
      </c>
      <c r="B27" s="289" t="s">
        <v>2180</v>
      </c>
      <c r="C27" s="290" t="e">
        <f>C28</f>
        <v>#DIV/0!</v>
      </c>
      <c r="D27" s="278" t="e">
        <f>C29</f>
        <v>#DIV/0!</v>
      </c>
      <c r="E27" s="279" t="s">
        <v>2170</v>
      </c>
      <c r="F27" s="281" t="e">
        <f>'数据-取费表'!Q16</f>
        <v>#DIV/0!</v>
      </c>
      <c r="G27" s="291" t="s">
        <v>2181</v>
      </c>
    </row>
    <row r="28" s="237" customFormat="1" ht="13.5" customHeight="1" spans="1:7">
      <c r="A28" s="282" t="s">
        <v>895</v>
      </c>
      <c r="B28" s="292" t="s">
        <v>2182</v>
      </c>
      <c r="C28" s="293" t="e">
        <f>ROUND((C5+C19+C20)*F27*'数据-取费表'!B21/'数据-取费表'!B20,0)</f>
        <v>#DIV/0!</v>
      </c>
      <c r="D28" s="278"/>
      <c r="E28" s="279"/>
      <c r="F28" s="281"/>
      <c r="G28" s="291"/>
    </row>
    <row r="29" s="237" customFormat="1" ht="13.5" customHeight="1" spans="1:7">
      <c r="A29" s="282" t="s">
        <v>897</v>
      </c>
      <c r="B29" s="292" t="s">
        <v>2183</v>
      </c>
      <c r="C29" s="283" t="e">
        <f>ROUND(C21*F27*'数据-取费表'!B21/'数据-取费表'!B20,4)</f>
        <v>#DIV/0!</v>
      </c>
      <c r="D29" s="278"/>
      <c r="E29" s="279"/>
      <c r="F29" s="281"/>
      <c r="G29" s="291"/>
    </row>
    <row r="30" s="237" customFormat="1" ht="13.5" customHeight="1" spans="1:7">
      <c r="A30" s="274" t="s">
        <v>2184</v>
      </c>
      <c r="B30" s="256" t="s">
        <v>2185</v>
      </c>
      <c r="C30" s="278">
        <f>F30</f>
        <v>0</v>
      </c>
      <c r="D30" s="279" t="s">
        <v>2186</v>
      </c>
      <c r="E30" s="286"/>
      <c r="F30" s="281">
        <f>'数据-取费表'!B41</f>
        <v>0</v>
      </c>
      <c r="G30" s="280" t="s">
        <v>2187</v>
      </c>
    </row>
    <row r="31" ht="16.5" customHeight="1" spans="1:7">
      <c r="A31" s="255">
        <v>1</v>
      </c>
      <c r="B31" s="256" t="s">
        <v>2188</v>
      </c>
      <c r="C31" s="257" t="e">
        <f ca="1">ROUND((C5+C19+C20+C22+C27)/(1-C21-D22-D27-C30/(1+'数据-取费表'!B42)),0)</f>
        <v>#VALUE!</v>
      </c>
      <c r="D31" s="257"/>
      <c r="E31" s="257"/>
      <c r="F31" s="257"/>
      <c r="G31" s="280" t="s">
        <v>2189</v>
      </c>
    </row>
    <row r="32" s="236" customFormat="1" ht="15.6" spans="1:7">
      <c r="A32" s="294" t="s">
        <v>2190</v>
      </c>
      <c r="B32" s="295"/>
      <c r="C32" s="295"/>
      <c r="D32" s="295"/>
      <c r="E32" s="295"/>
      <c r="F32" s="295"/>
      <c r="G32" s="296"/>
    </row>
    <row r="33" s="237" customFormat="1" ht="13.5" customHeight="1" spans="1:7">
      <c r="A33" s="255" t="s">
        <v>891</v>
      </c>
      <c r="B33" s="256" t="s">
        <v>2191</v>
      </c>
      <c r="C33" s="276">
        <f>SUM(C34:C38)</f>
        <v>0</v>
      </c>
      <c r="D33" s="276"/>
      <c r="E33" s="257"/>
      <c r="F33" s="286"/>
      <c r="G33" s="280"/>
    </row>
    <row r="34" s="239" customFormat="1" ht="13.5" customHeight="1" spans="1:7">
      <c r="A34" s="282" t="s">
        <v>895</v>
      </c>
      <c r="B34" s="260" t="s">
        <v>2192</v>
      </c>
      <c r="C34" s="262">
        <f>IF(F34=100%,'数据-取费表'!M16-SUMIF('数据-取费表'!C:C,"公共配套",'数据-取费表'!M:M),'数据-取费表'!O16-SUMIF('数据-取费表'!C:C,"公共配套",'数据-取费表'!O:O))</f>
        <v>0</v>
      </c>
      <c r="D34" s="262"/>
      <c r="E34" s="262"/>
      <c r="F34" s="275">
        <f>IF('数据-取费表'!B24=0,1,'数据-取费表'!N16)</f>
        <v>1</v>
      </c>
      <c r="G34" s="263" t="s">
        <v>2193</v>
      </c>
    </row>
    <row r="35" ht="13.5" customHeight="1" spans="1:7">
      <c r="A35" s="282" t="s">
        <v>897</v>
      </c>
      <c r="B35" s="260" t="s">
        <v>2194</v>
      </c>
      <c r="C35" s="262">
        <f>ROUND(C34*F35,0)</f>
        <v>0</v>
      </c>
      <c r="D35" s="262"/>
      <c r="E35" s="262"/>
      <c r="F35" s="297">
        <f>'数据-取费表'!B33</f>
        <v>0</v>
      </c>
      <c r="G35" s="263" t="s">
        <v>2195</v>
      </c>
    </row>
    <row r="36" ht="24" spans="1:7">
      <c r="A36" s="282" t="s">
        <v>899</v>
      </c>
      <c r="B36" s="260" t="s">
        <v>2196</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2197</v>
      </c>
    </row>
    <row r="37" s="239" customFormat="1" ht="13.5" customHeight="1" spans="1:7">
      <c r="A37" s="282" t="s">
        <v>939</v>
      </c>
      <c r="B37" s="260" t="s">
        <v>2198</v>
      </c>
      <c r="C37" s="293">
        <f>ROUND(E37*D37*F34/10000,0)</f>
        <v>0</v>
      </c>
      <c r="D37" s="262">
        <f>'数据-汇总表'!E3</f>
        <v>0</v>
      </c>
      <c r="E37" s="293">
        <f>'数据-取费表'!B35</f>
        <v>0</v>
      </c>
      <c r="F37" s="297"/>
      <c r="G37" s="299" t="s">
        <v>2199</v>
      </c>
    </row>
    <row r="38" ht="13.5" customHeight="1" spans="1:7">
      <c r="A38" s="282" t="s">
        <v>961</v>
      </c>
      <c r="B38" s="260" t="s">
        <v>2157</v>
      </c>
      <c r="C38" s="262">
        <f>ROUND(C34*F38,0)</f>
        <v>0</v>
      </c>
      <c r="D38" s="262"/>
      <c r="E38" s="262"/>
      <c r="F38" s="297">
        <f>'数据-取费表'!B36</f>
        <v>0</v>
      </c>
      <c r="G38" s="263" t="s">
        <v>2195</v>
      </c>
    </row>
    <row r="39" s="237" customFormat="1" ht="13.5" customHeight="1" spans="1:7">
      <c r="A39" s="274" t="s">
        <v>1577</v>
      </c>
      <c r="B39" s="256" t="s">
        <v>2167</v>
      </c>
      <c r="C39" s="276">
        <f>ROUND(C33*F20,0)</f>
        <v>0</v>
      </c>
      <c r="D39" s="276"/>
      <c r="E39" s="276"/>
      <c r="F39" s="275"/>
      <c r="G39" s="277" t="s">
        <v>2200</v>
      </c>
    </row>
    <row r="40" s="237" customFormat="1" ht="13.5" customHeight="1" spans="1:7">
      <c r="A40" s="274" t="s">
        <v>1614</v>
      </c>
      <c r="B40" s="256" t="s">
        <v>2169</v>
      </c>
      <c r="C40" s="278">
        <f>F21</f>
        <v>0</v>
      </c>
      <c r="D40" s="279" t="s">
        <v>2201</v>
      </c>
      <c r="E40" s="276"/>
      <c r="F40" s="275"/>
      <c r="G40" s="280" t="s">
        <v>2202</v>
      </c>
    </row>
    <row r="41" s="237" customFormat="1" ht="13.5" customHeight="1" spans="1:7">
      <c r="A41" s="274" t="s">
        <v>1619</v>
      </c>
      <c r="B41" s="256" t="s">
        <v>2172</v>
      </c>
      <c r="C41" s="276" t="e">
        <f ca="1">ROUND(SUM(C42:C43),0)</f>
        <v>#VALUE!</v>
      </c>
      <c r="D41" s="278" t="e">
        <f ca="1">C44</f>
        <v>#VALUE!</v>
      </c>
      <c r="E41" s="279" t="s">
        <v>2201</v>
      </c>
      <c r="F41" s="281"/>
      <c r="G41" s="277" t="str">
        <f>IF('数据-取费表'!B22&lt;=1,"单利计息","复利计息")</f>
        <v>单利计息</v>
      </c>
    </row>
    <row r="42" ht="13.5" customHeight="1" spans="1:7">
      <c r="A42" s="282" t="s">
        <v>895</v>
      </c>
      <c r="B42" s="260" t="s">
        <v>2173</v>
      </c>
      <c r="C42" s="283" t="e">
        <f ca="1">ROUND(IF('数据-取费表'!B22&lt;=1,C33*F22*'数据-取费表'!B21/2,C33*(POWER((1+F22),'数据-取费表'!B21/2)-1)),0)</f>
        <v>#VALUE!</v>
      </c>
      <c r="D42" s="283"/>
      <c r="E42" s="283"/>
      <c r="F42" s="284"/>
      <c r="G42" s="300" t="s">
        <v>2203</v>
      </c>
    </row>
    <row r="43" ht="13.5" customHeight="1" spans="1:7">
      <c r="A43" s="282" t="s">
        <v>897</v>
      </c>
      <c r="B43" s="260" t="s">
        <v>2175</v>
      </c>
      <c r="C43" s="283" t="e">
        <f ca="1">ROUND(IF('数据-取费表'!B22&lt;=1,C39*F22*'数据-取费表'!B21/2,C39*(POWER((1+F22),'数据-取费表'!B21/2)-1)),0)</f>
        <v>#VALUE!</v>
      </c>
      <c r="D43" s="283"/>
      <c r="E43" s="283"/>
      <c r="F43" s="284"/>
      <c r="G43" s="301"/>
    </row>
    <row r="44" ht="13.5" customHeight="1" spans="1:7">
      <c r="A44" s="282" t="s">
        <v>899</v>
      </c>
      <c r="B44" s="260" t="s">
        <v>2177</v>
      </c>
      <c r="C44" s="283" t="e">
        <f ca="1">ROUND(IF('数据-取费表'!B22&lt;=1,C40*F22*'数据-取费表'!B21/2,C40*(POWER((1+F22),'数据-取费表'!B21/2)-1)),4)</f>
        <v>#VALUE!</v>
      </c>
      <c r="D44" s="283"/>
      <c r="E44" s="283"/>
      <c r="F44" s="284"/>
      <c r="G44" s="302"/>
    </row>
    <row r="45" s="237" customFormat="1" ht="13.5" customHeight="1" spans="1:7">
      <c r="A45" s="274" t="s">
        <v>1629</v>
      </c>
      <c r="B45" s="289" t="s">
        <v>2180</v>
      </c>
      <c r="C45" s="290" t="e">
        <f>C46</f>
        <v>#DIV/0!</v>
      </c>
      <c r="D45" s="278" t="e">
        <f>C47</f>
        <v>#DIV/0!</v>
      </c>
      <c r="E45" s="279" t="s">
        <v>2201</v>
      </c>
      <c r="F45" s="281"/>
      <c r="G45" s="291" t="s">
        <v>2204</v>
      </c>
    </row>
    <row r="46" s="237" customFormat="1" ht="13.5" customHeight="1" spans="1:7">
      <c r="A46" s="282" t="s">
        <v>895</v>
      </c>
      <c r="B46" s="292" t="s">
        <v>2205</v>
      </c>
      <c r="C46" s="293" t="e">
        <f>ROUND((C33+C39)*F27,0)</f>
        <v>#DIV/0!</v>
      </c>
      <c r="D46" s="278"/>
      <c r="E46" s="279"/>
      <c r="F46" s="281"/>
      <c r="G46" s="291"/>
    </row>
    <row r="47" s="237" customFormat="1" ht="13.5" customHeight="1" spans="1:7">
      <c r="A47" s="282" t="s">
        <v>897</v>
      </c>
      <c r="B47" s="292" t="s">
        <v>2206</v>
      </c>
      <c r="C47" s="283" t="e">
        <f>ROUND(C40*F27,4)</f>
        <v>#DIV/0!</v>
      </c>
      <c r="D47" s="278"/>
      <c r="E47" s="279"/>
      <c r="F47" s="281"/>
      <c r="G47" s="291"/>
    </row>
    <row r="48" s="237" customFormat="1" ht="13.5" customHeight="1" spans="1:7">
      <c r="A48" s="274" t="s">
        <v>1638</v>
      </c>
      <c r="B48" s="256" t="s">
        <v>2185</v>
      </c>
      <c r="C48" s="278">
        <f>F30</f>
        <v>0</v>
      </c>
      <c r="D48" s="279" t="s">
        <v>2207</v>
      </c>
      <c r="E48" s="276"/>
      <c r="F48" s="281"/>
      <c r="G48" s="280" t="s">
        <v>2208</v>
      </c>
    </row>
    <row r="49" ht="16.5" customHeight="1" spans="1:7">
      <c r="A49" s="274" t="s">
        <v>2184</v>
      </c>
      <c r="B49" s="256" t="s">
        <v>2209</v>
      </c>
      <c r="C49" s="276" t="e">
        <f ca="1">ROUND((C33+C39+C41+C45)/(1-C40-D41-D45-C48/(1+'数据-取费表'!B42)),0)</f>
        <v>#VALUE!</v>
      </c>
      <c r="D49" s="276"/>
      <c r="E49" s="276"/>
      <c r="F49" s="290"/>
      <c r="G49" s="280" t="s">
        <v>2210</v>
      </c>
    </row>
    <row r="50" s="239" customFormat="1" ht="24" spans="1:7">
      <c r="A50" s="274" t="s">
        <v>2211</v>
      </c>
      <c r="B50" s="256" t="s">
        <v>2212</v>
      </c>
      <c r="C50" s="276"/>
      <c r="D50" s="276"/>
      <c r="E50" s="276"/>
      <c r="F50" s="290" t="e">
        <f>IF('数据-取费表'!B24=0,'数据-取费表'!N16,1)</f>
        <v>#DIV/0!</v>
      </c>
      <c r="G50" s="291" t="s">
        <v>2213</v>
      </c>
    </row>
    <row r="51" ht="16.5" customHeight="1" spans="1:7">
      <c r="A51" s="274" t="s">
        <v>2214</v>
      </c>
      <c r="B51" s="256" t="s">
        <v>2215</v>
      </c>
      <c r="C51" s="276" t="e">
        <f ca="1">ROUND(C49*F50,0)</f>
        <v>#VALUE!</v>
      </c>
      <c r="D51" s="276"/>
      <c r="E51" s="276"/>
      <c r="F51" s="290"/>
      <c r="G51" s="280" t="s">
        <v>2216</v>
      </c>
    </row>
    <row r="52" s="236" customFormat="1" ht="16.35" spans="1:7">
      <c r="A52" s="303" t="s">
        <v>2217</v>
      </c>
      <c r="B52" s="304"/>
      <c r="C52" s="305" t="e">
        <f ca="1">C31+C51</f>
        <v>#VALUE!</v>
      </c>
      <c r="D52" s="304"/>
      <c r="E52" s="304"/>
      <c r="F52" s="304"/>
      <c r="G52" s="306"/>
    </row>
    <row r="55" ht="15" spans="2:3">
      <c r="B55" s="307" t="s">
        <v>2218</v>
      </c>
      <c r="C55" s="308"/>
    </row>
    <row r="56" spans="2:3">
      <c r="B56" s="309" t="s">
        <v>2219</v>
      </c>
      <c r="C56" s="310" t="e">
        <f ca="1">ROUND(C51/C52,3)</f>
        <v>#VALUE!</v>
      </c>
    </row>
    <row r="57" spans="2:3">
      <c r="B57" s="309" t="s">
        <v>2220</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8" customWidth="1"/>
    <col min="2" max="2" width="37.2222222222222"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44783</v>
      </c>
      <c r="B1" s="163" t="s">
        <v>2221</v>
      </c>
      <c r="C1" s="164"/>
      <c r="D1" s="164"/>
      <c r="E1" s="164"/>
      <c r="F1" s="164"/>
      <c r="G1" s="164"/>
      <c r="H1" s="164"/>
      <c r="I1" s="164"/>
      <c r="J1" s="190"/>
      <c r="K1" s="164" t="s">
        <v>2025</v>
      </c>
      <c r="L1" s="164"/>
      <c r="M1" s="164"/>
      <c r="N1" s="164"/>
      <c r="O1" s="164"/>
      <c r="P1" s="164"/>
      <c r="Q1" s="190"/>
      <c r="R1" s="209" t="s">
        <v>2027</v>
      </c>
      <c r="X1" s="190"/>
      <c r="Y1" s="209" t="s">
        <v>2028</v>
      </c>
    </row>
    <row r="2" s="154" customFormat="1" ht="15.15" spans="2:30">
      <c r="B2" s="165"/>
      <c r="C2" s="166"/>
      <c r="D2" s="167" t="s">
        <v>2222</v>
      </c>
      <c r="E2" s="168" t="s">
        <v>1561</v>
      </c>
      <c r="F2" s="168" t="s">
        <v>1761</v>
      </c>
      <c r="G2" s="168" t="s">
        <v>1762</v>
      </c>
      <c r="H2" s="168" t="s">
        <v>1763</v>
      </c>
      <c r="I2" s="168" t="s">
        <v>288</v>
      </c>
      <c r="J2" s="191"/>
      <c r="K2" s="167" t="s">
        <v>2222</v>
      </c>
      <c r="L2" s="168" t="s">
        <v>1561</v>
      </c>
      <c r="M2" s="168" t="s">
        <v>1761</v>
      </c>
      <c r="N2" s="168" t="s">
        <v>1762</v>
      </c>
      <c r="O2" s="168" t="s">
        <v>1763</v>
      </c>
      <c r="P2" s="168" t="s">
        <v>288</v>
      </c>
      <c r="Q2" s="191"/>
      <c r="R2" s="167" t="s">
        <v>2222</v>
      </c>
      <c r="S2" s="168" t="s">
        <v>1561</v>
      </c>
      <c r="T2" s="168" t="s">
        <v>1761</v>
      </c>
      <c r="U2" s="168" t="s">
        <v>1762</v>
      </c>
      <c r="V2" s="168" t="s">
        <v>1763</v>
      </c>
      <c r="W2" s="168" t="s">
        <v>288</v>
      </c>
      <c r="X2" s="191"/>
      <c r="Y2" s="167" t="s">
        <v>2222</v>
      </c>
      <c r="Z2" s="168" t="s">
        <v>1561</v>
      </c>
      <c r="AA2" s="168" t="s">
        <v>1761</v>
      </c>
      <c r="AB2" s="168" t="s">
        <v>1762</v>
      </c>
      <c r="AC2" s="168" t="s">
        <v>1763</v>
      </c>
      <c r="AD2" s="168" t="s">
        <v>288</v>
      </c>
    </row>
    <row r="3" s="155" customFormat="1" ht="13.2" spans="1:30">
      <c r="A3" s="169" t="s">
        <v>2032</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2033</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2034</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2035</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2036</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2037</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2038</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2039</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2040</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2041</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1341</v>
      </c>
    </row>
    <row r="18" s="153" customFormat="1" ht="13.2" spans="2:25">
      <c r="B18" s="163" t="s">
        <v>2223</v>
      </c>
      <c r="C18" s="164"/>
      <c r="D18" s="164"/>
      <c r="E18" s="164"/>
      <c r="F18" s="164"/>
      <c r="G18" s="164"/>
      <c r="H18" s="164"/>
      <c r="I18" s="164"/>
      <c r="J18" s="190"/>
      <c r="K18" s="164" t="s">
        <v>2025</v>
      </c>
      <c r="L18" s="164"/>
      <c r="M18" s="164"/>
      <c r="N18" s="164"/>
      <c r="O18" s="164"/>
      <c r="P18" s="164"/>
      <c r="Q18" s="190"/>
      <c r="R18" s="209" t="s">
        <v>2027</v>
      </c>
      <c r="X18" s="190"/>
      <c r="Y18" s="209" t="s">
        <v>2028</v>
      </c>
    </row>
    <row r="19" s="154" customFormat="1" ht="15.15" spans="2:30">
      <c r="B19" s="165"/>
      <c r="C19" s="166"/>
      <c r="D19" s="167" t="s">
        <v>2222</v>
      </c>
      <c r="E19" s="168" t="s">
        <v>1561</v>
      </c>
      <c r="F19" s="168" t="s">
        <v>1761</v>
      </c>
      <c r="G19" s="168" t="s">
        <v>1762</v>
      </c>
      <c r="H19" s="168"/>
      <c r="I19" s="168" t="s">
        <v>288</v>
      </c>
      <c r="J19" s="191"/>
      <c r="K19" s="167" t="s">
        <v>2222</v>
      </c>
      <c r="L19" s="168" t="s">
        <v>1561</v>
      </c>
      <c r="M19" s="168" t="s">
        <v>1761</v>
      </c>
      <c r="N19" s="168" t="s">
        <v>1762</v>
      </c>
      <c r="O19" s="168"/>
      <c r="P19" s="168" t="s">
        <v>288</v>
      </c>
      <c r="Q19" s="191"/>
      <c r="R19" s="167" t="s">
        <v>2222</v>
      </c>
      <c r="S19" s="168" t="s">
        <v>1561</v>
      </c>
      <c r="T19" s="168" t="s">
        <v>1761</v>
      </c>
      <c r="U19" s="168" t="s">
        <v>1762</v>
      </c>
      <c r="V19" s="168"/>
      <c r="W19" s="168" t="s">
        <v>288</v>
      </c>
      <c r="X19" s="191"/>
      <c r="Y19" s="167" t="s">
        <v>2222</v>
      </c>
      <c r="Z19" s="168" t="s">
        <v>1561</v>
      </c>
      <c r="AA19" s="168" t="s">
        <v>1761</v>
      </c>
      <c r="AB19" s="168" t="s">
        <v>1762</v>
      </c>
      <c r="AC19" s="168"/>
      <c r="AD19" s="168" t="s">
        <v>288</v>
      </c>
    </row>
    <row r="20" s="155" customFormat="1" ht="13.2" spans="1:30">
      <c r="A20" s="169" t="s">
        <v>2032</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2033</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2034</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2035</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2036</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2037</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2038</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2039</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2040</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2041</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2224</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2225</v>
      </c>
      <c r="B2" s="123"/>
      <c r="C2" s="123"/>
      <c r="D2" s="123"/>
      <c r="E2" s="123"/>
      <c r="F2" s="123"/>
      <c r="G2" s="124" t="s">
        <v>2226</v>
      </c>
      <c r="I2" s="133" t="s">
        <v>406</v>
      </c>
      <c r="J2" s="133" t="s">
        <v>2227</v>
      </c>
      <c r="K2" s="133" t="s">
        <v>2228</v>
      </c>
      <c r="L2" s="133" t="s">
        <v>2229</v>
      </c>
      <c r="M2" s="133" t="s">
        <v>2230</v>
      </c>
      <c r="N2" s="133" t="s">
        <v>2231</v>
      </c>
      <c r="O2" s="133" t="s">
        <v>2232</v>
      </c>
      <c r="P2" s="133" t="s">
        <v>2233</v>
      </c>
      <c r="Q2" s="133" t="s">
        <v>2234</v>
      </c>
      <c r="R2" s="133" t="s">
        <v>2235</v>
      </c>
      <c r="S2" s="133" t="s">
        <v>2236</v>
      </c>
      <c r="T2" s="133" t="s">
        <v>2237</v>
      </c>
    </row>
    <row r="3" s="118" customFormat="1" spans="1:20">
      <c r="A3" s="125" t="s">
        <v>2238</v>
      </c>
      <c r="B3" s="126"/>
      <c r="C3" s="127" t="s">
        <v>1561</v>
      </c>
      <c r="D3" s="127" t="s">
        <v>1761</v>
      </c>
      <c r="E3" s="127" t="s">
        <v>1762</v>
      </c>
      <c r="F3" s="127" t="s">
        <v>1763</v>
      </c>
      <c r="G3" s="127" t="s">
        <v>288</v>
      </c>
      <c r="H3" s="128"/>
      <c r="I3" s="134" t="s">
        <v>2239</v>
      </c>
      <c r="J3" s="135" t="s">
        <v>2240</v>
      </c>
      <c r="K3" s="135" t="s">
        <v>2241</v>
      </c>
      <c r="L3" s="134" t="s">
        <v>2242</v>
      </c>
      <c r="M3" s="134" t="s">
        <v>2243</v>
      </c>
      <c r="N3" s="134" t="s">
        <v>2244</v>
      </c>
      <c r="O3" s="134" t="s">
        <v>2245</v>
      </c>
      <c r="P3" s="134" t="s">
        <v>2246</v>
      </c>
      <c r="Q3" s="134" t="s">
        <v>2247</v>
      </c>
      <c r="R3" s="134" t="s">
        <v>2248</v>
      </c>
      <c r="S3" s="134" t="s">
        <v>2249</v>
      </c>
      <c r="T3" s="134" t="s">
        <v>2250</v>
      </c>
    </row>
    <row r="4" s="118" customFormat="1" ht="11.55" spans="1:20">
      <c r="A4" s="129"/>
      <c r="B4" s="130" t="s">
        <v>2251</v>
      </c>
      <c r="C4" s="130" t="s">
        <v>2252</v>
      </c>
      <c r="D4" s="130" t="s">
        <v>2252</v>
      </c>
      <c r="E4" s="130" t="s">
        <v>2252</v>
      </c>
      <c r="F4" s="131" t="s">
        <v>2252</v>
      </c>
      <c r="G4" s="131" t="s">
        <v>2252</v>
      </c>
      <c r="H4" s="128"/>
      <c r="I4" s="135" t="s">
        <v>2253</v>
      </c>
      <c r="J4" s="135" t="s">
        <v>2254</v>
      </c>
      <c r="K4" s="135" t="s">
        <v>2255</v>
      </c>
      <c r="L4" s="134" t="s">
        <v>2256</v>
      </c>
      <c r="M4" s="134" t="s">
        <v>2257</v>
      </c>
      <c r="N4" s="134" t="s">
        <v>2258</v>
      </c>
      <c r="O4" s="134" t="s">
        <v>2259</v>
      </c>
      <c r="P4" s="134" t="s">
        <v>2260</v>
      </c>
      <c r="Q4" s="134" t="s">
        <v>2261</v>
      </c>
      <c r="R4" s="134" t="s">
        <v>2262</v>
      </c>
      <c r="S4" s="134" t="s">
        <v>2263</v>
      </c>
      <c r="T4" s="134" t="s">
        <v>2264</v>
      </c>
    </row>
    <row r="5" spans="1:20">
      <c r="A5" s="132" t="s">
        <v>232</v>
      </c>
      <c r="B5" s="133" t="s">
        <v>406</v>
      </c>
      <c r="C5" s="133">
        <v>34550</v>
      </c>
      <c r="D5" s="133">
        <v>34470</v>
      </c>
      <c r="E5" s="133">
        <v>34470</v>
      </c>
      <c r="F5" s="133">
        <v>13400</v>
      </c>
      <c r="G5" s="133">
        <v>25450</v>
      </c>
      <c r="H5" s="128"/>
      <c r="I5" s="134" t="s">
        <v>2265</v>
      </c>
      <c r="J5" s="135" t="s">
        <v>2266</v>
      </c>
      <c r="K5" s="135" t="s">
        <v>2267</v>
      </c>
      <c r="L5" s="134" t="s">
        <v>2268</v>
      </c>
      <c r="M5" s="134" t="s">
        <v>2269</v>
      </c>
      <c r="N5" s="134" t="s">
        <v>2270</v>
      </c>
      <c r="O5" s="134" t="s">
        <v>2271</v>
      </c>
      <c r="P5" s="134" t="s">
        <v>2272</v>
      </c>
      <c r="Q5" s="134" t="s">
        <v>2273</v>
      </c>
      <c r="R5" s="134" t="s">
        <v>2274</v>
      </c>
      <c r="S5" s="134" t="s">
        <v>2275</v>
      </c>
      <c r="T5" s="134" t="s">
        <v>2276</v>
      </c>
    </row>
    <row r="6" ht="11.55" spans="1:20">
      <c r="A6" s="134" t="s">
        <v>232</v>
      </c>
      <c r="B6" s="134" t="s">
        <v>2239</v>
      </c>
      <c r="C6" s="134">
        <v>36990</v>
      </c>
      <c r="D6" s="134">
        <v>36850</v>
      </c>
      <c r="E6" s="134">
        <v>36850</v>
      </c>
      <c r="F6" s="134">
        <v>14590</v>
      </c>
      <c r="G6" s="134">
        <v>27450</v>
      </c>
      <c r="H6" s="128"/>
      <c r="I6" s="137" t="s">
        <v>2277</v>
      </c>
      <c r="J6" s="135" t="s">
        <v>2278</v>
      </c>
      <c r="K6" s="135" t="s">
        <v>2279</v>
      </c>
      <c r="L6" s="134" t="s">
        <v>2280</v>
      </c>
      <c r="M6" s="134" t="s">
        <v>2281</v>
      </c>
      <c r="N6" s="134" t="s">
        <v>2282</v>
      </c>
      <c r="O6" s="134" t="s">
        <v>2283</v>
      </c>
      <c r="P6" s="134" t="s">
        <v>2284</v>
      </c>
      <c r="Q6" s="134" t="s">
        <v>2285</v>
      </c>
      <c r="R6" s="134" t="s">
        <v>2286</v>
      </c>
      <c r="S6" s="134" t="s">
        <v>2287</v>
      </c>
      <c r="T6" s="134" t="s">
        <v>2288</v>
      </c>
    </row>
    <row r="7" spans="1:20">
      <c r="A7" s="134" t="s">
        <v>232</v>
      </c>
      <c r="B7" s="135" t="s">
        <v>2253</v>
      </c>
      <c r="C7" s="134">
        <v>34850</v>
      </c>
      <c r="D7" s="134">
        <v>34690</v>
      </c>
      <c r="E7" s="134">
        <v>34690</v>
      </c>
      <c r="F7" s="134">
        <v>14360</v>
      </c>
      <c r="G7" s="134">
        <v>25620</v>
      </c>
      <c r="H7" s="128"/>
      <c r="J7" s="135" t="s">
        <v>2289</v>
      </c>
      <c r="K7" s="135" t="s">
        <v>2290</v>
      </c>
      <c r="L7" s="134" t="s">
        <v>2291</v>
      </c>
      <c r="M7" s="134" t="s">
        <v>2292</v>
      </c>
      <c r="N7" s="134" t="s">
        <v>2293</v>
      </c>
      <c r="O7" s="134" t="s">
        <v>2294</v>
      </c>
      <c r="P7" s="134" t="s">
        <v>2295</v>
      </c>
      <c r="Q7" s="134" t="s">
        <v>2296</v>
      </c>
      <c r="R7" s="134" t="s">
        <v>2297</v>
      </c>
      <c r="S7" s="134" t="s">
        <v>2298</v>
      </c>
      <c r="T7" s="134" t="s">
        <v>2299</v>
      </c>
    </row>
    <row r="8" ht="11.55" spans="1:20">
      <c r="A8" s="134" t="s">
        <v>232</v>
      </c>
      <c r="B8" s="134" t="s">
        <v>2265</v>
      </c>
      <c r="C8" s="134">
        <v>32630</v>
      </c>
      <c r="D8" s="134">
        <v>32510</v>
      </c>
      <c r="E8" s="134">
        <v>32510</v>
      </c>
      <c r="F8" s="134">
        <v>13300</v>
      </c>
      <c r="G8" s="134">
        <v>24010</v>
      </c>
      <c r="H8" s="128"/>
      <c r="J8" s="135" t="s">
        <v>2300</v>
      </c>
      <c r="K8" s="135" t="s">
        <v>2301</v>
      </c>
      <c r="L8" s="134" t="s">
        <v>2302</v>
      </c>
      <c r="M8" s="134" t="s">
        <v>2303</v>
      </c>
      <c r="N8" s="134" t="s">
        <v>2304</v>
      </c>
      <c r="O8" s="134" t="s">
        <v>2305</v>
      </c>
      <c r="P8" s="134" t="s">
        <v>2306</v>
      </c>
      <c r="Q8" s="134" t="s">
        <v>2307</v>
      </c>
      <c r="R8" s="134" t="s">
        <v>2308</v>
      </c>
      <c r="S8" s="134" t="s">
        <v>2309</v>
      </c>
      <c r="T8" s="138" t="s">
        <v>2310</v>
      </c>
    </row>
    <row r="9" ht="11.55" spans="1:19">
      <c r="A9" s="136" t="s">
        <v>232</v>
      </c>
      <c r="B9" s="137" t="s">
        <v>2277</v>
      </c>
      <c r="C9" s="138">
        <v>36370</v>
      </c>
      <c r="D9" s="138">
        <v>36210</v>
      </c>
      <c r="E9" s="138">
        <v>36210</v>
      </c>
      <c r="F9" s="138"/>
      <c r="G9" s="138">
        <v>26740</v>
      </c>
      <c r="H9" s="128"/>
      <c r="J9" s="135" t="s">
        <v>2311</v>
      </c>
      <c r="K9" s="135" t="s">
        <v>2312</v>
      </c>
      <c r="L9" s="134" t="s">
        <v>2313</v>
      </c>
      <c r="M9" s="134" t="s">
        <v>2314</v>
      </c>
      <c r="N9" s="134" t="s">
        <v>2315</v>
      </c>
      <c r="O9" s="134" t="s">
        <v>2316</v>
      </c>
      <c r="P9" s="134" t="s">
        <v>2317</v>
      </c>
      <c r="Q9" s="134" t="s">
        <v>2318</v>
      </c>
      <c r="R9" s="134" t="s">
        <v>2319</v>
      </c>
      <c r="S9" s="134" t="s">
        <v>2320</v>
      </c>
    </row>
    <row r="10" spans="1:19">
      <c r="A10" s="132" t="s">
        <v>243</v>
      </c>
      <c r="B10" s="133" t="s">
        <v>2227</v>
      </c>
      <c r="C10" s="134">
        <v>32350</v>
      </c>
      <c r="D10" s="134">
        <v>31430</v>
      </c>
      <c r="E10" s="134">
        <v>31320</v>
      </c>
      <c r="F10" s="134">
        <v>10850</v>
      </c>
      <c r="G10" s="134">
        <v>22860</v>
      </c>
      <c r="H10" s="128"/>
      <c r="J10" s="135" t="s">
        <v>2321</v>
      </c>
      <c r="K10" s="135" t="s">
        <v>2322</v>
      </c>
      <c r="L10" s="134" t="s">
        <v>2323</v>
      </c>
      <c r="M10" s="134" t="s">
        <v>2324</v>
      </c>
      <c r="N10" s="134" t="s">
        <v>2325</v>
      </c>
      <c r="O10" s="134" t="s">
        <v>2326</v>
      </c>
      <c r="P10" s="134" t="s">
        <v>2327</v>
      </c>
      <c r="Q10" s="134" t="s">
        <v>2328</v>
      </c>
      <c r="R10" s="134" t="s">
        <v>2329</v>
      </c>
      <c r="S10" s="134" t="s">
        <v>2330</v>
      </c>
    </row>
    <row r="11" spans="1:19">
      <c r="A11" s="134" t="s">
        <v>243</v>
      </c>
      <c r="B11" s="135" t="s">
        <v>2240</v>
      </c>
      <c r="C11" s="134">
        <v>31590</v>
      </c>
      <c r="D11" s="134">
        <v>29490</v>
      </c>
      <c r="E11" s="134">
        <v>28700</v>
      </c>
      <c r="F11" s="134">
        <v>10410</v>
      </c>
      <c r="G11" s="134">
        <v>21460</v>
      </c>
      <c r="H11" s="128"/>
      <c r="J11" s="135" t="s">
        <v>2331</v>
      </c>
      <c r="K11" s="135" t="s">
        <v>2332</v>
      </c>
      <c r="L11" s="134" t="s">
        <v>2333</v>
      </c>
      <c r="M11" s="134" t="s">
        <v>2334</v>
      </c>
      <c r="N11" s="134" t="s">
        <v>2335</v>
      </c>
      <c r="O11" s="134" t="s">
        <v>2336</v>
      </c>
      <c r="P11" s="134" t="s">
        <v>2337</v>
      </c>
      <c r="Q11" s="134" t="s">
        <v>2338</v>
      </c>
      <c r="R11" s="134" t="s">
        <v>2339</v>
      </c>
      <c r="S11" s="134" t="s">
        <v>2340</v>
      </c>
    </row>
    <row r="12" spans="1:19">
      <c r="A12" s="134" t="s">
        <v>243</v>
      </c>
      <c r="B12" s="135" t="s">
        <v>2254</v>
      </c>
      <c r="C12" s="134">
        <v>29640</v>
      </c>
      <c r="D12" s="134">
        <v>27550</v>
      </c>
      <c r="E12" s="134">
        <v>28010</v>
      </c>
      <c r="F12" s="134">
        <v>8730</v>
      </c>
      <c r="G12" s="134">
        <v>20050</v>
      </c>
      <c r="H12" s="128"/>
      <c r="J12" s="135" t="s">
        <v>2341</v>
      </c>
      <c r="K12" s="135" t="s">
        <v>2342</v>
      </c>
      <c r="L12" s="134" t="s">
        <v>2343</v>
      </c>
      <c r="M12" s="134" t="s">
        <v>2344</v>
      </c>
      <c r="N12" s="134" t="s">
        <v>2345</v>
      </c>
      <c r="O12" s="134" t="s">
        <v>2346</v>
      </c>
      <c r="P12" s="134" t="s">
        <v>2347</v>
      </c>
      <c r="Q12" s="134" t="s">
        <v>2348</v>
      </c>
      <c r="R12" s="134" t="s">
        <v>2349</v>
      </c>
      <c r="S12" s="134" t="s">
        <v>2350</v>
      </c>
    </row>
    <row r="13" spans="1:19">
      <c r="A13" s="134" t="s">
        <v>243</v>
      </c>
      <c r="B13" s="135" t="s">
        <v>2266</v>
      </c>
      <c r="C13" s="134">
        <v>29680</v>
      </c>
      <c r="D13" s="134">
        <v>27660</v>
      </c>
      <c r="E13" s="134">
        <v>28210</v>
      </c>
      <c r="F13" s="134">
        <v>9590</v>
      </c>
      <c r="G13" s="134">
        <v>20120</v>
      </c>
      <c r="H13" s="128"/>
      <c r="J13" s="135" t="s">
        <v>2351</v>
      </c>
      <c r="K13" s="135" t="s">
        <v>2352</v>
      </c>
      <c r="L13" s="134" t="s">
        <v>2353</v>
      </c>
      <c r="M13" s="134" t="s">
        <v>2354</v>
      </c>
      <c r="N13" s="134" t="s">
        <v>2355</v>
      </c>
      <c r="O13" s="134" t="s">
        <v>2356</v>
      </c>
      <c r="P13" s="134" t="s">
        <v>2357</v>
      </c>
      <c r="Q13" s="134" t="s">
        <v>2358</v>
      </c>
      <c r="R13" s="134" t="s">
        <v>2359</v>
      </c>
      <c r="S13" s="134" t="s">
        <v>2360</v>
      </c>
    </row>
    <row r="14" spans="1:19">
      <c r="A14" s="134" t="s">
        <v>243</v>
      </c>
      <c r="B14" s="135" t="s">
        <v>2278</v>
      </c>
      <c r="C14" s="134">
        <v>30520</v>
      </c>
      <c r="D14" s="134">
        <v>29510</v>
      </c>
      <c r="E14" s="134">
        <v>29400</v>
      </c>
      <c r="F14" s="134">
        <v>9630</v>
      </c>
      <c r="G14" s="134">
        <v>21480</v>
      </c>
      <c r="H14" s="128"/>
      <c r="J14" s="135" t="s">
        <v>2361</v>
      </c>
      <c r="K14" s="135" t="s">
        <v>2362</v>
      </c>
      <c r="L14" s="134" t="s">
        <v>2363</v>
      </c>
      <c r="M14" s="134" t="s">
        <v>2364</v>
      </c>
      <c r="N14" s="134" t="s">
        <v>2365</v>
      </c>
      <c r="O14" s="134" t="s">
        <v>2366</v>
      </c>
      <c r="P14" s="134" t="s">
        <v>2367</v>
      </c>
      <c r="Q14" s="134" t="s">
        <v>2368</v>
      </c>
      <c r="R14" s="134" t="s">
        <v>2369</v>
      </c>
      <c r="S14" s="134" t="s">
        <v>2370</v>
      </c>
    </row>
    <row r="15" spans="1:19">
      <c r="A15" s="134" t="s">
        <v>243</v>
      </c>
      <c r="B15" s="135" t="s">
        <v>2289</v>
      </c>
      <c r="C15" s="134">
        <v>29090</v>
      </c>
      <c r="D15" s="134">
        <v>27590</v>
      </c>
      <c r="E15" s="134">
        <v>28120</v>
      </c>
      <c r="F15" s="134">
        <v>9110</v>
      </c>
      <c r="G15" s="134">
        <v>20070</v>
      </c>
      <c r="H15" s="128"/>
      <c r="J15" s="135" t="s">
        <v>2371</v>
      </c>
      <c r="K15" s="135" t="s">
        <v>2372</v>
      </c>
      <c r="L15" s="134" t="s">
        <v>2373</v>
      </c>
      <c r="M15" s="134" t="s">
        <v>2374</v>
      </c>
      <c r="N15" s="134" t="s">
        <v>2375</v>
      </c>
      <c r="O15" s="134" t="s">
        <v>2376</v>
      </c>
      <c r="P15" s="134" t="s">
        <v>2377</v>
      </c>
      <c r="Q15" s="134" t="s">
        <v>2378</v>
      </c>
      <c r="R15" s="134" t="s">
        <v>2379</v>
      </c>
      <c r="S15" s="134" t="s">
        <v>2380</v>
      </c>
    </row>
    <row r="16" spans="1:19">
      <c r="A16" s="134" t="s">
        <v>243</v>
      </c>
      <c r="B16" s="135" t="s">
        <v>2300</v>
      </c>
      <c r="C16" s="134">
        <v>26790</v>
      </c>
      <c r="D16" s="134">
        <v>30370</v>
      </c>
      <c r="E16" s="134">
        <v>30240</v>
      </c>
      <c r="F16" s="134">
        <v>11590</v>
      </c>
      <c r="G16" s="134">
        <v>22090</v>
      </c>
      <c r="H16" s="128"/>
      <c r="J16" s="135" t="s">
        <v>2381</v>
      </c>
      <c r="K16" s="135" t="s">
        <v>2382</v>
      </c>
      <c r="L16" s="134" t="s">
        <v>2383</v>
      </c>
      <c r="M16" s="134" t="s">
        <v>2384</v>
      </c>
      <c r="N16" s="134" t="s">
        <v>2385</v>
      </c>
      <c r="O16" s="134" t="s">
        <v>2386</v>
      </c>
      <c r="P16" s="134" t="s">
        <v>2387</v>
      </c>
      <c r="Q16" s="134" t="s">
        <v>2388</v>
      </c>
      <c r="R16" s="134" t="s">
        <v>2389</v>
      </c>
      <c r="S16" s="134" t="s">
        <v>2390</v>
      </c>
    </row>
    <row r="17" spans="1:19">
      <c r="A17" s="134" t="s">
        <v>243</v>
      </c>
      <c r="B17" s="135" t="s">
        <v>2311</v>
      </c>
      <c r="C17" s="134">
        <v>29180</v>
      </c>
      <c r="D17" s="134">
        <v>27620</v>
      </c>
      <c r="E17" s="134">
        <v>28180</v>
      </c>
      <c r="F17" s="134">
        <v>10790</v>
      </c>
      <c r="G17" s="134">
        <v>20090</v>
      </c>
      <c r="H17" s="128"/>
      <c r="J17" s="135" t="s">
        <v>2391</v>
      </c>
      <c r="K17" s="135" t="s">
        <v>2392</v>
      </c>
      <c r="L17" s="134" t="s">
        <v>2393</v>
      </c>
      <c r="M17" s="134" t="s">
        <v>2394</v>
      </c>
      <c r="N17" s="134" t="s">
        <v>2395</v>
      </c>
      <c r="O17" s="134" t="s">
        <v>2396</v>
      </c>
      <c r="P17" s="134" t="s">
        <v>2397</v>
      </c>
      <c r="Q17" s="134" t="s">
        <v>2398</v>
      </c>
      <c r="R17" s="134" t="s">
        <v>2399</v>
      </c>
      <c r="S17" s="134" t="s">
        <v>2400</v>
      </c>
    </row>
    <row r="18" spans="1:19">
      <c r="A18" s="134" t="s">
        <v>243</v>
      </c>
      <c r="B18" s="135" t="s">
        <v>2321</v>
      </c>
      <c r="C18" s="134">
        <v>26840</v>
      </c>
      <c r="D18" s="134">
        <v>28930</v>
      </c>
      <c r="E18" s="134">
        <v>28820</v>
      </c>
      <c r="F18" s="134"/>
      <c r="G18" s="134">
        <v>21050</v>
      </c>
      <c r="H18" s="128"/>
      <c r="J18" s="135" t="s">
        <v>2401</v>
      </c>
      <c r="K18" s="135" t="s">
        <v>2402</v>
      </c>
      <c r="L18" s="134" t="s">
        <v>2403</v>
      </c>
      <c r="M18" s="134" t="s">
        <v>2404</v>
      </c>
      <c r="N18" s="134" t="s">
        <v>2405</v>
      </c>
      <c r="O18" s="134" t="s">
        <v>2406</v>
      </c>
      <c r="P18" s="134" t="s">
        <v>2407</v>
      </c>
      <c r="Q18" s="134" t="s">
        <v>2408</v>
      </c>
      <c r="R18" s="134" t="s">
        <v>2409</v>
      </c>
      <c r="S18" s="134" t="s">
        <v>2410</v>
      </c>
    </row>
    <row r="19" spans="1:19">
      <c r="A19" s="134" t="s">
        <v>243</v>
      </c>
      <c r="B19" s="135" t="s">
        <v>2331</v>
      </c>
      <c r="C19" s="134">
        <v>27750</v>
      </c>
      <c r="D19" s="134">
        <v>26680</v>
      </c>
      <c r="E19" s="134">
        <v>26590</v>
      </c>
      <c r="F19" s="134"/>
      <c r="G19" s="134">
        <v>19420</v>
      </c>
      <c r="H19" s="128"/>
      <c r="J19" s="135" t="s">
        <v>2411</v>
      </c>
      <c r="K19" s="135" t="s">
        <v>2412</v>
      </c>
      <c r="L19" s="134" t="s">
        <v>2413</v>
      </c>
      <c r="M19" s="134" t="s">
        <v>2414</v>
      </c>
      <c r="N19" s="134" t="s">
        <v>2415</v>
      </c>
      <c r="O19" s="134" t="s">
        <v>2416</v>
      </c>
      <c r="P19" s="134" t="s">
        <v>2417</v>
      </c>
      <c r="Q19" s="134" t="s">
        <v>2418</v>
      </c>
      <c r="R19" s="134" t="s">
        <v>2419</v>
      </c>
      <c r="S19" s="134" t="s">
        <v>2420</v>
      </c>
    </row>
    <row r="20" spans="1:19">
      <c r="A20" s="134" t="s">
        <v>243</v>
      </c>
      <c r="B20" s="135" t="s">
        <v>2341</v>
      </c>
      <c r="C20" s="134">
        <v>27050</v>
      </c>
      <c r="D20" s="134">
        <v>29010</v>
      </c>
      <c r="E20" s="134">
        <v>28910</v>
      </c>
      <c r="F20" s="134"/>
      <c r="G20" s="134">
        <v>21110</v>
      </c>
      <c r="J20" s="135" t="s">
        <v>2421</v>
      </c>
      <c r="K20" s="135" t="s">
        <v>2422</v>
      </c>
      <c r="L20" s="134" t="s">
        <v>2423</v>
      </c>
      <c r="M20" s="134" t="s">
        <v>2424</v>
      </c>
      <c r="N20" s="134" t="s">
        <v>2425</v>
      </c>
      <c r="O20" s="134" t="s">
        <v>2426</v>
      </c>
      <c r="P20" s="134" t="s">
        <v>2427</v>
      </c>
      <c r="Q20" s="134" t="s">
        <v>2428</v>
      </c>
      <c r="R20" s="134" t="s">
        <v>2429</v>
      </c>
      <c r="S20" s="134" t="s">
        <v>2430</v>
      </c>
    </row>
    <row r="21" ht="11.55" spans="1:19">
      <c r="A21" s="134" t="s">
        <v>243</v>
      </c>
      <c r="B21" s="135" t="s">
        <v>2351</v>
      </c>
      <c r="C21" s="134">
        <v>32370</v>
      </c>
      <c r="D21" s="134">
        <v>26730</v>
      </c>
      <c r="E21" s="134">
        <v>26640</v>
      </c>
      <c r="F21" s="134"/>
      <c r="G21" s="134">
        <v>19440</v>
      </c>
      <c r="J21" s="138" t="s">
        <v>2431</v>
      </c>
      <c r="K21" s="135" t="s">
        <v>2432</v>
      </c>
      <c r="L21" s="134" t="s">
        <v>2433</v>
      </c>
      <c r="M21" s="134" t="s">
        <v>2434</v>
      </c>
      <c r="N21" s="134" t="s">
        <v>2435</v>
      </c>
      <c r="O21" s="134" t="s">
        <v>2436</v>
      </c>
      <c r="P21" s="134" t="s">
        <v>2437</v>
      </c>
      <c r="Q21" s="134" t="s">
        <v>2438</v>
      </c>
      <c r="R21" s="134" t="s">
        <v>2439</v>
      </c>
      <c r="S21" s="138" t="s">
        <v>2440</v>
      </c>
    </row>
    <row r="22" spans="1:18">
      <c r="A22" s="134" t="s">
        <v>243</v>
      </c>
      <c r="B22" s="135" t="s">
        <v>2361</v>
      </c>
      <c r="C22" s="134">
        <v>29830</v>
      </c>
      <c r="D22" s="134">
        <v>27600</v>
      </c>
      <c r="E22" s="134">
        <v>28150</v>
      </c>
      <c r="F22" s="134"/>
      <c r="G22" s="134">
        <v>20080</v>
      </c>
      <c r="K22" s="135" t="s">
        <v>2441</v>
      </c>
      <c r="L22" s="134" t="s">
        <v>2442</v>
      </c>
      <c r="M22" s="134" t="s">
        <v>2443</v>
      </c>
      <c r="N22" s="134" t="s">
        <v>2444</v>
      </c>
      <c r="O22" s="134" t="s">
        <v>2445</v>
      </c>
      <c r="P22" s="134" t="s">
        <v>2446</v>
      </c>
      <c r="Q22" s="134" t="s">
        <v>2447</v>
      </c>
      <c r="R22" s="134" t="s">
        <v>2448</v>
      </c>
    </row>
    <row r="23" spans="1:18">
      <c r="A23" s="134" t="s">
        <v>243</v>
      </c>
      <c r="B23" s="135" t="s">
        <v>2371</v>
      </c>
      <c r="C23" s="134">
        <v>27800</v>
      </c>
      <c r="D23" s="134">
        <v>26900</v>
      </c>
      <c r="E23" s="134">
        <v>27170</v>
      </c>
      <c r="F23" s="134"/>
      <c r="G23" s="134">
        <v>19570</v>
      </c>
      <c r="K23" s="135" t="s">
        <v>2449</v>
      </c>
      <c r="L23" s="134" t="s">
        <v>2450</v>
      </c>
      <c r="M23" s="134" t="s">
        <v>2451</v>
      </c>
      <c r="N23" s="134" t="s">
        <v>2452</v>
      </c>
      <c r="O23" s="134" t="s">
        <v>2453</v>
      </c>
      <c r="P23" s="134" t="s">
        <v>2454</v>
      </c>
      <c r="Q23" s="134" t="s">
        <v>2455</v>
      </c>
      <c r="R23" s="134" t="s">
        <v>2456</v>
      </c>
    </row>
    <row r="24" spans="1:18">
      <c r="A24" s="134" t="s">
        <v>243</v>
      </c>
      <c r="B24" s="135" t="s">
        <v>2381</v>
      </c>
      <c r="C24" s="134">
        <v>27930</v>
      </c>
      <c r="D24" s="134">
        <v>32260</v>
      </c>
      <c r="E24" s="134">
        <v>32120</v>
      </c>
      <c r="F24" s="134"/>
      <c r="G24" s="134">
        <v>23470</v>
      </c>
      <c r="K24" s="135" t="s">
        <v>2457</v>
      </c>
      <c r="L24" s="134" t="s">
        <v>2458</v>
      </c>
      <c r="M24" s="134" t="s">
        <v>2459</v>
      </c>
      <c r="N24" s="134" t="s">
        <v>2460</v>
      </c>
      <c r="O24" s="134" t="s">
        <v>2461</v>
      </c>
      <c r="P24" s="134" t="s">
        <v>2462</v>
      </c>
      <c r="Q24" s="148" t="s">
        <v>2463</v>
      </c>
      <c r="R24" s="134" t="s">
        <v>2464</v>
      </c>
    </row>
    <row r="25" spans="1:18">
      <c r="A25" s="134" t="s">
        <v>243</v>
      </c>
      <c r="B25" s="135" t="s">
        <v>2391</v>
      </c>
      <c r="C25" s="134">
        <v>32230</v>
      </c>
      <c r="D25" s="134">
        <v>29640</v>
      </c>
      <c r="E25" s="134">
        <v>29510</v>
      </c>
      <c r="F25" s="134"/>
      <c r="G25" s="134">
        <v>21560</v>
      </c>
      <c r="K25" s="135" t="s">
        <v>2465</v>
      </c>
      <c r="L25" s="134" t="s">
        <v>2466</v>
      </c>
      <c r="M25" s="134" t="s">
        <v>2467</v>
      </c>
      <c r="N25" s="134" t="s">
        <v>2468</v>
      </c>
      <c r="O25" s="134" t="s">
        <v>2469</v>
      </c>
      <c r="P25" s="134" t="s">
        <v>2470</v>
      </c>
      <c r="Q25" s="148" t="s">
        <v>2471</v>
      </c>
      <c r="R25" s="134" t="s">
        <v>2472</v>
      </c>
    </row>
    <row r="26" ht="11.55" spans="1:18">
      <c r="A26" s="134" t="s">
        <v>243</v>
      </c>
      <c r="B26" s="135" t="s">
        <v>2401</v>
      </c>
      <c r="C26" s="134">
        <v>31690</v>
      </c>
      <c r="D26" s="134">
        <v>27650</v>
      </c>
      <c r="E26" s="134">
        <v>28200</v>
      </c>
      <c r="F26" s="134"/>
      <c r="G26" s="134">
        <v>20110</v>
      </c>
      <c r="K26" s="137" t="s">
        <v>2473</v>
      </c>
      <c r="L26" s="134" t="s">
        <v>2474</v>
      </c>
      <c r="M26" s="134" t="s">
        <v>2475</v>
      </c>
      <c r="N26" s="134" t="s">
        <v>2476</v>
      </c>
      <c r="O26" s="134" t="s">
        <v>2477</v>
      </c>
      <c r="P26" s="134" t="s">
        <v>2478</v>
      </c>
      <c r="Q26" s="148" t="s">
        <v>2479</v>
      </c>
      <c r="R26" s="134" t="s">
        <v>2480</v>
      </c>
    </row>
    <row r="27" spans="1:18">
      <c r="A27" s="134" t="s">
        <v>243</v>
      </c>
      <c r="B27" s="135" t="s">
        <v>2411</v>
      </c>
      <c r="C27" s="134">
        <v>29610</v>
      </c>
      <c r="D27" s="134">
        <v>27770</v>
      </c>
      <c r="E27" s="134">
        <v>28300</v>
      </c>
      <c r="F27" s="134"/>
      <c r="G27" s="134">
        <v>20210</v>
      </c>
      <c r="L27" s="134" t="s">
        <v>2481</v>
      </c>
      <c r="M27" s="134" t="s">
        <v>2482</v>
      </c>
      <c r="N27" s="134" t="s">
        <v>2483</v>
      </c>
      <c r="O27" s="134" t="s">
        <v>2484</v>
      </c>
      <c r="P27" s="134" t="s">
        <v>2485</v>
      </c>
      <c r="Q27" s="134" t="s">
        <v>2486</v>
      </c>
      <c r="R27" s="134" t="s">
        <v>2487</v>
      </c>
    </row>
    <row r="28" spans="1:18">
      <c r="A28" s="134" t="s">
        <v>243</v>
      </c>
      <c r="B28" s="135" t="s">
        <v>2421</v>
      </c>
      <c r="C28" s="134"/>
      <c r="D28" s="134">
        <v>31520</v>
      </c>
      <c r="E28" s="134">
        <v>31410</v>
      </c>
      <c r="F28" s="134"/>
      <c r="G28" s="134">
        <v>22940</v>
      </c>
      <c r="L28" s="134" t="s">
        <v>2488</v>
      </c>
      <c r="M28" s="134" t="s">
        <v>2489</v>
      </c>
      <c r="N28" s="134" t="s">
        <v>2490</v>
      </c>
      <c r="O28" s="134" t="s">
        <v>2491</v>
      </c>
      <c r="P28" s="134" t="s">
        <v>2492</v>
      </c>
      <c r="Q28" s="134" t="s">
        <v>2493</v>
      </c>
      <c r="R28" s="134" t="s">
        <v>2494</v>
      </c>
    </row>
    <row r="29" ht="11.55" spans="1:18">
      <c r="A29" s="136" t="s">
        <v>243</v>
      </c>
      <c r="B29" s="139" t="s">
        <v>2431</v>
      </c>
      <c r="C29" s="140"/>
      <c r="D29" s="140">
        <v>29460</v>
      </c>
      <c r="E29" s="140">
        <v>28640</v>
      </c>
      <c r="F29" s="140"/>
      <c r="G29" s="140">
        <v>21430</v>
      </c>
      <c r="L29" s="134" t="s">
        <v>2495</v>
      </c>
      <c r="M29" s="134" t="s">
        <v>2496</v>
      </c>
      <c r="N29" s="134" t="s">
        <v>2497</v>
      </c>
      <c r="O29" s="134" t="s">
        <v>2498</v>
      </c>
      <c r="P29" s="134" t="s">
        <v>2499</v>
      </c>
      <c r="Q29" s="134" t="s">
        <v>2500</v>
      </c>
      <c r="R29" s="134" t="s">
        <v>2501</v>
      </c>
    </row>
    <row r="30" spans="1:18">
      <c r="A30" s="132" t="s">
        <v>253</v>
      </c>
      <c r="B30" s="133" t="s">
        <v>2228</v>
      </c>
      <c r="C30" s="133">
        <v>26890</v>
      </c>
      <c r="D30" s="133">
        <v>26770</v>
      </c>
      <c r="E30" s="133">
        <v>25700</v>
      </c>
      <c r="F30" s="133">
        <v>8180</v>
      </c>
      <c r="G30" s="141">
        <v>18740</v>
      </c>
      <c r="L30" s="134" t="s">
        <v>2502</v>
      </c>
      <c r="M30" s="134" t="s">
        <v>2503</v>
      </c>
      <c r="N30" s="134" t="s">
        <v>2504</v>
      </c>
      <c r="O30" s="134" t="s">
        <v>2505</v>
      </c>
      <c r="P30" s="134" t="s">
        <v>2506</v>
      </c>
      <c r="Q30" s="134" t="s">
        <v>2507</v>
      </c>
      <c r="R30" s="134" t="s">
        <v>2508</v>
      </c>
    </row>
    <row r="31" spans="1:18">
      <c r="A31" s="134" t="s">
        <v>253</v>
      </c>
      <c r="B31" s="135" t="s">
        <v>2241</v>
      </c>
      <c r="C31" s="134">
        <v>24550</v>
      </c>
      <c r="D31" s="134">
        <v>23990</v>
      </c>
      <c r="E31" s="134">
        <v>22930</v>
      </c>
      <c r="F31" s="134">
        <v>7470</v>
      </c>
      <c r="G31" s="142">
        <v>16790</v>
      </c>
      <c r="L31" s="134" t="s">
        <v>2509</v>
      </c>
      <c r="M31" s="134" t="s">
        <v>2510</v>
      </c>
      <c r="N31" s="134" t="s">
        <v>2511</v>
      </c>
      <c r="O31" s="134" t="s">
        <v>2512</v>
      </c>
      <c r="P31" s="134" t="s">
        <v>2513</v>
      </c>
      <c r="Q31" s="134" t="s">
        <v>2514</v>
      </c>
      <c r="R31" s="134" t="s">
        <v>2515</v>
      </c>
    </row>
    <row r="32" ht="11.55" spans="1:18">
      <c r="A32" s="134" t="s">
        <v>253</v>
      </c>
      <c r="B32" s="135" t="s">
        <v>2255</v>
      </c>
      <c r="C32" s="134">
        <v>27210</v>
      </c>
      <c r="D32" s="134">
        <v>23240</v>
      </c>
      <c r="E32" s="134">
        <v>23260</v>
      </c>
      <c r="F32" s="134">
        <v>7130</v>
      </c>
      <c r="G32" s="142">
        <v>16270</v>
      </c>
      <c r="L32" s="134" t="s">
        <v>2516</v>
      </c>
      <c r="M32" s="134" t="s">
        <v>2517</v>
      </c>
      <c r="N32" s="134" t="s">
        <v>2518</v>
      </c>
      <c r="O32" s="134" t="s">
        <v>2519</v>
      </c>
      <c r="P32" s="134" t="s">
        <v>2520</v>
      </c>
      <c r="Q32" s="134" t="s">
        <v>2521</v>
      </c>
      <c r="R32" s="138" t="s">
        <v>2522</v>
      </c>
    </row>
    <row r="33" ht="11.55" spans="1:17">
      <c r="A33" s="134" t="s">
        <v>253</v>
      </c>
      <c r="B33" s="135" t="s">
        <v>2267</v>
      </c>
      <c r="C33" s="134">
        <v>27300</v>
      </c>
      <c r="D33" s="134">
        <v>22980</v>
      </c>
      <c r="E33" s="134">
        <v>24260</v>
      </c>
      <c r="F33" s="134">
        <v>5860</v>
      </c>
      <c r="G33" s="142">
        <v>16090</v>
      </c>
      <c r="L33" s="138" t="s">
        <v>2523</v>
      </c>
      <c r="M33" s="134" t="s">
        <v>2524</v>
      </c>
      <c r="N33" s="134" t="s">
        <v>2525</v>
      </c>
      <c r="O33" s="134" t="s">
        <v>2526</v>
      </c>
      <c r="P33" s="134" t="s">
        <v>2527</v>
      </c>
      <c r="Q33" s="134" t="s">
        <v>2528</v>
      </c>
    </row>
    <row r="34" spans="1:17">
      <c r="A34" s="134" t="s">
        <v>253</v>
      </c>
      <c r="B34" s="135" t="s">
        <v>2279</v>
      </c>
      <c r="C34" s="134">
        <v>23090</v>
      </c>
      <c r="D34" s="134">
        <v>23390</v>
      </c>
      <c r="E34" s="134">
        <v>23510</v>
      </c>
      <c r="F34" s="134">
        <v>6700</v>
      </c>
      <c r="G34" s="142">
        <v>16370</v>
      </c>
      <c r="M34" s="134" t="s">
        <v>2529</v>
      </c>
      <c r="N34" s="134" t="s">
        <v>2530</v>
      </c>
      <c r="O34" s="134" t="s">
        <v>2531</v>
      </c>
      <c r="P34" s="134" t="s">
        <v>2532</v>
      </c>
      <c r="Q34" s="134" t="s">
        <v>2533</v>
      </c>
    </row>
    <row r="35" spans="1:17">
      <c r="A35" s="134" t="s">
        <v>253</v>
      </c>
      <c r="B35" s="135" t="s">
        <v>2290</v>
      </c>
      <c r="C35" s="134">
        <v>27270</v>
      </c>
      <c r="D35" s="134">
        <v>24270</v>
      </c>
      <c r="E35" s="134">
        <v>24950</v>
      </c>
      <c r="F35" s="134">
        <v>6600</v>
      </c>
      <c r="G35" s="142">
        <v>16990</v>
      </c>
      <c r="M35" s="134" t="s">
        <v>2534</v>
      </c>
      <c r="N35" s="134" t="s">
        <v>2535</v>
      </c>
      <c r="O35" s="134" t="s">
        <v>2536</v>
      </c>
      <c r="P35" s="134" t="s">
        <v>2537</v>
      </c>
      <c r="Q35" s="134" t="s">
        <v>2538</v>
      </c>
    </row>
    <row r="36" spans="1:17">
      <c r="A36" s="134" t="s">
        <v>253</v>
      </c>
      <c r="B36" s="135" t="s">
        <v>2301</v>
      </c>
      <c r="C36" s="134">
        <v>23490</v>
      </c>
      <c r="D36" s="134">
        <v>23020</v>
      </c>
      <c r="E36" s="134">
        <v>25230</v>
      </c>
      <c r="F36" s="134">
        <v>6780</v>
      </c>
      <c r="G36" s="142">
        <v>16120</v>
      </c>
      <c r="M36" s="134" t="s">
        <v>2539</v>
      </c>
      <c r="N36" s="134" t="s">
        <v>2540</v>
      </c>
      <c r="O36" s="134" t="s">
        <v>2541</v>
      </c>
      <c r="P36" s="134" t="s">
        <v>2542</v>
      </c>
      <c r="Q36" s="134" t="s">
        <v>2543</v>
      </c>
    </row>
    <row r="37" spans="1:17">
      <c r="A37" s="134" t="s">
        <v>253</v>
      </c>
      <c r="B37" s="135" t="s">
        <v>2312</v>
      </c>
      <c r="C37" s="134">
        <v>24380</v>
      </c>
      <c r="D37" s="134">
        <v>22240</v>
      </c>
      <c r="E37" s="134">
        <v>25980</v>
      </c>
      <c r="F37" s="134">
        <v>8160</v>
      </c>
      <c r="G37" s="142">
        <v>15570</v>
      </c>
      <c r="M37" s="134" t="s">
        <v>2544</v>
      </c>
      <c r="N37" s="134" t="s">
        <v>2545</v>
      </c>
      <c r="O37" s="134" t="s">
        <v>2546</v>
      </c>
      <c r="P37" s="134" t="s">
        <v>2547</v>
      </c>
      <c r="Q37" s="134" t="s">
        <v>2548</v>
      </c>
    </row>
    <row r="38" spans="1:17">
      <c r="A38" s="134" t="s">
        <v>253</v>
      </c>
      <c r="B38" s="135" t="s">
        <v>2322</v>
      </c>
      <c r="C38" s="134">
        <v>23120</v>
      </c>
      <c r="D38" s="134">
        <v>24630</v>
      </c>
      <c r="E38" s="134">
        <v>25030</v>
      </c>
      <c r="F38" s="134">
        <v>7710</v>
      </c>
      <c r="G38" s="142">
        <v>17240</v>
      </c>
      <c r="M38" s="134" t="s">
        <v>2549</v>
      </c>
      <c r="N38" s="134" t="s">
        <v>2550</v>
      </c>
      <c r="O38" s="134" t="s">
        <v>2551</v>
      </c>
      <c r="P38" s="134" t="s">
        <v>2552</v>
      </c>
      <c r="Q38" s="134" t="s">
        <v>2553</v>
      </c>
    </row>
    <row r="39" spans="1:17">
      <c r="A39" s="134" t="s">
        <v>253</v>
      </c>
      <c r="B39" s="135" t="s">
        <v>2332</v>
      </c>
      <c r="C39" s="134">
        <v>22330</v>
      </c>
      <c r="D39" s="134">
        <v>21140</v>
      </c>
      <c r="E39" s="134">
        <v>23970</v>
      </c>
      <c r="F39" s="134">
        <v>7940</v>
      </c>
      <c r="G39" s="142">
        <v>14790</v>
      </c>
      <c r="M39" s="134" t="s">
        <v>2554</v>
      </c>
      <c r="N39" s="134" t="s">
        <v>2555</v>
      </c>
      <c r="O39" s="134" t="s">
        <v>2556</v>
      </c>
      <c r="P39" s="134" t="s">
        <v>2557</v>
      </c>
      <c r="Q39" s="134" t="s">
        <v>2558</v>
      </c>
    </row>
    <row r="40" spans="1:17">
      <c r="A40" s="134" t="s">
        <v>253</v>
      </c>
      <c r="B40" s="135" t="s">
        <v>2342</v>
      </c>
      <c r="C40" s="134">
        <v>24740</v>
      </c>
      <c r="D40" s="134">
        <v>24690</v>
      </c>
      <c r="E40" s="134">
        <v>22610</v>
      </c>
      <c r="F40" s="134"/>
      <c r="G40" s="142">
        <v>17280</v>
      </c>
      <c r="M40" s="134" t="s">
        <v>2559</v>
      </c>
      <c r="N40" s="134" t="s">
        <v>2560</v>
      </c>
      <c r="O40" s="134" t="s">
        <v>2561</v>
      </c>
      <c r="P40" s="134" t="s">
        <v>2562</v>
      </c>
      <c r="Q40" s="134" t="s">
        <v>2563</v>
      </c>
    </row>
    <row r="41" ht="11.55" spans="1:17">
      <c r="A41" s="134" t="s">
        <v>253</v>
      </c>
      <c r="B41" s="135" t="s">
        <v>2352</v>
      </c>
      <c r="C41" s="134">
        <v>21220</v>
      </c>
      <c r="D41" s="134">
        <v>21120</v>
      </c>
      <c r="E41" s="134">
        <v>22590</v>
      </c>
      <c r="F41" s="134"/>
      <c r="G41" s="142">
        <v>14780</v>
      </c>
      <c r="M41" s="138" t="s">
        <v>2564</v>
      </c>
      <c r="N41" s="134" t="s">
        <v>2565</v>
      </c>
      <c r="O41" s="134" t="s">
        <v>2566</v>
      </c>
      <c r="P41" s="134" t="s">
        <v>2567</v>
      </c>
      <c r="Q41" s="134" t="s">
        <v>2568</v>
      </c>
    </row>
    <row r="42" spans="1:17">
      <c r="A42" s="134" t="s">
        <v>253</v>
      </c>
      <c r="B42" s="135" t="s">
        <v>2362</v>
      </c>
      <c r="C42" s="134">
        <v>24800</v>
      </c>
      <c r="D42" s="134">
        <v>22280</v>
      </c>
      <c r="E42" s="134">
        <v>24350</v>
      </c>
      <c r="F42" s="134"/>
      <c r="G42" s="142">
        <v>15590</v>
      </c>
      <c r="N42" s="134" t="s">
        <v>2569</v>
      </c>
      <c r="O42" s="134" t="s">
        <v>2570</v>
      </c>
      <c r="P42" s="134" t="s">
        <v>2571</v>
      </c>
      <c r="Q42" s="134" t="s">
        <v>2572</v>
      </c>
    </row>
    <row r="43" spans="1:17">
      <c r="A43" s="134" t="s">
        <v>253</v>
      </c>
      <c r="B43" s="135" t="s">
        <v>2372</v>
      </c>
      <c r="C43" s="134">
        <v>21210</v>
      </c>
      <c r="D43" s="134">
        <v>21160</v>
      </c>
      <c r="E43" s="134">
        <v>22650</v>
      </c>
      <c r="F43" s="134"/>
      <c r="G43" s="142">
        <v>14800</v>
      </c>
      <c r="N43" s="134" t="s">
        <v>2573</v>
      </c>
      <c r="O43" s="134" t="s">
        <v>2574</v>
      </c>
      <c r="P43" s="134" t="s">
        <v>2575</v>
      </c>
      <c r="Q43" s="134" t="s">
        <v>2576</v>
      </c>
    </row>
    <row r="44" ht="11.55" spans="1:17">
      <c r="A44" s="134" t="s">
        <v>253</v>
      </c>
      <c r="B44" s="135" t="s">
        <v>2382</v>
      </c>
      <c r="C44" s="134">
        <v>22370</v>
      </c>
      <c r="D44" s="134">
        <v>23140</v>
      </c>
      <c r="E44" s="134">
        <v>25090</v>
      </c>
      <c r="F44" s="134"/>
      <c r="G44" s="142">
        <v>16190</v>
      </c>
      <c r="N44" s="134" t="s">
        <v>2577</v>
      </c>
      <c r="O44" s="134" t="s">
        <v>2578</v>
      </c>
      <c r="P44" s="138" t="s">
        <v>2579</v>
      </c>
      <c r="Q44" s="134" t="s">
        <v>2580</v>
      </c>
    </row>
    <row r="45" ht="11.55" spans="1:17">
      <c r="A45" s="134" t="s">
        <v>253</v>
      </c>
      <c r="B45" s="135" t="s">
        <v>2392</v>
      </c>
      <c r="C45" s="134">
        <v>21240</v>
      </c>
      <c r="D45" s="134">
        <v>27050</v>
      </c>
      <c r="E45" s="134">
        <v>28000</v>
      </c>
      <c r="F45" s="134"/>
      <c r="G45" s="142">
        <v>18940</v>
      </c>
      <c r="N45" s="134" t="s">
        <v>2581</v>
      </c>
      <c r="O45" s="138" t="s">
        <v>2582</v>
      </c>
      <c r="Q45" s="134" t="s">
        <v>2583</v>
      </c>
    </row>
    <row r="46" spans="1:17">
      <c r="A46" s="134" t="s">
        <v>253</v>
      </c>
      <c r="B46" s="135" t="s">
        <v>2402</v>
      </c>
      <c r="C46" s="134">
        <v>23240</v>
      </c>
      <c r="D46" s="134">
        <v>23000</v>
      </c>
      <c r="E46" s="134">
        <v>24980</v>
      </c>
      <c r="F46" s="134"/>
      <c r="G46" s="142">
        <v>16100</v>
      </c>
      <c r="N46" s="134" t="s">
        <v>2584</v>
      </c>
      <c r="Q46" s="134" t="s">
        <v>2585</v>
      </c>
    </row>
    <row r="47" spans="1:17">
      <c r="A47" s="134" t="s">
        <v>253</v>
      </c>
      <c r="B47" s="135" t="s">
        <v>2412</v>
      </c>
      <c r="C47" s="134">
        <v>27150</v>
      </c>
      <c r="D47" s="134">
        <v>23310</v>
      </c>
      <c r="E47" s="134">
        <v>25150</v>
      </c>
      <c r="F47" s="134"/>
      <c r="G47" s="142">
        <v>16310</v>
      </c>
      <c r="N47" s="134" t="s">
        <v>2586</v>
      </c>
      <c r="Q47" s="134" t="s">
        <v>2587</v>
      </c>
    </row>
    <row r="48" spans="1:17">
      <c r="A48" s="134" t="s">
        <v>253</v>
      </c>
      <c r="B48" s="135" t="s">
        <v>2422</v>
      </c>
      <c r="C48" s="134">
        <v>23100</v>
      </c>
      <c r="D48" s="134">
        <v>21110</v>
      </c>
      <c r="E48" s="134">
        <v>23080</v>
      </c>
      <c r="F48" s="134"/>
      <c r="G48" s="142">
        <v>14780</v>
      </c>
      <c r="N48" s="134" t="s">
        <v>2588</v>
      </c>
      <c r="Q48" s="134" t="s">
        <v>2589</v>
      </c>
    </row>
    <row r="49" spans="1:17">
      <c r="A49" s="134" t="s">
        <v>253</v>
      </c>
      <c r="B49" s="135" t="s">
        <v>2432</v>
      </c>
      <c r="C49" s="134">
        <v>23400</v>
      </c>
      <c r="D49" s="134">
        <v>22920</v>
      </c>
      <c r="E49" s="134">
        <v>24900</v>
      </c>
      <c r="F49" s="134"/>
      <c r="G49" s="142">
        <v>16040</v>
      </c>
      <c r="N49" s="134" t="s">
        <v>2590</v>
      </c>
      <c r="Q49" s="134" t="s">
        <v>2591</v>
      </c>
    </row>
    <row r="50" spans="1:17">
      <c r="A50" s="134" t="s">
        <v>253</v>
      </c>
      <c r="B50" s="135" t="s">
        <v>2441</v>
      </c>
      <c r="C50" s="134">
        <v>21200</v>
      </c>
      <c r="D50" s="134">
        <v>26540</v>
      </c>
      <c r="E50" s="134">
        <v>23200</v>
      </c>
      <c r="F50" s="134"/>
      <c r="G50" s="142">
        <v>18580</v>
      </c>
      <c r="N50" s="134" t="s">
        <v>2592</v>
      </c>
      <c r="Q50" s="135" t="s">
        <v>2593</v>
      </c>
    </row>
    <row r="51" ht="11.55" spans="1:17">
      <c r="A51" s="134" t="s">
        <v>253</v>
      </c>
      <c r="B51" s="135" t="s">
        <v>2449</v>
      </c>
      <c r="C51" s="134">
        <v>23000</v>
      </c>
      <c r="D51" s="134">
        <v>23460</v>
      </c>
      <c r="E51" s="134">
        <v>25290</v>
      </c>
      <c r="F51" s="134"/>
      <c r="G51" s="142">
        <v>16420</v>
      </c>
      <c r="N51" s="134" t="s">
        <v>2594</v>
      </c>
      <c r="Q51" s="138" t="s">
        <v>2595</v>
      </c>
    </row>
    <row r="52" spans="1:14">
      <c r="A52" s="134" t="s">
        <v>253</v>
      </c>
      <c r="B52" s="135" t="s">
        <v>2457</v>
      </c>
      <c r="C52" s="134">
        <v>26660</v>
      </c>
      <c r="D52" s="134">
        <v>22350</v>
      </c>
      <c r="E52" s="134">
        <v>22920</v>
      </c>
      <c r="F52" s="134"/>
      <c r="G52" s="142">
        <v>15640</v>
      </c>
      <c r="N52" s="134" t="s">
        <v>2596</v>
      </c>
    </row>
    <row r="53" spans="1:14">
      <c r="A53" s="134" t="s">
        <v>253</v>
      </c>
      <c r="B53" s="135" t="s">
        <v>2465</v>
      </c>
      <c r="C53" s="134">
        <v>23580</v>
      </c>
      <c r="D53" s="134"/>
      <c r="E53" s="134">
        <v>24280</v>
      </c>
      <c r="F53" s="134"/>
      <c r="G53" s="142"/>
      <c r="N53" s="134" t="s">
        <v>2597</v>
      </c>
    </row>
    <row r="54" ht="11.55" spans="1:14">
      <c r="A54" s="143" t="s">
        <v>253</v>
      </c>
      <c r="B54" s="137" t="s">
        <v>2473</v>
      </c>
      <c r="C54" s="138">
        <v>22460</v>
      </c>
      <c r="D54" s="138"/>
      <c r="E54" s="138"/>
      <c r="F54" s="138"/>
      <c r="G54" s="144"/>
      <c r="N54" s="134" t="s">
        <v>2598</v>
      </c>
    </row>
    <row r="55" spans="1:14">
      <c r="A55" s="132" t="s">
        <v>261</v>
      </c>
      <c r="B55" s="133" t="s">
        <v>2229</v>
      </c>
      <c r="C55" s="134">
        <v>21970</v>
      </c>
      <c r="D55" s="134">
        <v>20370</v>
      </c>
      <c r="E55" s="134">
        <v>20180</v>
      </c>
      <c r="F55" s="134">
        <v>5730</v>
      </c>
      <c r="G55" s="134">
        <v>13820</v>
      </c>
      <c r="N55" s="134" t="s">
        <v>2599</v>
      </c>
    </row>
    <row r="56" spans="1:14">
      <c r="A56" s="134" t="s">
        <v>261</v>
      </c>
      <c r="B56" s="134" t="s">
        <v>2242</v>
      </c>
      <c r="C56" s="134">
        <v>20470</v>
      </c>
      <c r="D56" s="134">
        <v>20700</v>
      </c>
      <c r="E56" s="134">
        <v>20380</v>
      </c>
      <c r="F56" s="134">
        <v>4760</v>
      </c>
      <c r="G56" s="134">
        <v>14050</v>
      </c>
      <c r="N56" s="134" t="s">
        <v>2600</v>
      </c>
    </row>
    <row r="57" spans="1:14">
      <c r="A57" s="134" t="s">
        <v>261</v>
      </c>
      <c r="B57" s="134" t="s">
        <v>2256</v>
      </c>
      <c r="C57" s="134">
        <v>20790</v>
      </c>
      <c r="D57" s="134">
        <v>21370</v>
      </c>
      <c r="E57" s="134">
        <v>20890</v>
      </c>
      <c r="F57" s="134">
        <v>4910</v>
      </c>
      <c r="G57" s="134">
        <v>14510</v>
      </c>
      <c r="N57" s="134" t="s">
        <v>2601</v>
      </c>
    </row>
    <row r="58" spans="1:14">
      <c r="A58" s="134" t="s">
        <v>261</v>
      </c>
      <c r="B58" s="134" t="s">
        <v>2268</v>
      </c>
      <c r="C58" s="134">
        <v>21460</v>
      </c>
      <c r="D58" s="134">
        <v>20920</v>
      </c>
      <c r="E58" s="134">
        <v>23410</v>
      </c>
      <c r="F58" s="134">
        <v>5100</v>
      </c>
      <c r="G58" s="134">
        <v>14200</v>
      </c>
      <c r="N58" s="134" t="s">
        <v>2602</v>
      </c>
    </row>
    <row r="59" spans="1:14">
      <c r="A59" s="134" t="s">
        <v>261</v>
      </c>
      <c r="B59" s="134" t="s">
        <v>2280</v>
      </c>
      <c r="C59" s="134">
        <v>21000</v>
      </c>
      <c r="D59" s="134">
        <v>21550</v>
      </c>
      <c r="E59" s="134">
        <v>21150</v>
      </c>
      <c r="F59" s="134">
        <v>5250</v>
      </c>
      <c r="G59" s="134">
        <v>14630</v>
      </c>
      <c r="N59" s="134" t="s">
        <v>2603</v>
      </c>
    </row>
    <row r="60" spans="1:14">
      <c r="A60" s="134" t="s">
        <v>261</v>
      </c>
      <c r="B60" s="134" t="s">
        <v>2291</v>
      </c>
      <c r="C60" s="134">
        <v>21640</v>
      </c>
      <c r="D60" s="134">
        <v>21260</v>
      </c>
      <c r="E60" s="134">
        <v>24040</v>
      </c>
      <c r="F60" s="134">
        <v>4470</v>
      </c>
      <c r="G60" s="134">
        <v>14430</v>
      </c>
      <c r="N60" s="134" t="s">
        <v>2604</v>
      </c>
    </row>
    <row r="61" spans="1:14">
      <c r="A61" s="134" t="s">
        <v>261</v>
      </c>
      <c r="B61" s="134" t="s">
        <v>2302</v>
      </c>
      <c r="C61" s="134">
        <v>21330</v>
      </c>
      <c r="D61" s="134">
        <v>18640</v>
      </c>
      <c r="E61" s="134">
        <v>21190</v>
      </c>
      <c r="F61" s="134">
        <v>4180</v>
      </c>
      <c r="G61" s="134">
        <v>12650</v>
      </c>
      <c r="N61" s="134" t="s">
        <v>2605</v>
      </c>
    </row>
    <row r="62" spans="1:14">
      <c r="A62" s="134" t="s">
        <v>261</v>
      </c>
      <c r="B62" s="134" t="s">
        <v>2313</v>
      </c>
      <c r="C62" s="134">
        <v>18710</v>
      </c>
      <c r="D62" s="134">
        <v>19400</v>
      </c>
      <c r="E62" s="134">
        <v>23750</v>
      </c>
      <c r="F62" s="134">
        <v>4860</v>
      </c>
      <c r="G62" s="134">
        <v>13170</v>
      </c>
      <c r="N62" s="134" t="s">
        <v>2606</v>
      </c>
    </row>
    <row r="63" spans="1:14">
      <c r="A63" s="134" t="s">
        <v>261</v>
      </c>
      <c r="B63" s="134" t="s">
        <v>2323</v>
      </c>
      <c r="C63" s="134">
        <v>19480</v>
      </c>
      <c r="D63" s="134">
        <v>16830</v>
      </c>
      <c r="E63" s="134">
        <v>21590</v>
      </c>
      <c r="F63" s="134">
        <v>4560</v>
      </c>
      <c r="G63" s="134">
        <v>11420</v>
      </c>
      <c r="N63" s="134" t="s">
        <v>2607</v>
      </c>
    </row>
    <row r="64" ht="11.55" spans="1:14">
      <c r="A64" s="134" t="s">
        <v>261</v>
      </c>
      <c r="B64" s="134" t="s">
        <v>2333</v>
      </c>
      <c r="C64" s="134">
        <v>16920</v>
      </c>
      <c r="D64" s="134">
        <v>19190</v>
      </c>
      <c r="E64" s="134">
        <v>22200</v>
      </c>
      <c r="F64" s="134">
        <v>4390</v>
      </c>
      <c r="G64" s="134">
        <v>13030</v>
      </c>
      <c r="N64" s="138" t="s">
        <v>2608</v>
      </c>
    </row>
    <row r="65" s="119" customFormat="1" spans="1:7">
      <c r="A65" s="134" t="s">
        <v>261</v>
      </c>
      <c r="B65" s="134" t="s">
        <v>2343</v>
      </c>
      <c r="C65" s="134">
        <v>19290</v>
      </c>
      <c r="D65" s="134">
        <v>17020</v>
      </c>
      <c r="E65" s="134">
        <v>19880</v>
      </c>
      <c r="F65" s="134">
        <v>4070</v>
      </c>
      <c r="G65" s="134">
        <v>11550</v>
      </c>
    </row>
    <row r="66" s="119" customFormat="1" spans="1:7">
      <c r="A66" s="134" t="s">
        <v>261</v>
      </c>
      <c r="B66" s="134" t="s">
        <v>2353</v>
      </c>
      <c r="C66" s="134">
        <v>17090</v>
      </c>
      <c r="D66" s="134">
        <v>18340</v>
      </c>
      <c r="E66" s="134">
        <v>21830</v>
      </c>
      <c r="F66" s="134">
        <v>4690</v>
      </c>
      <c r="G66" s="134">
        <v>12450</v>
      </c>
    </row>
    <row r="67" s="119" customFormat="1" spans="1:7">
      <c r="A67" s="134" t="s">
        <v>261</v>
      </c>
      <c r="B67" s="134" t="s">
        <v>2363</v>
      </c>
      <c r="C67" s="134">
        <v>18420</v>
      </c>
      <c r="D67" s="134">
        <v>16360</v>
      </c>
      <c r="E67" s="134">
        <v>20020</v>
      </c>
      <c r="F67" s="134">
        <v>5150</v>
      </c>
      <c r="G67" s="134">
        <v>11110</v>
      </c>
    </row>
    <row r="68" s="119" customFormat="1" spans="1:7">
      <c r="A68" s="134" t="s">
        <v>261</v>
      </c>
      <c r="B68" s="134" t="s">
        <v>2373</v>
      </c>
      <c r="C68" s="134">
        <v>16450</v>
      </c>
      <c r="D68" s="134">
        <v>18430</v>
      </c>
      <c r="E68" s="134">
        <v>21010</v>
      </c>
      <c r="F68" s="134">
        <v>4720</v>
      </c>
      <c r="G68" s="134">
        <v>12510</v>
      </c>
    </row>
    <row r="69" s="119" customFormat="1" spans="1:7">
      <c r="A69" s="134" t="s">
        <v>261</v>
      </c>
      <c r="B69" s="134" t="s">
        <v>2383</v>
      </c>
      <c r="C69" s="134">
        <v>18510</v>
      </c>
      <c r="D69" s="134">
        <v>16300</v>
      </c>
      <c r="E69" s="134">
        <v>18830</v>
      </c>
      <c r="F69" s="134">
        <v>5400</v>
      </c>
      <c r="G69" s="134">
        <v>11070</v>
      </c>
    </row>
    <row r="70" s="119" customFormat="1" spans="1:7">
      <c r="A70" s="134" t="s">
        <v>261</v>
      </c>
      <c r="B70" s="134" t="s">
        <v>2393</v>
      </c>
      <c r="C70" s="134">
        <v>16370</v>
      </c>
      <c r="D70" s="134">
        <v>18620</v>
      </c>
      <c r="E70" s="134">
        <v>21100</v>
      </c>
      <c r="F70" s="134">
        <v>5700</v>
      </c>
      <c r="G70" s="134">
        <v>12640</v>
      </c>
    </row>
    <row r="71" s="119" customFormat="1" spans="1:7">
      <c r="A71" s="134" t="s">
        <v>261</v>
      </c>
      <c r="B71" s="134" t="s">
        <v>2403</v>
      </c>
      <c r="C71" s="134">
        <v>18700</v>
      </c>
      <c r="D71" s="134">
        <v>16290</v>
      </c>
      <c r="E71" s="134">
        <v>18760</v>
      </c>
      <c r="F71" s="134">
        <v>4780</v>
      </c>
      <c r="G71" s="134">
        <v>11050</v>
      </c>
    </row>
    <row r="72" s="119" customFormat="1" spans="1:7">
      <c r="A72" s="134" t="s">
        <v>261</v>
      </c>
      <c r="B72" s="134" t="s">
        <v>2413</v>
      </c>
      <c r="C72" s="134">
        <v>16340</v>
      </c>
      <c r="D72" s="134">
        <v>17520</v>
      </c>
      <c r="E72" s="134">
        <v>21170</v>
      </c>
      <c r="F72" s="134"/>
      <c r="G72" s="134">
        <v>11900</v>
      </c>
    </row>
    <row r="73" s="119" customFormat="1" spans="1:7">
      <c r="A73" s="134" t="s">
        <v>261</v>
      </c>
      <c r="B73" s="134" t="s">
        <v>2423</v>
      </c>
      <c r="C73" s="134">
        <v>17610</v>
      </c>
      <c r="D73" s="134">
        <v>18520</v>
      </c>
      <c r="E73" s="134">
        <v>18720</v>
      </c>
      <c r="F73" s="134"/>
      <c r="G73" s="134">
        <v>12570</v>
      </c>
    </row>
    <row r="74" s="119" customFormat="1" spans="1:7">
      <c r="A74" s="134" t="s">
        <v>261</v>
      </c>
      <c r="B74" s="134" t="s">
        <v>2433</v>
      </c>
      <c r="C74" s="134">
        <v>18600</v>
      </c>
      <c r="D74" s="134">
        <v>16480</v>
      </c>
      <c r="E74" s="134">
        <v>20100</v>
      </c>
      <c r="F74" s="134"/>
      <c r="G74" s="134">
        <v>11190</v>
      </c>
    </row>
    <row r="75" s="119" customFormat="1" spans="1:7">
      <c r="A75" s="134" t="s">
        <v>261</v>
      </c>
      <c r="B75" s="134" t="s">
        <v>2442</v>
      </c>
      <c r="C75" s="134">
        <v>16570</v>
      </c>
      <c r="D75" s="134">
        <v>17530</v>
      </c>
      <c r="E75" s="134">
        <v>21030</v>
      </c>
      <c r="F75" s="134"/>
      <c r="G75" s="134">
        <v>11900</v>
      </c>
    </row>
    <row r="76" s="119" customFormat="1" spans="1:7">
      <c r="A76" s="134" t="s">
        <v>261</v>
      </c>
      <c r="B76" s="134" t="s">
        <v>2450</v>
      </c>
      <c r="C76" s="134">
        <v>17610</v>
      </c>
      <c r="D76" s="134">
        <v>20800</v>
      </c>
      <c r="E76" s="134">
        <v>18920</v>
      </c>
      <c r="F76" s="134"/>
      <c r="G76" s="134">
        <v>14120</v>
      </c>
    </row>
    <row r="77" s="119" customFormat="1" spans="1:7">
      <c r="A77" s="134" t="s">
        <v>261</v>
      </c>
      <c r="B77" s="134" t="s">
        <v>2458</v>
      </c>
      <c r="C77" s="134">
        <v>20890</v>
      </c>
      <c r="D77" s="134">
        <v>19740</v>
      </c>
      <c r="E77" s="134">
        <v>20110</v>
      </c>
      <c r="F77" s="134"/>
      <c r="G77" s="134">
        <v>13400</v>
      </c>
    </row>
    <row r="78" s="119" customFormat="1" spans="1:7">
      <c r="A78" s="134" t="s">
        <v>261</v>
      </c>
      <c r="B78" s="134" t="s">
        <v>2466</v>
      </c>
      <c r="C78" s="134">
        <v>19820</v>
      </c>
      <c r="D78" s="134">
        <v>19780</v>
      </c>
      <c r="E78" s="134">
        <v>18560</v>
      </c>
      <c r="F78" s="134"/>
      <c r="G78" s="134">
        <v>13430</v>
      </c>
    </row>
    <row r="79" s="119" customFormat="1" spans="1:7">
      <c r="A79" s="134" t="s">
        <v>261</v>
      </c>
      <c r="B79" s="134" t="s">
        <v>2474</v>
      </c>
      <c r="C79" s="134">
        <v>21660</v>
      </c>
      <c r="D79" s="134">
        <v>18000</v>
      </c>
      <c r="E79" s="134">
        <v>22570</v>
      </c>
      <c r="F79" s="134"/>
      <c r="G79" s="134">
        <v>12220</v>
      </c>
    </row>
    <row r="80" s="119" customFormat="1" spans="1:7">
      <c r="A80" s="134" t="s">
        <v>261</v>
      </c>
      <c r="B80" s="134" t="s">
        <v>2481</v>
      </c>
      <c r="C80" s="134">
        <v>19850</v>
      </c>
      <c r="D80" s="134"/>
      <c r="E80" s="134">
        <v>21700</v>
      </c>
      <c r="F80" s="134"/>
      <c r="G80" s="134"/>
    </row>
    <row r="81" s="119" customFormat="1" spans="1:7">
      <c r="A81" s="134" t="s">
        <v>261</v>
      </c>
      <c r="B81" s="134" t="s">
        <v>2488</v>
      </c>
      <c r="C81" s="134">
        <v>18080</v>
      </c>
      <c r="D81" s="134"/>
      <c r="E81" s="134">
        <v>20900</v>
      </c>
      <c r="F81" s="134"/>
      <c r="G81" s="134"/>
    </row>
    <row r="82" s="119" customFormat="1" spans="1:7">
      <c r="A82" s="134" t="s">
        <v>261</v>
      </c>
      <c r="B82" s="134" t="s">
        <v>2495</v>
      </c>
      <c r="C82" s="134"/>
      <c r="D82" s="134"/>
      <c r="E82" s="134">
        <v>20840</v>
      </c>
      <c r="F82" s="134"/>
      <c r="G82" s="134"/>
    </row>
    <row r="83" s="119" customFormat="1" spans="1:7">
      <c r="A83" s="134" t="s">
        <v>261</v>
      </c>
      <c r="B83" s="134" t="s">
        <v>2502</v>
      </c>
      <c r="C83" s="134"/>
      <c r="D83" s="134"/>
      <c r="E83" s="134"/>
      <c r="F83" s="134">
        <v>4770</v>
      </c>
      <c r="G83" s="134"/>
    </row>
    <row r="84" s="119" customFormat="1" spans="1:7">
      <c r="A84" s="134" t="s">
        <v>261</v>
      </c>
      <c r="B84" s="134" t="s">
        <v>2509</v>
      </c>
      <c r="C84" s="134"/>
      <c r="D84" s="134"/>
      <c r="E84" s="134"/>
      <c r="F84" s="134">
        <v>4600</v>
      </c>
      <c r="G84" s="134"/>
    </row>
    <row r="85" s="119" customFormat="1" spans="1:7">
      <c r="A85" s="134" t="s">
        <v>261</v>
      </c>
      <c r="B85" s="134" t="s">
        <v>2516</v>
      </c>
      <c r="C85" s="134"/>
      <c r="D85" s="134"/>
      <c r="E85" s="134"/>
      <c r="F85" s="134">
        <v>4680</v>
      </c>
      <c r="G85" s="134"/>
    </row>
    <row r="86" s="119" customFormat="1" ht="11.55" spans="1:7">
      <c r="A86" s="136" t="s">
        <v>261</v>
      </c>
      <c r="B86" s="139" t="s">
        <v>2523</v>
      </c>
      <c r="C86" s="140">
        <v>16610</v>
      </c>
      <c r="D86" s="140">
        <v>16540</v>
      </c>
      <c r="E86" s="140">
        <v>18850</v>
      </c>
      <c r="F86" s="140"/>
      <c r="G86" s="140">
        <v>11220</v>
      </c>
    </row>
    <row r="87" s="119" customFormat="1" spans="1:7">
      <c r="A87" s="132" t="s">
        <v>269</v>
      </c>
      <c r="B87" s="133" t="s">
        <v>2230</v>
      </c>
      <c r="C87" s="133">
        <v>15240</v>
      </c>
      <c r="D87" s="133">
        <v>15170</v>
      </c>
      <c r="E87" s="133">
        <v>18260</v>
      </c>
      <c r="F87" s="133">
        <v>3830</v>
      </c>
      <c r="G87" s="141">
        <v>10020</v>
      </c>
    </row>
    <row r="88" s="119" customFormat="1" spans="1:7">
      <c r="A88" s="134" t="s">
        <v>269</v>
      </c>
      <c r="B88" s="134" t="s">
        <v>2243</v>
      </c>
      <c r="C88" s="134">
        <v>17310</v>
      </c>
      <c r="D88" s="134">
        <v>17220</v>
      </c>
      <c r="E88" s="134">
        <v>18610</v>
      </c>
      <c r="F88" s="134">
        <v>3990</v>
      </c>
      <c r="G88" s="142">
        <v>11380</v>
      </c>
    </row>
    <row r="89" s="119" customFormat="1" spans="1:7">
      <c r="A89" s="134" t="s">
        <v>269</v>
      </c>
      <c r="B89" s="134" t="s">
        <v>2257</v>
      </c>
      <c r="C89" s="134">
        <v>15600</v>
      </c>
      <c r="D89" s="134">
        <v>15550</v>
      </c>
      <c r="E89" s="134">
        <v>19200</v>
      </c>
      <c r="F89" s="134">
        <v>4110</v>
      </c>
      <c r="G89" s="142">
        <v>10270</v>
      </c>
    </row>
    <row r="90" s="119" customFormat="1" spans="1:7">
      <c r="A90" s="134" t="s">
        <v>269</v>
      </c>
      <c r="B90" s="134" t="s">
        <v>2269</v>
      </c>
      <c r="C90" s="134">
        <v>17330</v>
      </c>
      <c r="D90" s="134">
        <v>17240</v>
      </c>
      <c r="E90" s="134">
        <v>18570</v>
      </c>
      <c r="F90" s="134">
        <v>4070</v>
      </c>
      <c r="G90" s="142">
        <v>11390</v>
      </c>
    </row>
    <row r="91" s="119" customFormat="1" spans="1:7">
      <c r="A91" s="134" t="s">
        <v>269</v>
      </c>
      <c r="B91" s="134" t="s">
        <v>2281</v>
      </c>
      <c r="C91" s="134">
        <v>16330</v>
      </c>
      <c r="D91" s="134">
        <v>16260</v>
      </c>
      <c r="E91" s="134">
        <v>16800</v>
      </c>
      <c r="F91" s="134">
        <v>3410</v>
      </c>
      <c r="G91" s="142">
        <v>10740</v>
      </c>
    </row>
    <row r="92" s="119" customFormat="1" spans="1:7">
      <c r="A92" s="134" t="s">
        <v>269</v>
      </c>
      <c r="B92" s="134" t="s">
        <v>2292</v>
      </c>
      <c r="C92" s="134">
        <v>15570</v>
      </c>
      <c r="D92" s="134">
        <v>15500</v>
      </c>
      <c r="E92" s="134">
        <v>17360</v>
      </c>
      <c r="F92" s="134">
        <v>3510</v>
      </c>
      <c r="G92" s="142">
        <v>10240</v>
      </c>
    </row>
    <row r="93" s="119" customFormat="1" spans="1:7">
      <c r="A93" s="134" t="s">
        <v>269</v>
      </c>
      <c r="B93" s="134" t="s">
        <v>2303</v>
      </c>
      <c r="C93" s="134">
        <v>14000</v>
      </c>
      <c r="D93" s="134">
        <v>13930</v>
      </c>
      <c r="E93" s="134">
        <v>18200</v>
      </c>
      <c r="F93" s="134">
        <v>3640</v>
      </c>
      <c r="G93" s="142">
        <v>9210</v>
      </c>
    </row>
    <row r="94" s="119" customFormat="1" spans="1:7">
      <c r="A94" s="134" t="s">
        <v>269</v>
      </c>
      <c r="B94" s="134" t="s">
        <v>2314</v>
      </c>
      <c r="C94" s="134">
        <v>14530</v>
      </c>
      <c r="D94" s="134">
        <v>14470</v>
      </c>
      <c r="E94" s="134">
        <v>18240</v>
      </c>
      <c r="F94" s="134">
        <v>3180</v>
      </c>
      <c r="G94" s="142">
        <v>9560</v>
      </c>
    </row>
    <row r="95" s="119" customFormat="1" spans="1:7">
      <c r="A95" s="134" t="s">
        <v>269</v>
      </c>
      <c r="B95" s="134" t="s">
        <v>2324</v>
      </c>
      <c r="C95" s="134">
        <v>17330</v>
      </c>
      <c r="D95" s="134">
        <v>17260</v>
      </c>
      <c r="E95" s="134">
        <v>18420</v>
      </c>
      <c r="F95" s="134">
        <v>3060</v>
      </c>
      <c r="G95" s="142">
        <v>11410</v>
      </c>
    </row>
    <row r="96" s="119" customFormat="1" spans="1:7">
      <c r="A96" s="134" t="s">
        <v>269</v>
      </c>
      <c r="B96" s="134" t="s">
        <v>2334</v>
      </c>
      <c r="C96" s="134">
        <v>15030</v>
      </c>
      <c r="D96" s="134">
        <v>14970</v>
      </c>
      <c r="E96" s="134">
        <v>17580</v>
      </c>
      <c r="F96" s="134">
        <v>2970</v>
      </c>
      <c r="G96" s="142">
        <v>9890</v>
      </c>
    </row>
    <row r="97" s="119" customFormat="1" spans="1:7">
      <c r="A97" s="134" t="s">
        <v>269</v>
      </c>
      <c r="B97" s="134" t="s">
        <v>2344</v>
      </c>
      <c r="C97" s="134">
        <v>17400</v>
      </c>
      <c r="D97" s="134">
        <v>17330</v>
      </c>
      <c r="E97" s="134">
        <v>16430</v>
      </c>
      <c r="F97" s="134">
        <v>2950</v>
      </c>
      <c r="G97" s="142">
        <v>11450</v>
      </c>
    </row>
    <row r="98" s="119" customFormat="1" spans="1:7">
      <c r="A98" s="134" t="s">
        <v>269</v>
      </c>
      <c r="B98" s="134" t="s">
        <v>2354</v>
      </c>
      <c r="C98" s="134">
        <v>15200</v>
      </c>
      <c r="D98" s="134">
        <v>15120</v>
      </c>
      <c r="E98" s="134">
        <v>17550</v>
      </c>
      <c r="F98" s="134">
        <v>3080</v>
      </c>
      <c r="G98" s="142">
        <v>9990</v>
      </c>
    </row>
    <row r="99" s="119" customFormat="1" spans="1:7">
      <c r="A99" s="134" t="s">
        <v>269</v>
      </c>
      <c r="B99" s="134" t="s">
        <v>2364</v>
      </c>
      <c r="C99" s="134">
        <v>17520</v>
      </c>
      <c r="D99" s="134">
        <v>17430</v>
      </c>
      <c r="E99" s="134">
        <v>16350</v>
      </c>
      <c r="F99" s="134">
        <v>3260</v>
      </c>
      <c r="G99" s="142">
        <v>11510</v>
      </c>
    </row>
    <row r="100" s="119" customFormat="1" spans="1:7">
      <c r="A100" s="134" t="s">
        <v>269</v>
      </c>
      <c r="B100" s="134" t="s">
        <v>2374</v>
      </c>
      <c r="C100" s="134">
        <v>15340</v>
      </c>
      <c r="D100" s="134">
        <v>15260</v>
      </c>
      <c r="E100" s="134">
        <v>15930</v>
      </c>
      <c r="F100" s="134">
        <v>2740</v>
      </c>
      <c r="G100" s="142">
        <v>10080</v>
      </c>
    </row>
    <row r="101" s="119" customFormat="1" spans="1:7">
      <c r="A101" s="134" t="s">
        <v>269</v>
      </c>
      <c r="B101" s="134" t="s">
        <v>2384</v>
      </c>
      <c r="C101" s="134">
        <v>14620</v>
      </c>
      <c r="D101" s="134">
        <v>14560</v>
      </c>
      <c r="E101" s="134">
        <v>15570</v>
      </c>
      <c r="F101" s="134">
        <v>3500</v>
      </c>
      <c r="G101" s="142">
        <v>9630</v>
      </c>
    </row>
    <row r="102" s="119" customFormat="1" spans="1:7">
      <c r="A102" s="134" t="s">
        <v>269</v>
      </c>
      <c r="B102" s="134" t="s">
        <v>2394</v>
      </c>
      <c r="C102" s="134">
        <v>13680</v>
      </c>
      <c r="D102" s="134">
        <v>13610</v>
      </c>
      <c r="E102" s="134">
        <v>15690</v>
      </c>
      <c r="F102" s="134">
        <v>2870</v>
      </c>
      <c r="G102" s="142">
        <v>8990</v>
      </c>
    </row>
    <row r="103" s="119" customFormat="1" spans="1:7">
      <c r="A103" s="134" t="s">
        <v>269</v>
      </c>
      <c r="B103" s="134" t="s">
        <v>2404</v>
      </c>
      <c r="C103" s="134">
        <v>14620</v>
      </c>
      <c r="D103" s="134">
        <v>14540</v>
      </c>
      <c r="E103" s="134">
        <v>15240</v>
      </c>
      <c r="F103" s="134">
        <v>2840</v>
      </c>
      <c r="G103" s="142">
        <v>9610</v>
      </c>
    </row>
    <row r="104" s="119" customFormat="1" spans="1:7">
      <c r="A104" s="134" t="s">
        <v>269</v>
      </c>
      <c r="B104" s="134" t="s">
        <v>2414</v>
      </c>
      <c r="C104" s="134">
        <v>13610</v>
      </c>
      <c r="D104" s="134">
        <v>13540</v>
      </c>
      <c r="E104" s="134">
        <v>15750</v>
      </c>
      <c r="F104" s="134">
        <v>2770</v>
      </c>
      <c r="G104" s="142">
        <v>8940</v>
      </c>
    </row>
    <row r="105" s="119" customFormat="1" spans="1:7">
      <c r="A105" s="134" t="s">
        <v>269</v>
      </c>
      <c r="B105" s="134" t="s">
        <v>2424</v>
      </c>
      <c r="C105" s="134">
        <v>13310</v>
      </c>
      <c r="D105" s="134">
        <v>13240</v>
      </c>
      <c r="E105" s="134">
        <v>16280</v>
      </c>
      <c r="F105" s="134">
        <v>3210</v>
      </c>
      <c r="G105" s="142">
        <v>8750</v>
      </c>
    </row>
    <row r="106" s="119" customFormat="1" spans="1:7">
      <c r="A106" s="134" t="s">
        <v>269</v>
      </c>
      <c r="B106" s="134" t="s">
        <v>2434</v>
      </c>
      <c r="C106" s="134">
        <v>13010</v>
      </c>
      <c r="D106" s="134">
        <v>12930</v>
      </c>
      <c r="E106" s="134">
        <v>14960</v>
      </c>
      <c r="F106" s="134">
        <v>3530</v>
      </c>
      <c r="G106" s="142">
        <v>8550</v>
      </c>
    </row>
    <row r="107" s="119" customFormat="1" spans="1:7">
      <c r="A107" s="134" t="s">
        <v>269</v>
      </c>
      <c r="B107" s="134" t="s">
        <v>2443</v>
      </c>
      <c r="C107" s="134">
        <v>13070</v>
      </c>
      <c r="D107" s="134">
        <v>13000</v>
      </c>
      <c r="E107" s="134">
        <v>15910</v>
      </c>
      <c r="F107" s="134">
        <v>3990</v>
      </c>
      <c r="G107" s="142">
        <v>8580</v>
      </c>
    </row>
    <row r="108" s="119" customFormat="1" spans="1:7">
      <c r="A108" s="134" t="s">
        <v>269</v>
      </c>
      <c r="B108" s="134" t="s">
        <v>2451</v>
      </c>
      <c r="C108" s="134">
        <v>12640</v>
      </c>
      <c r="D108" s="134">
        <v>12580</v>
      </c>
      <c r="E108" s="134">
        <v>15730</v>
      </c>
      <c r="F108" s="134"/>
      <c r="G108" s="142">
        <v>8310</v>
      </c>
    </row>
    <row r="109" s="119" customFormat="1" spans="1:7">
      <c r="A109" s="134" t="s">
        <v>269</v>
      </c>
      <c r="B109" s="134" t="s">
        <v>2459</v>
      </c>
      <c r="C109" s="134">
        <v>13130</v>
      </c>
      <c r="D109" s="134">
        <v>13070</v>
      </c>
      <c r="E109" s="134">
        <v>15000</v>
      </c>
      <c r="F109" s="134"/>
      <c r="G109" s="142">
        <v>8630</v>
      </c>
    </row>
    <row r="110" s="119" customFormat="1" spans="1:7">
      <c r="A110" s="134" t="s">
        <v>269</v>
      </c>
      <c r="B110" s="134" t="s">
        <v>2467</v>
      </c>
      <c r="C110" s="134">
        <v>13560</v>
      </c>
      <c r="D110" s="134">
        <v>13490</v>
      </c>
      <c r="E110" s="134">
        <v>16300</v>
      </c>
      <c r="F110" s="134"/>
      <c r="G110" s="142">
        <v>8920</v>
      </c>
    </row>
    <row r="111" s="119" customFormat="1" spans="1:7">
      <c r="A111" s="134" t="s">
        <v>269</v>
      </c>
      <c r="B111" s="134" t="s">
        <v>2475</v>
      </c>
      <c r="C111" s="134">
        <v>12440</v>
      </c>
      <c r="D111" s="134">
        <v>12380</v>
      </c>
      <c r="E111" s="134">
        <v>17850</v>
      </c>
      <c r="F111" s="134"/>
      <c r="G111" s="142">
        <v>8180</v>
      </c>
    </row>
    <row r="112" s="119" customFormat="1" spans="1:7">
      <c r="A112" s="134" t="s">
        <v>269</v>
      </c>
      <c r="B112" s="134" t="s">
        <v>2482</v>
      </c>
      <c r="C112" s="134">
        <v>13260</v>
      </c>
      <c r="D112" s="134">
        <v>13180</v>
      </c>
      <c r="E112" s="134">
        <v>19740</v>
      </c>
      <c r="F112" s="134"/>
      <c r="G112" s="142">
        <v>8710</v>
      </c>
    </row>
    <row r="113" s="119" customFormat="1" spans="1:7">
      <c r="A113" s="134" t="s">
        <v>269</v>
      </c>
      <c r="B113" s="134" t="s">
        <v>2489</v>
      </c>
      <c r="C113" s="134">
        <v>15520</v>
      </c>
      <c r="D113" s="134">
        <v>15450</v>
      </c>
      <c r="E113" s="134"/>
      <c r="F113" s="134"/>
      <c r="G113" s="142">
        <v>10210</v>
      </c>
    </row>
    <row r="114" s="119" customFormat="1" spans="1:7">
      <c r="A114" s="134" t="s">
        <v>269</v>
      </c>
      <c r="B114" s="134" t="s">
        <v>2496</v>
      </c>
      <c r="C114" s="134">
        <v>13110</v>
      </c>
      <c r="D114" s="134">
        <v>13050</v>
      </c>
      <c r="E114" s="134"/>
      <c r="F114" s="134"/>
      <c r="G114" s="142">
        <v>8620</v>
      </c>
    </row>
    <row r="115" s="119" customFormat="1" spans="1:7">
      <c r="A115" s="134" t="s">
        <v>269</v>
      </c>
      <c r="B115" s="134" t="s">
        <v>2503</v>
      </c>
      <c r="C115" s="134">
        <v>12460</v>
      </c>
      <c r="D115" s="134">
        <v>12390</v>
      </c>
      <c r="E115" s="134"/>
      <c r="F115" s="134"/>
      <c r="G115" s="142">
        <v>8190</v>
      </c>
    </row>
    <row r="116" s="119" customFormat="1" spans="1:7">
      <c r="A116" s="134" t="s">
        <v>269</v>
      </c>
      <c r="B116" s="134" t="s">
        <v>2510</v>
      </c>
      <c r="C116" s="134">
        <v>13580</v>
      </c>
      <c r="D116" s="134">
        <v>13520</v>
      </c>
      <c r="E116" s="134"/>
      <c r="F116" s="134"/>
      <c r="G116" s="142">
        <v>8930</v>
      </c>
    </row>
    <row r="117" s="119" customFormat="1" spans="1:7">
      <c r="A117" s="134" t="s">
        <v>269</v>
      </c>
      <c r="B117" s="134" t="s">
        <v>2517</v>
      </c>
      <c r="C117" s="134">
        <v>17120</v>
      </c>
      <c r="D117" s="134">
        <v>17040</v>
      </c>
      <c r="E117" s="134"/>
      <c r="F117" s="134"/>
      <c r="G117" s="142">
        <v>11260</v>
      </c>
    </row>
    <row r="118" s="119" customFormat="1" spans="1:7">
      <c r="A118" s="134" t="s">
        <v>269</v>
      </c>
      <c r="B118" s="134" t="s">
        <v>2524</v>
      </c>
      <c r="C118" s="134">
        <v>14860</v>
      </c>
      <c r="D118" s="134">
        <v>14790</v>
      </c>
      <c r="E118" s="134"/>
      <c r="F118" s="134"/>
      <c r="G118" s="142">
        <v>9780</v>
      </c>
    </row>
    <row r="119" s="119" customFormat="1" spans="1:7">
      <c r="A119" s="134" t="s">
        <v>269</v>
      </c>
      <c r="B119" s="134" t="s">
        <v>2529</v>
      </c>
      <c r="C119" s="134">
        <v>16470</v>
      </c>
      <c r="D119" s="134">
        <v>16400</v>
      </c>
      <c r="E119" s="134"/>
      <c r="F119" s="134"/>
      <c r="G119" s="142">
        <v>10840</v>
      </c>
    </row>
    <row r="120" s="119" customFormat="1" spans="1:7">
      <c r="A120" s="134" t="s">
        <v>269</v>
      </c>
      <c r="B120" s="134" t="s">
        <v>2534</v>
      </c>
      <c r="C120" s="134"/>
      <c r="D120" s="134"/>
      <c r="E120" s="134"/>
      <c r="F120" s="134">
        <v>4160</v>
      </c>
      <c r="G120" s="142"/>
    </row>
    <row r="121" s="119" customFormat="1" spans="1:7">
      <c r="A121" s="134" t="s">
        <v>269</v>
      </c>
      <c r="B121" s="134" t="s">
        <v>2539</v>
      </c>
      <c r="C121" s="134"/>
      <c r="D121" s="134"/>
      <c r="E121" s="134"/>
      <c r="F121" s="134">
        <v>3880</v>
      </c>
      <c r="G121" s="142"/>
    </row>
    <row r="122" s="119" customFormat="1" spans="1:7">
      <c r="A122" s="134" t="s">
        <v>269</v>
      </c>
      <c r="B122" s="134" t="s">
        <v>2544</v>
      </c>
      <c r="C122" s="134">
        <v>13750</v>
      </c>
      <c r="D122" s="134">
        <v>13680</v>
      </c>
      <c r="E122" s="134">
        <v>16460</v>
      </c>
      <c r="F122" s="134">
        <v>2880</v>
      </c>
      <c r="G122" s="142">
        <v>9040</v>
      </c>
    </row>
    <row r="123" s="119" customFormat="1" spans="1:7">
      <c r="A123" s="134" t="s">
        <v>269</v>
      </c>
      <c r="B123" s="134" t="s">
        <v>2549</v>
      </c>
      <c r="C123" s="134">
        <v>13590</v>
      </c>
      <c r="D123" s="134">
        <v>13520</v>
      </c>
      <c r="E123" s="134">
        <v>16290</v>
      </c>
      <c r="F123" s="134">
        <v>2790</v>
      </c>
      <c r="G123" s="142">
        <v>8930</v>
      </c>
    </row>
    <row r="124" s="119" customFormat="1" spans="1:7">
      <c r="A124" s="134" t="s">
        <v>269</v>
      </c>
      <c r="B124" s="134" t="s">
        <v>2554</v>
      </c>
      <c r="C124" s="134">
        <v>13400</v>
      </c>
      <c r="D124" s="134">
        <v>13320</v>
      </c>
      <c r="E124" s="134">
        <v>16100</v>
      </c>
      <c r="F124" s="134">
        <v>2320</v>
      </c>
      <c r="G124" s="142">
        <v>8800</v>
      </c>
    </row>
    <row r="125" s="119" customFormat="1" spans="1:7">
      <c r="A125" s="134" t="s">
        <v>269</v>
      </c>
      <c r="B125" s="134" t="s">
        <v>2559</v>
      </c>
      <c r="C125" s="134">
        <v>12860</v>
      </c>
      <c r="D125" s="134">
        <v>12790</v>
      </c>
      <c r="E125" s="134">
        <v>15370</v>
      </c>
      <c r="F125" s="134">
        <v>2280</v>
      </c>
      <c r="G125" s="142">
        <v>8450</v>
      </c>
    </row>
    <row r="126" s="119" customFormat="1" ht="11.55" spans="1:7">
      <c r="A126" s="143" t="s">
        <v>269</v>
      </c>
      <c r="B126" s="138" t="s">
        <v>2564</v>
      </c>
      <c r="C126" s="138">
        <v>12960</v>
      </c>
      <c r="D126" s="138">
        <v>12890</v>
      </c>
      <c r="E126" s="138">
        <v>15530</v>
      </c>
      <c r="F126" s="138">
        <v>2910</v>
      </c>
      <c r="G126" s="144">
        <v>8520</v>
      </c>
    </row>
    <row r="127" s="119" customFormat="1" spans="1:7">
      <c r="A127" s="132" t="s">
        <v>275</v>
      </c>
      <c r="B127" s="133" t="s">
        <v>2231</v>
      </c>
      <c r="C127" s="134">
        <v>12280</v>
      </c>
      <c r="D127" s="134">
        <v>12250</v>
      </c>
      <c r="E127" s="134">
        <v>15130</v>
      </c>
      <c r="F127" s="134">
        <v>2710</v>
      </c>
      <c r="G127" s="134">
        <v>7870</v>
      </c>
    </row>
    <row r="128" s="119" customFormat="1" spans="1:7">
      <c r="A128" s="134" t="s">
        <v>275</v>
      </c>
      <c r="B128" s="134" t="s">
        <v>2244</v>
      </c>
      <c r="C128" s="134">
        <v>13180</v>
      </c>
      <c r="D128" s="134">
        <v>13150</v>
      </c>
      <c r="E128" s="134">
        <v>16190</v>
      </c>
      <c r="F128" s="134">
        <v>2820</v>
      </c>
      <c r="G128" s="134">
        <v>8460</v>
      </c>
    </row>
    <row r="129" s="119" customFormat="1" spans="1:7">
      <c r="A129" s="134" t="s">
        <v>275</v>
      </c>
      <c r="B129" s="134" t="s">
        <v>2258</v>
      </c>
      <c r="C129" s="134">
        <v>10950</v>
      </c>
      <c r="D129" s="134">
        <v>10920</v>
      </c>
      <c r="E129" s="134">
        <v>13820</v>
      </c>
      <c r="F129" s="134">
        <v>2500</v>
      </c>
      <c r="G129" s="134">
        <v>7020</v>
      </c>
    </row>
    <row r="130" s="119" customFormat="1" spans="1:7">
      <c r="A130" s="134" t="s">
        <v>275</v>
      </c>
      <c r="B130" s="134" t="s">
        <v>2270</v>
      </c>
      <c r="C130" s="134">
        <v>10910</v>
      </c>
      <c r="D130" s="134">
        <v>10860</v>
      </c>
      <c r="E130" s="134">
        <v>13730</v>
      </c>
      <c r="F130" s="134">
        <v>2760</v>
      </c>
      <c r="G130" s="134">
        <v>6990</v>
      </c>
    </row>
    <row r="131" s="119" customFormat="1" spans="1:7">
      <c r="A131" s="134" t="s">
        <v>275</v>
      </c>
      <c r="B131" s="134" t="s">
        <v>2282</v>
      </c>
      <c r="C131" s="134">
        <v>12910</v>
      </c>
      <c r="D131" s="134">
        <v>12870</v>
      </c>
      <c r="E131" s="134">
        <v>15720</v>
      </c>
      <c r="F131" s="134">
        <v>2750</v>
      </c>
      <c r="G131" s="134">
        <v>8280</v>
      </c>
    </row>
    <row r="132" s="119" customFormat="1" spans="1:7">
      <c r="A132" s="134" t="s">
        <v>275</v>
      </c>
      <c r="B132" s="134" t="s">
        <v>2293</v>
      </c>
      <c r="C132" s="134">
        <v>11910</v>
      </c>
      <c r="D132" s="134">
        <v>11860</v>
      </c>
      <c r="E132" s="134">
        <v>14730</v>
      </c>
      <c r="F132" s="134">
        <v>2360</v>
      </c>
      <c r="G132" s="134">
        <v>7630</v>
      </c>
    </row>
    <row r="133" s="119" customFormat="1" spans="1:7">
      <c r="A133" s="134" t="s">
        <v>275</v>
      </c>
      <c r="B133" s="134" t="s">
        <v>2304</v>
      </c>
      <c r="C133" s="134">
        <v>12270</v>
      </c>
      <c r="D133" s="134">
        <v>12210</v>
      </c>
      <c r="E133" s="134">
        <v>15010</v>
      </c>
      <c r="F133" s="134">
        <v>2580</v>
      </c>
      <c r="G133" s="134">
        <v>7860</v>
      </c>
    </row>
    <row r="134" s="119" customFormat="1" spans="1:7">
      <c r="A134" s="134" t="s">
        <v>275</v>
      </c>
      <c r="B134" s="134" t="s">
        <v>2315</v>
      </c>
      <c r="C134" s="134">
        <v>10800</v>
      </c>
      <c r="D134" s="134">
        <v>10780</v>
      </c>
      <c r="E134" s="134">
        <v>13640</v>
      </c>
      <c r="F134" s="134">
        <v>2110</v>
      </c>
      <c r="G134" s="134">
        <v>6930</v>
      </c>
    </row>
    <row r="135" s="119" customFormat="1" spans="1:7">
      <c r="A135" s="134" t="s">
        <v>275</v>
      </c>
      <c r="B135" s="134" t="s">
        <v>2325</v>
      </c>
      <c r="C135" s="134">
        <v>10430</v>
      </c>
      <c r="D135" s="134">
        <v>10390</v>
      </c>
      <c r="E135" s="134">
        <v>13140</v>
      </c>
      <c r="F135" s="134">
        <v>2240</v>
      </c>
      <c r="G135" s="134">
        <v>6680</v>
      </c>
    </row>
    <row r="136" s="119" customFormat="1" spans="1:7">
      <c r="A136" s="134" t="s">
        <v>275</v>
      </c>
      <c r="B136" s="134" t="s">
        <v>2335</v>
      </c>
      <c r="C136" s="134">
        <v>11930</v>
      </c>
      <c r="D136" s="134">
        <v>11880</v>
      </c>
      <c r="E136" s="134">
        <v>14770</v>
      </c>
      <c r="F136" s="134">
        <v>1970</v>
      </c>
      <c r="G136" s="134">
        <v>7640</v>
      </c>
    </row>
    <row r="137" s="119" customFormat="1" spans="1:7">
      <c r="A137" s="134" t="s">
        <v>275</v>
      </c>
      <c r="B137" s="134" t="s">
        <v>2345</v>
      </c>
      <c r="C137" s="134">
        <v>10470</v>
      </c>
      <c r="D137" s="134">
        <v>10430</v>
      </c>
      <c r="E137" s="134">
        <v>13190</v>
      </c>
      <c r="F137" s="134">
        <v>1990</v>
      </c>
      <c r="G137" s="134">
        <v>6710</v>
      </c>
    </row>
    <row r="138" s="119" customFormat="1" spans="1:7">
      <c r="A138" s="134" t="s">
        <v>275</v>
      </c>
      <c r="B138" s="134" t="s">
        <v>2355</v>
      </c>
      <c r="C138" s="134">
        <v>10410</v>
      </c>
      <c r="D138" s="134">
        <v>10380</v>
      </c>
      <c r="E138" s="134">
        <v>13130</v>
      </c>
      <c r="F138" s="134">
        <v>2030</v>
      </c>
      <c r="G138" s="134">
        <v>6680</v>
      </c>
    </row>
    <row r="139" s="119" customFormat="1" spans="1:7">
      <c r="A139" s="134" t="s">
        <v>275</v>
      </c>
      <c r="B139" s="134" t="s">
        <v>2365</v>
      </c>
      <c r="C139" s="134">
        <v>9460</v>
      </c>
      <c r="D139" s="134">
        <v>9410</v>
      </c>
      <c r="E139" s="134">
        <v>12050</v>
      </c>
      <c r="F139" s="134">
        <v>2140</v>
      </c>
      <c r="G139" s="134">
        <v>6050</v>
      </c>
    </row>
    <row r="140" s="119" customFormat="1" spans="1:7">
      <c r="A140" s="134" t="s">
        <v>275</v>
      </c>
      <c r="B140" s="134" t="s">
        <v>2375</v>
      </c>
      <c r="C140" s="134">
        <v>11030</v>
      </c>
      <c r="D140" s="134">
        <v>10980</v>
      </c>
      <c r="E140" s="134">
        <v>13880</v>
      </c>
      <c r="F140" s="134">
        <v>2210</v>
      </c>
      <c r="G140" s="134">
        <v>7060</v>
      </c>
    </row>
    <row r="141" s="119" customFormat="1" spans="1:7">
      <c r="A141" s="134" t="s">
        <v>275</v>
      </c>
      <c r="B141" s="134" t="s">
        <v>2385</v>
      </c>
      <c r="C141" s="134">
        <v>11200</v>
      </c>
      <c r="D141" s="134">
        <v>11150</v>
      </c>
      <c r="E141" s="134">
        <v>14100</v>
      </c>
      <c r="F141" s="134">
        <v>2470</v>
      </c>
      <c r="G141" s="134">
        <v>7170</v>
      </c>
    </row>
    <row r="142" s="119" customFormat="1" spans="1:7">
      <c r="A142" s="134" t="s">
        <v>275</v>
      </c>
      <c r="B142" s="134" t="s">
        <v>2395</v>
      </c>
      <c r="C142" s="134">
        <v>10780</v>
      </c>
      <c r="D142" s="134">
        <v>10730</v>
      </c>
      <c r="E142" s="134">
        <v>13540</v>
      </c>
      <c r="F142" s="134">
        <v>2280</v>
      </c>
      <c r="G142" s="134">
        <v>6900</v>
      </c>
    </row>
    <row r="143" s="119" customFormat="1" spans="1:7">
      <c r="A143" s="134" t="s">
        <v>275</v>
      </c>
      <c r="B143" s="134" t="s">
        <v>2405</v>
      </c>
      <c r="C143" s="134">
        <v>11550</v>
      </c>
      <c r="D143" s="134">
        <v>11490</v>
      </c>
      <c r="E143" s="134">
        <v>14480</v>
      </c>
      <c r="F143" s="134">
        <v>2070</v>
      </c>
      <c r="G143" s="134">
        <v>7390</v>
      </c>
    </row>
    <row r="144" s="119" customFormat="1" spans="1:7">
      <c r="A144" s="134" t="s">
        <v>275</v>
      </c>
      <c r="B144" s="134" t="s">
        <v>2415</v>
      </c>
      <c r="C144" s="134">
        <v>10720</v>
      </c>
      <c r="D144" s="134">
        <v>10680</v>
      </c>
      <c r="E144" s="134">
        <v>13480</v>
      </c>
      <c r="F144" s="134">
        <v>2440</v>
      </c>
      <c r="G144" s="134">
        <v>6870</v>
      </c>
    </row>
    <row r="145" s="119" customFormat="1" spans="1:7">
      <c r="A145" s="134" t="s">
        <v>275</v>
      </c>
      <c r="B145" s="134" t="s">
        <v>2425</v>
      </c>
      <c r="C145" s="134">
        <v>10340</v>
      </c>
      <c r="D145" s="134">
        <v>10290</v>
      </c>
      <c r="E145" s="134">
        <v>12880</v>
      </c>
      <c r="F145" s="134">
        <v>2650</v>
      </c>
      <c r="G145" s="134">
        <v>6620</v>
      </c>
    </row>
    <row r="146" s="119" customFormat="1" spans="1:7">
      <c r="A146" s="134" t="s">
        <v>275</v>
      </c>
      <c r="B146" s="134" t="s">
        <v>2435</v>
      </c>
      <c r="C146" s="134">
        <v>11890</v>
      </c>
      <c r="D146" s="134">
        <v>11830</v>
      </c>
      <c r="E146" s="134">
        <v>14670</v>
      </c>
      <c r="F146" s="134"/>
      <c r="G146" s="134">
        <v>7610</v>
      </c>
    </row>
    <row r="147" s="119" customFormat="1" spans="1:7">
      <c r="A147" s="134" t="s">
        <v>275</v>
      </c>
      <c r="B147" s="134" t="s">
        <v>2444</v>
      </c>
      <c r="C147" s="134">
        <v>12650</v>
      </c>
      <c r="D147" s="134">
        <v>12600</v>
      </c>
      <c r="E147" s="134">
        <v>15440</v>
      </c>
      <c r="F147" s="134"/>
      <c r="G147" s="134">
        <v>8110</v>
      </c>
    </row>
    <row r="148" s="119" customFormat="1" spans="1:7">
      <c r="A148" s="134" t="s">
        <v>275</v>
      </c>
      <c r="B148" s="134" t="s">
        <v>2452</v>
      </c>
      <c r="C148" s="134">
        <v>10370</v>
      </c>
      <c r="D148" s="134">
        <v>10310</v>
      </c>
      <c r="E148" s="134">
        <v>12970</v>
      </c>
      <c r="F148" s="134"/>
      <c r="G148" s="134">
        <v>6630</v>
      </c>
    </row>
    <row r="149" s="119" customFormat="1" spans="1:7">
      <c r="A149" s="134" t="s">
        <v>275</v>
      </c>
      <c r="B149" s="134" t="s">
        <v>2460</v>
      </c>
      <c r="C149" s="134">
        <v>11600</v>
      </c>
      <c r="D149" s="134">
        <v>11560</v>
      </c>
      <c r="E149" s="134">
        <v>14540</v>
      </c>
      <c r="F149" s="134">
        <v>2390</v>
      </c>
      <c r="G149" s="134">
        <v>7430</v>
      </c>
    </row>
    <row r="150" s="119" customFormat="1" spans="1:7">
      <c r="A150" s="134" t="s">
        <v>275</v>
      </c>
      <c r="B150" s="134" t="s">
        <v>2468</v>
      </c>
      <c r="C150" s="134">
        <v>9950</v>
      </c>
      <c r="D150" s="134">
        <v>9890</v>
      </c>
      <c r="E150" s="134">
        <v>12590</v>
      </c>
      <c r="F150" s="134">
        <v>1970</v>
      </c>
      <c r="G150" s="134">
        <v>6360</v>
      </c>
    </row>
    <row r="151" s="119" customFormat="1" spans="1:7">
      <c r="A151" s="134" t="s">
        <v>275</v>
      </c>
      <c r="B151" s="134" t="s">
        <v>2476</v>
      </c>
      <c r="C151" s="134">
        <v>10700</v>
      </c>
      <c r="D151" s="134">
        <v>10650</v>
      </c>
      <c r="E151" s="134">
        <v>13420</v>
      </c>
      <c r="F151" s="134">
        <v>2020</v>
      </c>
      <c r="G151" s="134">
        <v>6850</v>
      </c>
    </row>
    <row r="152" s="119" customFormat="1" spans="1:7">
      <c r="A152" s="134" t="s">
        <v>275</v>
      </c>
      <c r="B152" s="134" t="s">
        <v>2483</v>
      </c>
      <c r="C152" s="134">
        <v>10310</v>
      </c>
      <c r="D152" s="134">
        <v>10260</v>
      </c>
      <c r="E152" s="134">
        <v>12820</v>
      </c>
      <c r="F152" s="134">
        <v>1980</v>
      </c>
      <c r="G152" s="134">
        <v>6600</v>
      </c>
    </row>
    <row r="153" s="119" customFormat="1" spans="1:7">
      <c r="A153" s="134" t="s">
        <v>275</v>
      </c>
      <c r="B153" s="134" t="s">
        <v>2490</v>
      </c>
      <c r="C153" s="134">
        <v>10880</v>
      </c>
      <c r="D153" s="134">
        <v>10820</v>
      </c>
      <c r="E153" s="134">
        <v>13660</v>
      </c>
      <c r="F153" s="134">
        <v>2260</v>
      </c>
      <c r="G153" s="134">
        <v>6970</v>
      </c>
    </row>
    <row r="154" s="119" customFormat="1" spans="1:7">
      <c r="A154" s="134" t="s">
        <v>275</v>
      </c>
      <c r="B154" s="134" t="s">
        <v>2497</v>
      </c>
      <c r="C154" s="134">
        <v>11220</v>
      </c>
      <c r="D154" s="134">
        <v>11160</v>
      </c>
      <c r="E154" s="134">
        <v>14130</v>
      </c>
      <c r="F154" s="134">
        <v>2230</v>
      </c>
      <c r="G154" s="134">
        <v>7180</v>
      </c>
    </row>
    <row r="155" s="119" customFormat="1" spans="1:7">
      <c r="A155" s="134" t="s">
        <v>275</v>
      </c>
      <c r="B155" s="134" t="s">
        <v>2504</v>
      </c>
      <c r="C155" s="134">
        <v>10430</v>
      </c>
      <c r="D155" s="134">
        <v>10380</v>
      </c>
      <c r="E155" s="134">
        <v>13140</v>
      </c>
      <c r="F155" s="134">
        <v>2080</v>
      </c>
      <c r="G155" s="134">
        <v>6650</v>
      </c>
    </row>
    <row r="156" s="119" customFormat="1" spans="1:7">
      <c r="A156" s="134" t="s">
        <v>275</v>
      </c>
      <c r="B156" s="134" t="s">
        <v>2511</v>
      </c>
      <c r="C156" s="134">
        <v>10440</v>
      </c>
      <c r="D156" s="134">
        <v>10400</v>
      </c>
      <c r="E156" s="134">
        <v>13150</v>
      </c>
      <c r="F156" s="134">
        <v>2490</v>
      </c>
      <c r="G156" s="134">
        <v>6690</v>
      </c>
    </row>
    <row r="157" s="119" customFormat="1" spans="1:7">
      <c r="A157" s="134" t="s">
        <v>275</v>
      </c>
      <c r="B157" s="134" t="s">
        <v>2518</v>
      </c>
      <c r="C157" s="134">
        <v>10970</v>
      </c>
      <c r="D157" s="134">
        <v>10920</v>
      </c>
      <c r="E157" s="134">
        <v>13840</v>
      </c>
      <c r="F157" s="134">
        <v>2420</v>
      </c>
      <c r="G157" s="134">
        <v>7020</v>
      </c>
    </row>
    <row r="158" s="119" customFormat="1" spans="1:7">
      <c r="A158" s="134" t="s">
        <v>275</v>
      </c>
      <c r="B158" s="134" t="s">
        <v>2525</v>
      </c>
      <c r="C158" s="134">
        <v>9590</v>
      </c>
      <c r="D158" s="134">
        <v>9540</v>
      </c>
      <c r="E158" s="134">
        <v>12210</v>
      </c>
      <c r="F158" s="134">
        <v>2100</v>
      </c>
      <c r="G158" s="134">
        <v>6130</v>
      </c>
    </row>
    <row r="159" s="119" customFormat="1" spans="1:7">
      <c r="A159" s="134" t="s">
        <v>275</v>
      </c>
      <c r="B159" s="134" t="s">
        <v>2530</v>
      </c>
      <c r="C159" s="134">
        <v>11190</v>
      </c>
      <c r="D159" s="134">
        <v>11140</v>
      </c>
      <c r="E159" s="134">
        <v>14090</v>
      </c>
      <c r="F159" s="134">
        <v>2470</v>
      </c>
      <c r="G159" s="134">
        <v>7170</v>
      </c>
    </row>
    <row r="160" s="119" customFormat="1" spans="1:7">
      <c r="A160" s="134" t="s">
        <v>275</v>
      </c>
      <c r="B160" s="134" t="s">
        <v>2535</v>
      </c>
      <c r="C160" s="134">
        <v>11180</v>
      </c>
      <c r="D160" s="134">
        <v>11140</v>
      </c>
      <c r="E160" s="134">
        <v>14050</v>
      </c>
      <c r="F160" s="134">
        <v>2270</v>
      </c>
      <c r="G160" s="134">
        <v>7170</v>
      </c>
    </row>
    <row r="161" s="119" customFormat="1" spans="1:7">
      <c r="A161" s="134" t="s">
        <v>275</v>
      </c>
      <c r="B161" s="134" t="s">
        <v>2540</v>
      </c>
      <c r="C161" s="134">
        <v>11160</v>
      </c>
      <c r="D161" s="134">
        <v>11120</v>
      </c>
      <c r="E161" s="134">
        <v>14020</v>
      </c>
      <c r="F161" s="134">
        <v>2150</v>
      </c>
      <c r="G161" s="134">
        <v>7160</v>
      </c>
    </row>
    <row r="162" s="119" customFormat="1" spans="1:7">
      <c r="A162" s="134" t="s">
        <v>275</v>
      </c>
      <c r="B162" s="134" t="s">
        <v>2545</v>
      </c>
      <c r="C162" s="134">
        <v>9620</v>
      </c>
      <c r="D162" s="134">
        <v>9570</v>
      </c>
      <c r="E162" s="134">
        <v>12320</v>
      </c>
      <c r="F162" s="134">
        <v>2010</v>
      </c>
      <c r="G162" s="134">
        <v>6160</v>
      </c>
    </row>
    <row r="163" s="119" customFormat="1" spans="1:7">
      <c r="A163" s="134" t="s">
        <v>275</v>
      </c>
      <c r="B163" s="134" t="s">
        <v>2550</v>
      </c>
      <c r="C163" s="134">
        <v>9320</v>
      </c>
      <c r="D163" s="134">
        <v>9270</v>
      </c>
      <c r="E163" s="134">
        <v>11790</v>
      </c>
      <c r="F163" s="134">
        <v>1920</v>
      </c>
      <c r="G163" s="134">
        <v>5960</v>
      </c>
    </row>
    <row r="164" s="119" customFormat="1" spans="1:7">
      <c r="A164" s="134" t="s">
        <v>275</v>
      </c>
      <c r="B164" s="134" t="s">
        <v>2555</v>
      </c>
      <c r="C164" s="134"/>
      <c r="D164" s="134"/>
      <c r="E164" s="134"/>
      <c r="F164" s="134">
        <v>1980</v>
      </c>
      <c r="G164" s="134"/>
    </row>
    <row r="165" s="119" customFormat="1" spans="1:7">
      <c r="A165" s="134" t="s">
        <v>275</v>
      </c>
      <c r="B165" s="134" t="s">
        <v>2560</v>
      </c>
      <c r="C165" s="134">
        <v>11060</v>
      </c>
      <c r="D165" s="134">
        <v>11030</v>
      </c>
      <c r="E165" s="134">
        <v>13850</v>
      </c>
      <c r="F165" s="134">
        <v>2170</v>
      </c>
      <c r="G165" s="134">
        <v>7090</v>
      </c>
    </row>
    <row r="166" s="119" customFormat="1" spans="1:7">
      <c r="A166" s="134" t="s">
        <v>275</v>
      </c>
      <c r="B166" s="134" t="s">
        <v>2565</v>
      </c>
      <c r="C166" s="134">
        <v>11050</v>
      </c>
      <c r="D166" s="134">
        <v>11010</v>
      </c>
      <c r="E166" s="134">
        <v>13920</v>
      </c>
      <c r="F166" s="134">
        <v>2140</v>
      </c>
      <c r="G166" s="134">
        <v>7080</v>
      </c>
    </row>
    <row r="167" s="119" customFormat="1" spans="1:7">
      <c r="A167" s="134" t="s">
        <v>275</v>
      </c>
      <c r="B167" s="134" t="s">
        <v>2569</v>
      </c>
      <c r="C167" s="134">
        <v>10930</v>
      </c>
      <c r="D167" s="134">
        <v>10890</v>
      </c>
      <c r="E167" s="134">
        <v>13790</v>
      </c>
      <c r="F167" s="134">
        <v>2010</v>
      </c>
      <c r="G167" s="134">
        <v>7000</v>
      </c>
    </row>
    <row r="168" s="119" customFormat="1" spans="1:7">
      <c r="A168" s="134" t="s">
        <v>275</v>
      </c>
      <c r="B168" s="134" t="s">
        <v>2573</v>
      </c>
      <c r="C168" s="134">
        <v>9420</v>
      </c>
      <c r="D168" s="134">
        <v>9380</v>
      </c>
      <c r="E168" s="134">
        <v>11970</v>
      </c>
      <c r="F168" s="134"/>
      <c r="G168" s="134">
        <v>6040</v>
      </c>
    </row>
    <row r="169" s="119" customFormat="1" spans="1:7">
      <c r="A169" s="134" t="s">
        <v>275</v>
      </c>
      <c r="B169" s="134" t="s">
        <v>2577</v>
      </c>
      <c r="C169" s="134"/>
      <c r="D169" s="134"/>
      <c r="E169" s="134"/>
      <c r="F169" s="134">
        <v>2880</v>
      </c>
      <c r="G169" s="134"/>
    </row>
    <row r="170" s="119" customFormat="1" spans="1:7">
      <c r="A170" s="134" t="s">
        <v>275</v>
      </c>
      <c r="B170" s="134" t="s">
        <v>2581</v>
      </c>
      <c r="C170" s="134"/>
      <c r="D170" s="134"/>
      <c r="E170" s="134"/>
      <c r="F170" s="134">
        <v>2880</v>
      </c>
      <c r="G170" s="134"/>
    </row>
    <row r="171" s="119" customFormat="1" spans="1:7">
      <c r="A171" s="134" t="s">
        <v>275</v>
      </c>
      <c r="B171" s="134" t="s">
        <v>2584</v>
      </c>
      <c r="C171" s="134"/>
      <c r="D171" s="134"/>
      <c r="E171" s="134"/>
      <c r="F171" s="134">
        <v>2880</v>
      </c>
      <c r="G171" s="134"/>
    </row>
    <row r="172" s="119" customFormat="1" spans="1:7">
      <c r="A172" s="134" t="s">
        <v>275</v>
      </c>
      <c r="B172" s="134" t="s">
        <v>2586</v>
      </c>
      <c r="C172" s="134"/>
      <c r="D172" s="134"/>
      <c r="E172" s="134"/>
      <c r="F172" s="134">
        <v>2880</v>
      </c>
      <c r="G172" s="134"/>
    </row>
    <row r="173" s="119" customFormat="1" spans="1:7">
      <c r="A173" s="134" t="s">
        <v>275</v>
      </c>
      <c r="B173" s="134" t="s">
        <v>2588</v>
      </c>
      <c r="C173" s="134"/>
      <c r="D173" s="134"/>
      <c r="E173" s="134"/>
      <c r="F173" s="134">
        <v>2150</v>
      </c>
      <c r="G173" s="134"/>
    </row>
    <row r="174" s="119" customFormat="1" spans="1:7">
      <c r="A174" s="134" t="s">
        <v>275</v>
      </c>
      <c r="B174" s="134" t="s">
        <v>2590</v>
      </c>
      <c r="C174" s="134"/>
      <c r="D174" s="134"/>
      <c r="E174" s="134"/>
      <c r="F174" s="134">
        <v>2030</v>
      </c>
      <c r="G174" s="134"/>
    </row>
    <row r="175" s="119" customFormat="1" spans="1:7">
      <c r="A175" s="134" t="s">
        <v>275</v>
      </c>
      <c r="B175" s="134" t="s">
        <v>2592</v>
      </c>
      <c r="C175" s="134"/>
      <c r="D175" s="134"/>
      <c r="E175" s="134"/>
      <c r="F175" s="134">
        <v>2780</v>
      </c>
      <c r="G175" s="134"/>
    </row>
    <row r="176" s="119" customFormat="1" spans="1:7">
      <c r="A176" s="134" t="s">
        <v>275</v>
      </c>
      <c r="B176" s="134" t="s">
        <v>2594</v>
      </c>
      <c r="C176" s="134"/>
      <c r="D176" s="134"/>
      <c r="E176" s="134"/>
      <c r="F176" s="134">
        <v>2780</v>
      </c>
      <c r="G176" s="134"/>
    </row>
    <row r="177" s="119" customFormat="1" spans="1:7">
      <c r="A177" s="134" t="s">
        <v>275</v>
      </c>
      <c r="B177" s="134" t="s">
        <v>2596</v>
      </c>
      <c r="C177" s="134"/>
      <c r="D177" s="134"/>
      <c r="E177" s="134"/>
      <c r="F177" s="134">
        <v>2780</v>
      </c>
      <c r="G177" s="134"/>
    </row>
    <row r="178" s="119" customFormat="1" spans="1:7">
      <c r="A178" s="134" t="s">
        <v>275</v>
      </c>
      <c r="B178" s="134" t="s">
        <v>2597</v>
      </c>
      <c r="C178" s="134"/>
      <c r="D178" s="134"/>
      <c r="E178" s="134"/>
      <c r="F178" s="134">
        <v>2060</v>
      </c>
      <c r="G178" s="134"/>
    </row>
    <row r="179" s="119" customFormat="1" spans="1:7">
      <c r="A179" s="134" t="s">
        <v>275</v>
      </c>
      <c r="B179" s="134" t="s">
        <v>2598</v>
      </c>
      <c r="C179" s="134"/>
      <c r="D179" s="134"/>
      <c r="E179" s="134"/>
      <c r="F179" s="134">
        <v>2120</v>
      </c>
      <c r="G179" s="134"/>
    </row>
    <row r="180" s="119" customFormat="1" spans="1:7">
      <c r="A180" s="134" t="s">
        <v>275</v>
      </c>
      <c r="B180" s="134" t="s">
        <v>2599</v>
      </c>
      <c r="C180" s="134"/>
      <c r="D180" s="134"/>
      <c r="E180" s="134"/>
      <c r="F180" s="134">
        <v>2340</v>
      </c>
      <c r="G180" s="134"/>
    </row>
    <row r="181" s="119" customFormat="1" spans="1:7">
      <c r="A181" s="134" t="s">
        <v>275</v>
      </c>
      <c r="B181" s="134" t="s">
        <v>2600</v>
      </c>
      <c r="C181" s="134"/>
      <c r="D181" s="134"/>
      <c r="E181" s="134"/>
      <c r="F181" s="134">
        <v>2340</v>
      </c>
      <c r="G181" s="134"/>
    </row>
    <row r="182" s="119" customFormat="1" spans="1:7">
      <c r="A182" s="134" t="s">
        <v>275</v>
      </c>
      <c r="B182" s="134" t="s">
        <v>2601</v>
      </c>
      <c r="C182" s="134"/>
      <c r="D182" s="134"/>
      <c r="E182" s="134"/>
      <c r="F182" s="134">
        <v>2340</v>
      </c>
      <c r="G182" s="134"/>
    </row>
    <row r="183" s="119" customFormat="1" spans="1:7">
      <c r="A183" s="134" t="s">
        <v>275</v>
      </c>
      <c r="B183" s="134" t="s">
        <v>2602</v>
      </c>
      <c r="C183" s="134"/>
      <c r="D183" s="134"/>
      <c r="E183" s="134"/>
      <c r="F183" s="134">
        <v>2340</v>
      </c>
      <c r="G183" s="134"/>
    </row>
    <row r="184" s="119" customFormat="1" spans="1:7">
      <c r="A184" s="134" t="s">
        <v>275</v>
      </c>
      <c r="B184" s="134" t="s">
        <v>2603</v>
      </c>
      <c r="C184" s="134"/>
      <c r="D184" s="134"/>
      <c r="E184" s="134"/>
      <c r="F184" s="134">
        <v>2340</v>
      </c>
      <c r="G184" s="134"/>
    </row>
    <row r="185" s="119" customFormat="1" spans="1:7">
      <c r="A185" s="134" t="s">
        <v>275</v>
      </c>
      <c r="B185" s="134" t="s">
        <v>2604</v>
      </c>
      <c r="C185" s="134"/>
      <c r="D185" s="134"/>
      <c r="E185" s="134"/>
      <c r="F185" s="134">
        <v>2530</v>
      </c>
      <c r="G185" s="134"/>
    </row>
    <row r="186" s="119" customFormat="1" spans="1:7">
      <c r="A186" s="134" t="s">
        <v>275</v>
      </c>
      <c r="B186" s="134" t="s">
        <v>2605</v>
      </c>
      <c r="C186" s="134"/>
      <c r="D186" s="134"/>
      <c r="E186" s="134"/>
      <c r="F186" s="134">
        <v>2550</v>
      </c>
      <c r="G186" s="134"/>
    </row>
    <row r="187" s="119" customFormat="1" spans="1:7">
      <c r="A187" s="134" t="s">
        <v>275</v>
      </c>
      <c r="B187" s="134" t="s">
        <v>2606</v>
      </c>
      <c r="C187" s="134"/>
      <c r="D187" s="134"/>
      <c r="E187" s="134"/>
      <c r="F187" s="134">
        <v>2070</v>
      </c>
      <c r="G187" s="134"/>
    </row>
    <row r="188" s="119" customFormat="1" spans="1:7">
      <c r="A188" s="134" t="s">
        <v>275</v>
      </c>
      <c r="B188" s="134" t="s">
        <v>2607</v>
      </c>
      <c r="C188" s="134"/>
      <c r="D188" s="134"/>
      <c r="E188" s="134"/>
      <c r="F188" s="134">
        <v>2340</v>
      </c>
      <c r="G188" s="134"/>
    </row>
    <row r="189" s="119" customFormat="1" ht="11.55" spans="1:7">
      <c r="A189" s="136" t="s">
        <v>275</v>
      </c>
      <c r="B189" s="140" t="s">
        <v>2608</v>
      </c>
      <c r="C189" s="140"/>
      <c r="D189" s="140"/>
      <c r="E189" s="140"/>
      <c r="F189" s="140">
        <v>2050</v>
      </c>
      <c r="G189" s="140"/>
    </row>
    <row r="190" s="119" customFormat="1" spans="1:7">
      <c r="A190" s="132" t="s">
        <v>281</v>
      </c>
      <c r="B190" s="133" t="s">
        <v>2232</v>
      </c>
      <c r="C190" s="133">
        <v>8830</v>
      </c>
      <c r="D190" s="133">
        <v>8790</v>
      </c>
      <c r="E190" s="133">
        <v>11630</v>
      </c>
      <c r="F190" s="133">
        <v>1790</v>
      </c>
      <c r="G190" s="141">
        <v>5550</v>
      </c>
    </row>
    <row r="191" s="119" customFormat="1" spans="1:7">
      <c r="A191" s="134" t="s">
        <v>281</v>
      </c>
      <c r="B191" s="134" t="s">
        <v>2245</v>
      </c>
      <c r="C191" s="134">
        <v>9780</v>
      </c>
      <c r="D191" s="134">
        <v>9710</v>
      </c>
      <c r="E191" s="134">
        <v>12550</v>
      </c>
      <c r="F191" s="134">
        <v>1980</v>
      </c>
      <c r="G191" s="142">
        <v>6130</v>
      </c>
    </row>
    <row r="192" s="119" customFormat="1" spans="1:7">
      <c r="A192" s="134" t="s">
        <v>281</v>
      </c>
      <c r="B192" s="134" t="s">
        <v>2259</v>
      </c>
      <c r="C192" s="134">
        <v>8180</v>
      </c>
      <c r="D192" s="134">
        <v>8140</v>
      </c>
      <c r="E192" s="134">
        <v>10870</v>
      </c>
      <c r="F192" s="134">
        <v>1690</v>
      </c>
      <c r="G192" s="142">
        <v>5140</v>
      </c>
    </row>
    <row r="193" s="119" customFormat="1" spans="1:7">
      <c r="A193" s="134" t="s">
        <v>281</v>
      </c>
      <c r="B193" s="134" t="s">
        <v>2271</v>
      </c>
      <c r="C193" s="134">
        <v>8440</v>
      </c>
      <c r="D193" s="134">
        <v>8390</v>
      </c>
      <c r="E193" s="134">
        <v>11210</v>
      </c>
      <c r="F193" s="134">
        <v>1600</v>
      </c>
      <c r="G193" s="142">
        <v>5300</v>
      </c>
    </row>
    <row r="194" s="119" customFormat="1" spans="1:7">
      <c r="A194" s="134" t="s">
        <v>281</v>
      </c>
      <c r="B194" s="134" t="s">
        <v>2283</v>
      </c>
      <c r="C194" s="134">
        <v>8780</v>
      </c>
      <c r="D194" s="134">
        <v>8730</v>
      </c>
      <c r="E194" s="134">
        <v>11550</v>
      </c>
      <c r="F194" s="134">
        <v>1660</v>
      </c>
      <c r="G194" s="142">
        <v>5520</v>
      </c>
    </row>
    <row r="195" s="119" customFormat="1" spans="1:7">
      <c r="A195" s="134" t="s">
        <v>281</v>
      </c>
      <c r="B195" s="134" t="s">
        <v>2294</v>
      </c>
      <c r="C195" s="134">
        <v>8720</v>
      </c>
      <c r="D195" s="134">
        <v>8670</v>
      </c>
      <c r="E195" s="134">
        <v>11450</v>
      </c>
      <c r="F195" s="134">
        <v>1720</v>
      </c>
      <c r="G195" s="142">
        <v>5480</v>
      </c>
    </row>
    <row r="196" s="119" customFormat="1" spans="1:7">
      <c r="A196" s="134" t="s">
        <v>281</v>
      </c>
      <c r="B196" s="134" t="s">
        <v>2305</v>
      </c>
      <c r="C196" s="134">
        <v>8460</v>
      </c>
      <c r="D196" s="134">
        <v>8410</v>
      </c>
      <c r="E196" s="134">
        <v>11230</v>
      </c>
      <c r="F196" s="134">
        <v>1730</v>
      </c>
      <c r="G196" s="142">
        <v>5310</v>
      </c>
    </row>
    <row r="197" s="119" customFormat="1" spans="1:7">
      <c r="A197" s="134" t="s">
        <v>281</v>
      </c>
      <c r="B197" s="134" t="s">
        <v>2316</v>
      </c>
      <c r="C197" s="134">
        <v>8790</v>
      </c>
      <c r="D197" s="134">
        <v>8730</v>
      </c>
      <c r="E197" s="134">
        <v>11560</v>
      </c>
      <c r="F197" s="134">
        <v>1750</v>
      </c>
      <c r="G197" s="142">
        <v>5520</v>
      </c>
    </row>
    <row r="198" s="119" customFormat="1" spans="1:7">
      <c r="A198" s="134" t="s">
        <v>281</v>
      </c>
      <c r="B198" s="134" t="s">
        <v>2326</v>
      </c>
      <c r="C198" s="134">
        <v>8720</v>
      </c>
      <c r="D198" s="134">
        <v>8680</v>
      </c>
      <c r="E198" s="134">
        <v>11470</v>
      </c>
      <c r="F198" s="134"/>
      <c r="G198" s="142">
        <v>5480</v>
      </c>
    </row>
    <row r="199" s="119" customFormat="1" spans="1:7">
      <c r="A199" s="134" t="s">
        <v>281</v>
      </c>
      <c r="B199" s="134" t="s">
        <v>2336</v>
      </c>
      <c r="C199" s="134">
        <v>8690</v>
      </c>
      <c r="D199" s="134">
        <v>8630</v>
      </c>
      <c r="E199" s="134">
        <v>11350</v>
      </c>
      <c r="F199" s="134">
        <v>1600</v>
      </c>
      <c r="G199" s="142">
        <v>5450</v>
      </c>
    </row>
    <row r="200" s="119" customFormat="1" spans="1:7">
      <c r="A200" s="134" t="s">
        <v>281</v>
      </c>
      <c r="B200" s="134" t="s">
        <v>2346</v>
      </c>
      <c r="C200" s="134"/>
      <c r="D200" s="134"/>
      <c r="E200" s="134"/>
      <c r="F200" s="134">
        <v>1510</v>
      </c>
      <c r="G200" s="142"/>
    </row>
    <row r="201" s="119" customFormat="1" spans="1:7">
      <c r="A201" s="134" t="s">
        <v>281</v>
      </c>
      <c r="B201" s="134" t="s">
        <v>2356</v>
      </c>
      <c r="C201" s="134">
        <v>8440</v>
      </c>
      <c r="D201" s="134">
        <v>8390</v>
      </c>
      <c r="E201" s="134">
        <v>10930</v>
      </c>
      <c r="F201" s="134">
        <v>1500</v>
      </c>
      <c r="G201" s="142">
        <v>5300</v>
      </c>
    </row>
    <row r="202" s="119" customFormat="1" spans="1:7">
      <c r="A202" s="134" t="s">
        <v>281</v>
      </c>
      <c r="B202" s="134" t="s">
        <v>2366</v>
      </c>
      <c r="C202" s="134">
        <v>8530</v>
      </c>
      <c r="D202" s="134">
        <v>8490</v>
      </c>
      <c r="E202" s="134">
        <v>11160</v>
      </c>
      <c r="F202" s="134">
        <v>1580</v>
      </c>
      <c r="G202" s="142">
        <v>5360</v>
      </c>
    </row>
    <row r="203" s="119" customFormat="1" spans="1:7">
      <c r="A203" s="134" t="s">
        <v>281</v>
      </c>
      <c r="B203" s="134" t="s">
        <v>2376</v>
      </c>
      <c r="C203" s="134">
        <v>8130</v>
      </c>
      <c r="D203" s="134">
        <v>8070</v>
      </c>
      <c r="E203" s="134">
        <v>10820</v>
      </c>
      <c r="F203" s="134">
        <v>1690</v>
      </c>
      <c r="G203" s="142">
        <v>5100</v>
      </c>
    </row>
    <row r="204" s="119" customFormat="1" spans="1:7">
      <c r="A204" s="134" t="s">
        <v>281</v>
      </c>
      <c r="B204" s="134" t="s">
        <v>2386</v>
      </c>
      <c r="C204" s="134">
        <v>8350</v>
      </c>
      <c r="D204" s="134">
        <v>8290</v>
      </c>
      <c r="E204" s="134">
        <v>11080</v>
      </c>
      <c r="F204" s="134">
        <v>1450</v>
      </c>
      <c r="G204" s="142">
        <v>5240</v>
      </c>
    </row>
    <row r="205" s="119" customFormat="1" spans="1:7">
      <c r="A205" s="134" t="s">
        <v>281</v>
      </c>
      <c r="B205" s="134" t="s">
        <v>2396</v>
      </c>
      <c r="C205" s="134">
        <v>7190</v>
      </c>
      <c r="D205" s="134">
        <v>7130</v>
      </c>
      <c r="E205" s="134">
        <v>9490</v>
      </c>
      <c r="F205" s="134">
        <v>1470</v>
      </c>
      <c r="G205" s="142">
        <v>4510</v>
      </c>
    </row>
    <row r="206" s="119" customFormat="1" spans="1:7">
      <c r="A206" s="134" t="s">
        <v>281</v>
      </c>
      <c r="B206" s="134" t="s">
        <v>2406</v>
      </c>
      <c r="C206" s="134">
        <v>7000</v>
      </c>
      <c r="D206" s="134">
        <v>6950</v>
      </c>
      <c r="E206" s="134">
        <v>9170</v>
      </c>
      <c r="F206" s="134">
        <v>1400</v>
      </c>
      <c r="G206" s="142">
        <v>4380</v>
      </c>
    </row>
    <row r="207" s="119" customFormat="1" spans="1:7">
      <c r="A207" s="134" t="s">
        <v>281</v>
      </c>
      <c r="B207" s="134" t="s">
        <v>2416</v>
      </c>
      <c r="C207" s="134">
        <v>6950</v>
      </c>
      <c r="D207" s="134">
        <v>6900</v>
      </c>
      <c r="E207" s="134">
        <v>9110</v>
      </c>
      <c r="F207" s="134">
        <v>1790</v>
      </c>
      <c r="G207" s="142">
        <v>4360</v>
      </c>
    </row>
    <row r="208" s="119" customFormat="1" spans="1:7">
      <c r="A208" s="134" t="s">
        <v>281</v>
      </c>
      <c r="B208" s="134" t="s">
        <v>2426</v>
      </c>
      <c r="C208" s="134">
        <v>9470</v>
      </c>
      <c r="D208" s="134">
        <v>9410</v>
      </c>
      <c r="E208" s="134">
        <v>12330</v>
      </c>
      <c r="F208" s="134">
        <v>1770</v>
      </c>
      <c r="G208" s="142">
        <v>5940</v>
      </c>
    </row>
    <row r="209" s="119" customFormat="1" spans="1:7">
      <c r="A209" s="134" t="s">
        <v>281</v>
      </c>
      <c r="B209" s="134" t="s">
        <v>2436</v>
      </c>
      <c r="C209" s="134">
        <v>8740</v>
      </c>
      <c r="D209" s="134">
        <v>8700</v>
      </c>
      <c r="E209" s="134">
        <v>11500</v>
      </c>
      <c r="F209" s="134">
        <v>1730</v>
      </c>
      <c r="G209" s="142">
        <v>5490</v>
      </c>
    </row>
    <row r="210" s="119" customFormat="1" spans="1:7">
      <c r="A210" s="134" t="s">
        <v>281</v>
      </c>
      <c r="B210" s="134" t="s">
        <v>2445</v>
      </c>
      <c r="C210" s="134">
        <v>8710</v>
      </c>
      <c r="D210" s="134">
        <v>8660</v>
      </c>
      <c r="E210" s="134">
        <v>11440</v>
      </c>
      <c r="F210" s="134">
        <v>1740</v>
      </c>
      <c r="G210" s="142">
        <v>5470</v>
      </c>
    </row>
    <row r="211" s="119" customFormat="1" spans="1:7">
      <c r="A211" s="134" t="s">
        <v>281</v>
      </c>
      <c r="B211" s="134" t="s">
        <v>2453</v>
      </c>
      <c r="C211" s="134">
        <v>9480</v>
      </c>
      <c r="D211" s="134">
        <v>9430</v>
      </c>
      <c r="E211" s="134">
        <v>12360</v>
      </c>
      <c r="F211" s="134">
        <v>1820</v>
      </c>
      <c r="G211" s="142">
        <v>5950</v>
      </c>
    </row>
    <row r="212" s="119" customFormat="1" spans="1:7">
      <c r="A212" s="134" t="s">
        <v>281</v>
      </c>
      <c r="B212" s="134" t="s">
        <v>2461</v>
      </c>
      <c r="C212" s="134">
        <v>9070</v>
      </c>
      <c r="D212" s="134">
        <v>9020</v>
      </c>
      <c r="E212" s="134">
        <v>11720</v>
      </c>
      <c r="F212" s="134">
        <v>1850</v>
      </c>
      <c r="G212" s="142">
        <v>5700</v>
      </c>
    </row>
    <row r="213" s="119" customFormat="1" spans="1:7">
      <c r="A213" s="134" t="s">
        <v>281</v>
      </c>
      <c r="B213" s="134" t="s">
        <v>2469</v>
      </c>
      <c r="C213" s="134">
        <v>9030</v>
      </c>
      <c r="D213" s="134">
        <v>8980</v>
      </c>
      <c r="E213" s="134">
        <v>11670</v>
      </c>
      <c r="F213" s="134">
        <v>1690</v>
      </c>
      <c r="G213" s="142">
        <v>5670</v>
      </c>
    </row>
    <row r="214" s="119" customFormat="1" spans="1:7">
      <c r="A214" s="134" t="s">
        <v>281</v>
      </c>
      <c r="B214" s="134" t="s">
        <v>2477</v>
      </c>
      <c r="C214" s="134">
        <v>8090</v>
      </c>
      <c r="D214" s="134">
        <v>8030</v>
      </c>
      <c r="E214" s="134">
        <v>10780</v>
      </c>
      <c r="F214" s="134">
        <v>1570</v>
      </c>
      <c r="G214" s="142">
        <v>5070</v>
      </c>
    </row>
    <row r="215" s="119" customFormat="1" spans="1:7">
      <c r="A215" s="134" t="s">
        <v>281</v>
      </c>
      <c r="B215" s="134" t="s">
        <v>2484</v>
      </c>
      <c r="C215" s="134">
        <v>7950</v>
      </c>
      <c r="D215" s="134">
        <v>7900</v>
      </c>
      <c r="E215" s="134">
        <v>10560</v>
      </c>
      <c r="F215" s="134">
        <v>1630</v>
      </c>
      <c r="G215" s="142">
        <v>4990</v>
      </c>
    </row>
    <row r="216" s="119" customFormat="1" spans="1:7">
      <c r="A216" s="134" t="s">
        <v>281</v>
      </c>
      <c r="B216" s="134" t="s">
        <v>2491</v>
      </c>
      <c r="C216" s="134">
        <v>8490</v>
      </c>
      <c r="D216" s="134">
        <v>8440</v>
      </c>
      <c r="E216" s="134">
        <v>11260</v>
      </c>
      <c r="F216" s="134">
        <v>1690</v>
      </c>
      <c r="G216" s="142">
        <v>5330</v>
      </c>
    </row>
    <row r="217" s="119" customFormat="1" spans="1:7">
      <c r="A217" s="134" t="s">
        <v>281</v>
      </c>
      <c r="B217" s="134" t="s">
        <v>2498</v>
      </c>
      <c r="C217" s="134">
        <v>8200</v>
      </c>
      <c r="D217" s="134">
        <v>8150</v>
      </c>
      <c r="E217" s="134">
        <v>10910</v>
      </c>
      <c r="F217" s="134">
        <v>1670</v>
      </c>
      <c r="G217" s="142">
        <v>5150</v>
      </c>
    </row>
    <row r="218" s="119" customFormat="1" spans="1:7">
      <c r="A218" s="134" t="s">
        <v>281</v>
      </c>
      <c r="B218" s="134" t="s">
        <v>2505</v>
      </c>
      <c r="C218" s="134"/>
      <c r="D218" s="134"/>
      <c r="E218" s="134"/>
      <c r="F218" s="134">
        <v>2040</v>
      </c>
      <c r="G218" s="142"/>
    </row>
    <row r="219" s="119" customFormat="1" spans="1:7">
      <c r="A219" s="134" t="s">
        <v>281</v>
      </c>
      <c r="B219" s="134" t="s">
        <v>2512</v>
      </c>
      <c r="C219" s="134"/>
      <c r="D219" s="134"/>
      <c r="E219" s="134"/>
      <c r="F219" s="134">
        <v>2040</v>
      </c>
      <c r="G219" s="142"/>
    </row>
    <row r="220" s="119" customFormat="1" spans="1:7">
      <c r="A220" s="134" t="s">
        <v>281</v>
      </c>
      <c r="B220" s="134" t="s">
        <v>2519</v>
      </c>
      <c r="C220" s="134"/>
      <c r="D220" s="134"/>
      <c r="E220" s="134"/>
      <c r="F220" s="134">
        <v>2040</v>
      </c>
      <c r="G220" s="142"/>
    </row>
    <row r="221" s="119" customFormat="1" spans="1:7">
      <c r="A221" s="134" t="s">
        <v>281</v>
      </c>
      <c r="B221" s="134" t="s">
        <v>2526</v>
      </c>
      <c r="C221" s="134"/>
      <c r="D221" s="134"/>
      <c r="E221" s="134"/>
      <c r="F221" s="134">
        <v>2040</v>
      </c>
      <c r="G221" s="142"/>
    </row>
    <row r="222" s="119" customFormat="1" spans="1:7">
      <c r="A222" s="134" t="s">
        <v>281</v>
      </c>
      <c r="B222" s="134" t="s">
        <v>2531</v>
      </c>
      <c r="C222" s="134"/>
      <c r="D222" s="134"/>
      <c r="E222" s="134"/>
      <c r="F222" s="134">
        <v>2040</v>
      </c>
      <c r="G222" s="142"/>
    </row>
    <row r="223" s="119" customFormat="1" spans="1:7">
      <c r="A223" s="134" t="s">
        <v>281</v>
      </c>
      <c r="B223" s="134" t="s">
        <v>2536</v>
      </c>
      <c r="C223" s="134"/>
      <c r="D223" s="134"/>
      <c r="E223" s="134"/>
      <c r="F223" s="134">
        <v>1930</v>
      </c>
      <c r="G223" s="142"/>
    </row>
    <row r="224" s="119" customFormat="1" spans="1:7">
      <c r="A224" s="134" t="s">
        <v>281</v>
      </c>
      <c r="B224" s="134" t="s">
        <v>2541</v>
      </c>
      <c r="C224" s="134"/>
      <c r="D224" s="134"/>
      <c r="E224" s="134"/>
      <c r="F224" s="134">
        <v>1930</v>
      </c>
      <c r="G224" s="142"/>
    </row>
    <row r="225" s="119" customFormat="1" spans="1:7">
      <c r="A225" s="134" t="s">
        <v>281</v>
      </c>
      <c r="B225" s="134" t="s">
        <v>2546</v>
      </c>
      <c r="C225" s="134"/>
      <c r="D225" s="134"/>
      <c r="E225" s="134"/>
      <c r="F225" s="134">
        <v>1930</v>
      </c>
      <c r="G225" s="142"/>
    </row>
    <row r="226" s="119" customFormat="1" spans="1:7">
      <c r="A226" s="134" t="s">
        <v>281</v>
      </c>
      <c r="B226" s="134" t="s">
        <v>2551</v>
      </c>
      <c r="C226" s="134"/>
      <c r="D226" s="134"/>
      <c r="E226" s="134"/>
      <c r="F226" s="134">
        <v>1700</v>
      </c>
      <c r="G226" s="142"/>
    </row>
    <row r="227" s="119" customFormat="1" spans="1:7">
      <c r="A227" s="134" t="s">
        <v>281</v>
      </c>
      <c r="B227" s="134" t="s">
        <v>2556</v>
      </c>
      <c r="C227" s="134"/>
      <c r="D227" s="134"/>
      <c r="E227" s="134"/>
      <c r="F227" s="134">
        <v>1520</v>
      </c>
      <c r="G227" s="142"/>
    </row>
    <row r="228" s="119" customFormat="1" spans="1:7">
      <c r="A228" s="134" t="s">
        <v>281</v>
      </c>
      <c r="B228" s="134" t="s">
        <v>2561</v>
      </c>
      <c r="C228" s="134"/>
      <c r="D228" s="134"/>
      <c r="E228" s="134"/>
      <c r="F228" s="134">
        <v>1520</v>
      </c>
      <c r="G228" s="142"/>
    </row>
    <row r="229" s="119" customFormat="1" spans="1:7">
      <c r="A229" s="134" t="s">
        <v>281</v>
      </c>
      <c r="B229" s="134" t="s">
        <v>2566</v>
      </c>
      <c r="C229" s="134"/>
      <c r="D229" s="134"/>
      <c r="E229" s="134"/>
      <c r="F229" s="134">
        <v>1520</v>
      </c>
      <c r="G229" s="142"/>
    </row>
    <row r="230" s="119" customFormat="1" spans="1:7">
      <c r="A230" s="134" t="s">
        <v>281</v>
      </c>
      <c r="B230" s="134" t="s">
        <v>2570</v>
      </c>
      <c r="C230" s="134"/>
      <c r="D230" s="134"/>
      <c r="E230" s="134"/>
      <c r="F230" s="134">
        <v>1820</v>
      </c>
      <c r="G230" s="142"/>
    </row>
    <row r="231" s="119" customFormat="1" spans="1:7">
      <c r="A231" s="134" t="s">
        <v>281</v>
      </c>
      <c r="B231" s="134" t="s">
        <v>2574</v>
      </c>
      <c r="C231" s="134"/>
      <c r="D231" s="134"/>
      <c r="E231" s="134"/>
      <c r="F231" s="134">
        <v>1760</v>
      </c>
      <c r="G231" s="142"/>
    </row>
    <row r="232" s="119" customFormat="1" spans="1:7">
      <c r="A232" s="134" t="s">
        <v>281</v>
      </c>
      <c r="B232" s="134" t="s">
        <v>2578</v>
      </c>
      <c r="C232" s="134"/>
      <c r="D232" s="134"/>
      <c r="E232" s="134"/>
      <c r="F232" s="134">
        <v>1840</v>
      </c>
      <c r="G232" s="142"/>
    </row>
    <row r="233" s="119" customFormat="1" ht="11.55" spans="1:7">
      <c r="A233" s="143" t="s">
        <v>281</v>
      </c>
      <c r="B233" s="138" t="s">
        <v>2582</v>
      </c>
      <c r="C233" s="138"/>
      <c r="D233" s="138"/>
      <c r="E233" s="138"/>
      <c r="F233" s="138">
        <v>1770</v>
      </c>
      <c r="G233" s="144"/>
    </row>
    <row r="234" s="119" customFormat="1" spans="1:7">
      <c r="A234" s="132" t="s">
        <v>287</v>
      </c>
      <c r="B234" s="133" t="s">
        <v>2233</v>
      </c>
      <c r="C234" s="134">
        <v>6980</v>
      </c>
      <c r="D234" s="134">
        <v>6970</v>
      </c>
      <c r="E234" s="134">
        <v>8720</v>
      </c>
      <c r="F234" s="134">
        <v>1350</v>
      </c>
      <c r="G234" s="134">
        <v>4280</v>
      </c>
    </row>
    <row r="235" s="119" customFormat="1" spans="1:7">
      <c r="A235" s="134" t="s">
        <v>287</v>
      </c>
      <c r="B235" s="134" t="s">
        <v>2246</v>
      </c>
      <c r="C235" s="134">
        <v>7620</v>
      </c>
      <c r="D235" s="134">
        <v>7580</v>
      </c>
      <c r="E235" s="134">
        <v>9360</v>
      </c>
      <c r="F235" s="134">
        <v>1490</v>
      </c>
      <c r="G235" s="134">
        <v>4650</v>
      </c>
    </row>
    <row r="236" s="119" customFormat="1" spans="1:7">
      <c r="A236" s="134" t="s">
        <v>287</v>
      </c>
      <c r="B236" s="134" t="s">
        <v>2260</v>
      </c>
      <c r="C236" s="134">
        <v>6650</v>
      </c>
      <c r="D236" s="134">
        <v>6630</v>
      </c>
      <c r="E236" s="134">
        <v>8330</v>
      </c>
      <c r="F236" s="134">
        <v>1250</v>
      </c>
      <c r="G236" s="134">
        <v>4070</v>
      </c>
    </row>
    <row r="237" s="119" customFormat="1" spans="1:7">
      <c r="A237" s="134" t="s">
        <v>287</v>
      </c>
      <c r="B237" s="134" t="s">
        <v>2272</v>
      </c>
      <c r="C237" s="134">
        <v>5850</v>
      </c>
      <c r="D237" s="134">
        <v>5820</v>
      </c>
      <c r="E237" s="134">
        <v>7260</v>
      </c>
      <c r="F237" s="134">
        <v>1140</v>
      </c>
      <c r="G237" s="134">
        <v>3570</v>
      </c>
    </row>
    <row r="238" s="119" customFormat="1" spans="1:7">
      <c r="A238" s="134" t="s">
        <v>287</v>
      </c>
      <c r="B238" s="134" t="s">
        <v>2284</v>
      </c>
      <c r="C238" s="134">
        <v>6920</v>
      </c>
      <c r="D238" s="134">
        <v>6890</v>
      </c>
      <c r="E238" s="134">
        <v>8640</v>
      </c>
      <c r="F238" s="134">
        <v>1310</v>
      </c>
      <c r="G238" s="134">
        <v>4230</v>
      </c>
    </row>
    <row r="239" s="119" customFormat="1" spans="1:7">
      <c r="A239" s="134" t="s">
        <v>287</v>
      </c>
      <c r="B239" s="134" t="s">
        <v>2295</v>
      </c>
      <c r="C239" s="134">
        <v>6780</v>
      </c>
      <c r="D239" s="134">
        <v>6750</v>
      </c>
      <c r="E239" s="134">
        <v>8440</v>
      </c>
      <c r="F239" s="134">
        <v>1160</v>
      </c>
      <c r="G239" s="134">
        <v>4140</v>
      </c>
    </row>
    <row r="240" s="119" customFormat="1" spans="1:7">
      <c r="A240" s="134" t="s">
        <v>287</v>
      </c>
      <c r="B240" s="134" t="s">
        <v>2306</v>
      </c>
      <c r="C240" s="134">
        <v>5420</v>
      </c>
      <c r="D240" s="134">
        <v>5380</v>
      </c>
      <c r="E240" s="134">
        <v>6640</v>
      </c>
      <c r="F240" s="134">
        <v>1020</v>
      </c>
      <c r="G240" s="134">
        <v>3300</v>
      </c>
    </row>
    <row r="241" s="119" customFormat="1" spans="1:7">
      <c r="A241" s="134" t="s">
        <v>287</v>
      </c>
      <c r="B241" s="134" t="s">
        <v>2317</v>
      </c>
      <c r="C241" s="134">
        <v>6660</v>
      </c>
      <c r="D241" s="134">
        <v>6640</v>
      </c>
      <c r="E241" s="134">
        <v>8340</v>
      </c>
      <c r="F241" s="134">
        <v>1130</v>
      </c>
      <c r="G241" s="134">
        <v>4080</v>
      </c>
    </row>
    <row r="242" s="119" customFormat="1" spans="1:7">
      <c r="A242" s="134" t="s">
        <v>287</v>
      </c>
      <c r="B242" s="134" t="s">
        <v>2327</v>
      </c>
      <c r="C242" s="134">
        <v>6580</v>
      </c>
      <c r="D242" s="134">
        <v>6550</v>
      </c>
      <c r="E242" s="134">
        <v>8090</v>
      </c>
      <c r="F242" s="134">
        <v>1240</v>
      </c>
      <c r="G242" s="134">
        <v>4020</v>
      </c>
    </row>
    <row r="243" s="119" customFormat="1" spans="1:7">
      <c r="A243" s="134" t="s">
        <v>287</v>
      </c>
      <c r="B243" s="134" t="s">
        <v>2337</v>
      </c>
      <c r="C243" s="134">
        <v>6000</v>
      </c>
      <c r="D243" s="134">
        <v>5970</v>
      </c>
      <c r="E243" s="134">
        <v>7370</v>
      </c>
      <c r="F243" s="134">
        <v>1070</v>
      </c>
      <c r="G243" s="134">
        <v>3670</v>
      </c>
    </row>
    <row r="244" s="119" customFormat="1" spans="1:7">
      <c r="A244" s="134" t="s">
        <v>287</v>
      </c>
      <c r="B244" s="134" t="s">
        <v>2347</v>
      </c>
      <c r="C244" s="134">
        <v>5840</v>
      </c>
      <c r="D244" s="134">
        <v>5810</v>
      </c>
      <c r="E244" s="134">
        <v>7240</v>
      </c>
      <c r="F244" s="134">
        <v>1100</v>
      </c>
      <c r="G244" s="134">
        <v>3560</v>
      </c>
    </row>
    <row r="245" s="119" customFormat="1" spans="1:7">
      <c r="A245" s="134" t="s">
        <v>287</v>
      </c>
      <c r="B245" s="134" t="s">
        <v>2357</v>
      </c>
      <c r="C245" s="134">
        <v>6040</v>
      </c>
      <c r="D245" s="134">
        <v>6000</v>
      </c>
      <c r="E245" s="134">
        <v>7420</v>
      </c>
      <c r="F245" s="134">
        <v>1140</v>
      </c>
      <c r="G245" s="134">
        <v>3690</v>
      </c>
    </row>
    <row r="246" s="119" customFormat="1" spans="1:7">
      <c r="A246" s="134" t="s">
        <v>287</v>
      </c>
      <c r="B246" s="134" t="s">
        <v>2367</v>
      </c>
      <c r="C246" s="134">
        <v>5890</v>
      </c>
      <c r="D246" s="134">
        <v>5860</v>
      </c>
      <c r="E246" s="134">
        <v>7300</v>
      </c>
      <c r="F246" s="134">
        <v>1110</v>
      </c>
      <c r="G246" s="134">
        <v>3590</v>
      </c>
    </row>
    <row r="247" s="119" customFormat="1" spans="1:7">
      <c r="A247" s="134" t="s">
        <v>287</v>
      </c>
      <c r="B247" s="134" t="s">
        <v>2377</v>
      </c>
      <c r="C247" s="134">
        <v>6480</v>
      </c>
      <c r="D247" s="134">
        <v>6450</v>
      </c>
      <c r="E247" s="134">
        <v>8010</v>
      </c>
      <c r="F247" s="134">
        <v>1170</v>
      </c>
      <c r="G247" s="134">
        <v>3960</v>
      </c>
    </row>
    <row r="248" s="119" customFormat="1" spans="1:7">
      <c r="A248" s="134" t="s">
        <v>287</v>
      </c>
      <c r="B248" s="134" t="s">
        <v>2387</v>
      </c>
      <c r="C248" s="134">
        <v>6860</v>
      </c>
      <c r="D248" s="134">
        <v>6840</v>
      </c>
      <c r="E248" s="134">
        <v>8520</v>
      </c>
      <c r="F248" s="134">
        <v>1240</v>
      </c>
      <c r="G248" s="134">
        <v>4200</v>
      </c>
    </row>
    <row r="249" s="119" customFormat="1" spans="1:7">
      <c r="A249" s="134" t="s">
        <v>287</v>
      </c>
      <c r="B249" s="134" t="s">
        <v>2397</v>
      </c>
      <c r="C249" s="134">
        <v>7180</v>
      </c>
      <c r="D249" s="134">
        <v>7140</v>
      </c>
      <c r="E249" s="134">
        <v>8900</v>
      </c>
      <c r="F249" s="134">
        <v>1350</v>
      </c>
      <c r="G249" s="134">
        <v>4380</v>
      </c>
    </row>
    <row r="250" s="119" customFormat="1" spans="1:7">
      <c r="A250" s="134" t="s">
        <v>287</v>
      </c>
      <c r="B250" s="134" t="s">
        <v>2407</v>
      </c>
      <c r="C250" s="134">
        <v>6880</v>
      </c>
      <c r="D250" s="134">
        <v>6860</v>
      </c>
      <c r="E250" s="134">
        <v>8550</v>
      </c>
      <c r="F250" s="134">
        <v>1220</v>
      </c>
      <c r="G250" s="134">
        <v>4210</v>
      </c>
    </row>
    <row r="251" s="119" customFormat="1" spans="1:7">
      <c r="A251" s="134" t="s">
        <v>287</v>
      </c>
      <c r="B251" s="134" t="s">
        <v>2417</v>
      </c>
      <c r="C251" s="134"/>
      <c r="D251" s="134"/>
      <c r="E251" s="134"/>
      <c r="F251" s="134">
        <v>1100</v>
      </c>
      <c r="G251" s="134"/>
    </row>
    <row r="252" s="119" customFormat="1" spans="1:7">
      <c r="A252" s="134" t="s">
        <v>287</v>
      </c>
      <c r="B252" s="134" t="s">
        <v>2427</v>
      </c>
      <c r="C252" s="134">
        <v>7240</v>
      </c>
      <c r="D252" s="134">
        <v>7200</v>
      </c>
      <c r="E252" s="134">
        <v>9040</v>
      </c>
      <c r="F252" s="134">
        <v>1380</v>
      </c>
      <c r="G252" s="134">
        <v>4420</v>
      </c>
    </row>
    <row r="253" s="119" customFormat="1" spans="1:7">
      <c r="A253" s="134" t="s">
        <v>287</v>
      </c>
      <c r="B253" s="134" t="s">
        <v>2437</v>
      </c>
      <c r="C253" s="134">
        <v>6670</v>
      </c>
      <c r="D253" s="134">
        <v>6650</v>
      </c>
      <c r="E253" s="134">
        <v>8350</v>
      </c>
      <c r="F253" s="134">
        <v>1260</v>
      </c>
      <c r="G253" s="134">
        <v>4080</v>
      </c>
    </row>
    <row r="254" s="119" customFormat="1" spans="1:7">
      <c r="A254" s="134" t="s">
        <v>287</v>
      </c>
      <c r="B254" s="134" t="s">
        <v>2446</v>
      </c>
      <c r="C254" s="134">
        <v>7630</v>
      </c>
      <c r="D254" s="134">
        <v>7590</v>
      </c>
      <c r="E254" s="134">
        <v>9380</v>
      </c>
      <c r="F254" s="134">
        <v>1320</v>
      </c>
      <c r="G254" s="134">
        <v>4660</v>
      </c>
    </row>
    <row r="255" s="119" customFormat="1" spans="1:7">
      <c r="A255" s="134" t="s">
        <v>287</v>
      </c>
      <c r="B255" s="134" t="s">
        <v>2454</v>
      </c>
      <c r="C255" s="134">
        <v>6940</v>
      </c>
      <c r="D255" s="134">
        <v>6890</v>
      </c>
      <c r="E255" s="134">
        <v>8650</v>
      </c>
      <c r="F255" s="134">
        <v>1210</v>
      </c>
      <c r="G255" s="134">
        <v>4230</v>
      </c>
    </row>
    <row r="256" s="119" customFormat="1" spans="1:7">
      <c r="A256" s="134" t="s">
        <v>287</v>
      </c>
      <c r="B256" s="134" t="s">
        <v>2462</v>
      </c>
      <c r="C256" s="134">
        <v>7520</v>
      </c>
      <c r="D256" s="134">
        <v>7490</v>
      </c>
      <c r="E256" s="134">
        <v>9240</v>
      </c>
      <c r="F256" s="134">
        <v>1270</v>
      </c>
      <c r="G256" s="134">
        <v>4590</v>
      </c>
    </row>
    <row r="257" s="119" customFormat="1" spans="1:7">
      <c r="A257" s="134" t="s">
        <v>287</v>
      </c>
      <c r="B257" s="134" t="s">
        <v>2470</v>
      </c>
      <c r="C257" s="134">
        <v>6280</v>
      </c>
      <c r="D257" s="134">
        <v>6230</v>
      </c>
      <c r="E257" s="134">
        <v>7740</v>
      </c>
      <c r="F257" s="134">
        <v>1080</v>
      </c>
      <c r="G257" s="134">
        <v>3830</v>
      </c>
    </row>
    <row r="258" s="119" customFormat="1" spans="1:7">
      <c r="A258" s="134" t="s">
        <v>287</v>
      </c>
      <c r="B258" s="134" t="s">
        <v>2478</v>
      </c>
      <c r="C258" s="134">
        <v>6190</v>
      </c>
      <c r="D258" s="134">
        <v>6160</v>
      </c>
      <c r="E258" s="134">
        <v>7680</v>
      </c>
      <c r="F258" s="134">
        <v>1170</v>
      </c>
      <c r="G258" s="134">
        <v>3780</v>
      </c>
    </row>
    <row r="259" s="119" customFormat="1" spans="1:7">
      <c r="A259" s="134" t="s">
        <v>287</v>
      </c>
      <c r="B259" s="134" t="s">
        <v>2485</v>
      </c>
      <c r="C259" s="134">
        <v>7610</v>
      </c>
      <c r="D259" s="134">
        <v>7570</v>
      </c>
      <c r="E259" s="134">
        <v>9350</v>
      </c>
      <c r="F259" s="134">
        <v>1350</v>
      </c>
      <c r="G259" s="134">
        <v>4650</v>
      </c>
    </row>
    <row r="260" s="119" customFormat="1" spans="1:7">
      <c r="A260" s="134" t="s">
        <v>287</v>
      </c>
      <c r="B260" s="134" t="s">
        <v>2492</v>
      </c>
      <c r="C260" s="134">
        <v>6920</v>
      </c>
      <c r="D260" s="134">
        <v>6880</v>
      </c>
      <c r="E260" s="134">
        <v>8380</v>
      </c>
      <c r="F260" s="134">
        <v>1160</v>
      </c>
      <c r="G260" s="134">
        <v>4220</v>
      </c>
    </row>
    <row r="261" s="119" customFormat="1" spans="1:7">
      <c r="A261" s="134" t="s">
        <v>287</v>
      </c>
      <c r="B261" s="134" t="s">
        <v>2499</v>
      </c>
      <c r="C261" s="134">
        <v>6850</v>
      </c>
      <c r="D261" s="134">
        <v>6810</v>
      </c>
      <c r="E261" s="134">
        <v>8290</v>
      </c>
      <c r="F261" s="134">
        <v>1130</v>
      </c>
      <c r="G261" s="134">
        <v>4180</v>
      </c>
    </row>
    <row r="262" s="119" customFormat="1" spans="1:7">
      <c r="A262" s="134" t="s">
        <v>287</v>
      </c>
      <c r="B262" s="134" t="s">
        <v>2506</v>
      </c>
      <c r="C262" s="134">
        <v>5860</v>
      </c>
      <c r="D262" s="134">
        <v>5820</v>
      </c>
      <c r="E262" s="134">
        <v>7640</v>
      </c>
      <c r="F262" s="134">
        <v>1070</v>
      </c>
      <c r="G262" s="134">
        <v>3570</v>
      </c>
    </row>
    <row r="263" s="119" customFormat="1" spans="1:7">
      <c r="A263" s="134" t="s">
        <v>287</v>
      </c>
      <c r="B263" s="134" t="s">
        <v>2513</v>
      </c>
      <c r="C263" s="134">
        <v>5870</v>
      </c>
      <c r="D263" s="134">
        <v>5840</v>
      </c>
      <c r="E263" s="134">
        <v>7270</v>
      </c>
      <c r="F263" s="134">
        <v>1190</v>
      </c>
      <c r="G263" s="134">
        <v>3580</v>
      </c>
    </row>
    <row r="264" s="119" customFormat="1" spans="1:7">
      <c r="A264" s="134" t="s">
        <v>287</v>
      </c>
      <c r="B264" s="134" t="s">
        <v>2520</v>
      </c>
      <c r="C264" s="134">
        <v>6190</v>
      </c>
      <c r="D264" s="134">
        <v>6150</v>
      </c>
      <c r="E264" s="134">
        <v>7660</v>
      </c>
      <c r="F264" s="134">
        <v>1160</v>
      </c>
      <c r="G264" s="134">
        <v>3770</v>
      </c>
    </row>
    <row r="265" s="119" customFormat="1" spans="1:7">
      <c r="A265" s="134" t="s">
        <v>287</v>
      </c>
      <c r="B265" s="134" t="s">
        <v>2527</v>
      </c>
      <c r="C265" s="134"/>
      <c r="D265" s="134"/>
      <c r="E265" s="134"/>
      <c r="F265" s="134">
        <v>1500</v>
      </c>
      <c r="G265" s="134"/>
    </row>
    <row r="266" s="119" customFormat="1" spans="1:7">
      <c r="A266" s="134" t="s">
        <v>287</v>
      </c>
      <c r="B266" s="134" t="s">
        <v>2532</v>
      </c>
      <c r="C266" s="134"/>
      <c r="D266" s="134"/>
      <c r="E266" s="134"/>
      <c r="F266" s="134">
        <v>1500</v>
      </c>
      <c r="G266" s="134"/>
    </row>
    <row r="267" s="119" customFormat="1" spans="1:7">
      <c r="A267" s="134" t="s">
        <v>287</v>
      </c>
      <c r="B267" s="134" t="s">
        <v>2537</v>
      </c>
      <c r="C267" s="134"/>
      <c r="D267" s="134"/>
      <c r="E267" s="134"/>
      <c r="F267" s="134">
        <v>1500</v>
      </c>
      <c r="G267" s="134"/>
    </row>
    <row r="268" s="119" customFormat="1" spans="1:7">
      <c r="A268" s="134" t="s">
        <v>287</v>
      </c>
      <c r="B268" s="134" t="s">
        <v>2542</v>
      </c>
      <c r="C268" s="134"/>
      <c r="D268" s="134"/>
      <c r="E268" s="134"/>
      <c r="F268" s="134">
        <v>1290</v>
      </c>
      <c r="G268" s="134"/>
    </row>
    <row r="269" s="119" customFormat="1" spans="1:7">
      <c r="A269" s="134" t="s">
        <v>287</v>
      </c>
      <c r="B269" s="134" t="s">
        <v>2547</v>
      </c>
      <c r="C269" s="134"/>
      <c r="D269" s="134"/>
      <c r="E269" s="134"/>
      <c r="F269" s="134">
        <v>1150</v>
      </c>
      <c r="G269" s="134"/>
    </row>
    <row r="270" s="119" customFormat="1" spans="1:7">
      <c r="A270" s="134" t="s">
        <v>287</v>
      </c>
      <c r="B270" s="134" t="s">
        <v>2552</v>
      </c>
      <c r="C270" s="134"/>
      <c r="D270" s="134"/>
      <c r="E270" s="134"/>
      <c r="F270" s="134">
        <v>1380</v>
      </c>
      <c r="G270" s="134"/>
    </row>
    <row r="271" s="119" customFormat="1" spans="1:7">
      <c r="A271" s="134" t="s">
        <v>287</v>
      </c>
      <c r="B271" s="134" t="s">
        <v>2557</v>
      </c>
      <c r="C271" s="134"/>
      <c r="D271" s="134"/>
      <c r="E271" s="134"/>
      <c r="F271" s="134">
        <v>1460</v>
      </c>
      <c r="G271" s="134"/>
    </row>
    <row r="272" s="119" customFormat="1" spans="1:7">
      <c r="A272" s="134" t="s">
        <v>287</v>
      </c>
      <c r="B272" s="134" t="s">
        <v>2562</v>
      </c>
      <c r="C272" s="134"/>
      <c r="D272" s="134"/>
      <c r="E272" s="134"/>
      <c r="F272" s="134">
        <v>1460</v>
      </c>
      <c r="G272" s="134"/>
    </row>
    <row r="273" s="119" customFormat="1" spans="1:7">
      <c r="A273" s="134" t="s">
        <v>287</v>
      </c>
      <c r="B273" s="134" t="s">
        <v>2567</v>
      </c>
      <c r="C273" s="134"/>
      <c r="D273" s="134"/>
      <c r="E273" s="134"/>
      <c r="F273" s="134">
        <v>1490</v>
      </c>
      <c r="G273" s="134"/>
    </row>
    <row r="274" s="119" customFormat="1" spans="1:7">
      <c r="A274" s="134" t="s">
        <v>287</v>
      </c>
      <c r="B274" s="134" t="s">
        <v>2571</v>
      </c>
      <c r="C274" s="134"/>
      <c r="D274" s="134"/>
      <c r="E274" s="134"/>
      <c r="F274" s="134">
        <v>1490</v>
      </c>
      <c r="G274" s="134"/>
    </row>
    <row r="275" s="119" customFormat="1" spans="1:7">
      <c r="A275" s="134" t="s">
        <v>287</v>
      </c>
      <c r="B275" s="134" t="s">
        <v>2575</v>
      </c>
      <c r="C275" s="134"/>
      <c r="D275" s="134"/>
      <c r="E275" s="134"/>
      <c r="F275" s="134">
        <v>1220</v>
      </c>
      <c r="G275" s="134"/>
    </row>
    <row r="276" s="119" customFormat="1" ht="11.55" spans="1:7">
      <c r="A276" s="136" t="s">
        <v>287</v>
      </c>
      <c r="B276" s="139" t="s">
        <v>2579</v>
      </c>
      <c r="C276" s="140"/>
      <c r="D276" s="140"/>
      <c r="E276" s="140"/>
      <c r="F276" s="140">
        <v>1380</v>
      </c>
      <c r="G276" s="140"/>
    </row>
    <row r="277" s="119" customFormat="1" spans="1:7">
      <c r="A277" s="132" t="s">
        <v>291</v>
      </c>
      <c r="B277" s="133" t="s">
        <v>2234</v>
      </c>
      <c r="C277" s="133">
        <v>5790</v>
      </c>
      <c r="D277" s="133">
        <v>5740</v>
      </c>
      <c r="E277" s="133">
        <v>6730</v>
      </c>
      <c r="F277" s="133">
        <v>1110</v>
      </c>
      <c r="G277" s="141">
        <v>3460</v>
      </c>
    </row>
    <row r="278" s="119" customFormat="1" spans="1:7">
      <c r="A278" s="134" t="s">
        <v>291</v>
      </c>
      <c r="B278" s="134" t="s">
        <v>2247</v>
      </c>
      <c r="C278" s="134">
        <v>5740</v>
      </c>
      <c r="D278" s="134">
        <v>5670</v>
      </c>
      <c r="E278" s="134">
        <v>6680</v>
      </c>
      <c r="F278" s="134">
        <v>1070</v>
      </c>
      <c r="G278" s="142">
        <v>3420</v>
      </c>
    </row>
    <row r="279" s="119" customFormat="1" spans="1:7">
      <c r="A279" s="134" t="s">
        <v>291</v>
      </c>
      <c r="B279" s="134" t="s">
        <v>2261</v>
      </c>
      <c r="C279" s="134">
        <v>4760</v>
      </c>
      <c r="D279" s="134">
        <v>4720</v>
      </c>
      <c r="E279" s="134">
        <v>5540</v>
      </c>
      <c r="F279" s="134">
        <v>810</v>
      </c>
      <c r="G279" s="142">
        <v>2850</v>
      </c>
    </row>
    <row r="280" s="119" customFormat="1" spans="1:7">
      <c r="A280" s="134" t="s">
        <v>291</v>
      </c>
      <c r="B280" s="134" t="s">
        <v>2273</v>
      </c>
      <c r="C280" s="134">
        <v>4010</v>
      </c>
      <c r="D280" s="134">
        <v>3950</v>
      </c>
      <c r="E280" s="134">
        <v>4710</v>
      </c>
      <c r="F280" s="134">
        <v>800</v>
      </c>
      <c r="G280" s="142">
        <v>2390</v>
      </c>
    </row>
    <row r="281" s="119" customFormat="1" spans="1:7">
      <c r="A281" s="134" t="s">
        <v>291</v>
      </c>
      <c r="B281" s="134" t="s">
        <v>2285</v>
      </c>
      <c r="C281" s="134">
        <v>4480</v>
      </c>
      <c r="D281" s="134">
        <v>4420</v>
      </c>
      <c r="E281" s="134">
        <v>5230</v>
      </c>
      <c r="F281" s="134">
        <v>870</v>
      </c>
      <c r="G281" s="142">
        <v>2660</v>
      </c>
    </row>
    <row r="282" s="119" customFormat="1" spans="1:7">
      <c r="A282" s="134" t="s">
        <v>291</v>
      </c>
      <c r="B282" s="134" t="s">
        <v>2296</v>
      </c>
      <c r="C282" s="134">
        <v>5360</v>
      </c>
      <c r="D282" s="134">
        <v>5300</v>
      </c>
      <c r="E282" s="134">
        <v>6190</v>
      </c>
      <c r="F282" s="134">
        <v>950</v>
      </c>
      <c r="G282" s="142">
        <v>3190</v>
      </c>
    </row>
    <row r="283" s="119" customFormat="1" spans="1:7">
      <c r="A283" s="134" t="s">
        <v>291</v>
      </c>
      <c r="B283" s="134" t="s">
        <v>2307</v>
      </c>
      <c r="C283" s="134">
        <v>4950</v>
      </c>
      <c r="D283" s="134">
        <v>4900</v>
      </c>
      <c r="E283" s="134">
        <v>5720</v>
      </c>
      <c r="F283" s="134">
        <v>920</v>
      </c>
      <c r="G283" s="142">
        <v>2950</v>
      </c>
    </row>
    <row r="284" s="119" customFormat="1" spans="1:7">
      <c r="A284" s="134" t="s">
        <v>291</v>
      </c>
      <c r="B284" s="134" t="s">
        <v>2318</v>
      </c>
      <c r="C284" s="134">
        <v>5610</v>
      </c>
      <c r="D284" s="134">
        <v>5560</v>
      </c>
      <c r="E284" s="134">
        <v>6520</v>
      </c>
      <c r="F284" s="134">
        <v>1030</v>
      </c>
      <c r="G284" s="142">
        <v>3360</v>
      </c>
    </row>
    <row r="285" s="119" customFormat="1" spans="1:7">
      <c r="A285" s="134" t="s">
        <v>291</v>
      </c>
      <c r="B285" s="134" t="s">
        <v>2328</v>
      </c>
      <c r="C285" s="134">
        <v>5340</v>
      </c>
      <c r="D285" s="134">
        <v>5290</v>
      </c>
      <c r="E285" s="134">
        <v>6170</v>
      </c>
      <c r="F285" s="134">
        <v>1080</v>
      </c>
      <c r="G285" s="142">
        <v>3180</v>
      </c>
    </row>
    <row r="286" s="119" customFormat="1" spans="1:7">
      <c r="A286" s="134" t="s">
        <v>291</v>
      </c>
      <c r="B286" s="134" t="s">
        <v>2338</v>
      </c>
      <c r="C286" s="134">
        <v>4890</v>
      </c>
      <c r="D286" s="134">
        <v>4840</v>
      </c>
      <c r="E286" s="134">
        <v>5640</v>
      </c>
      <c r="F286" s="134">
        <v>960</v>
      </c>
      <c r="G286" s="142">
        <v>2910</v>
      </c>
    </row>
    <row r="287" s="119" customFormat="1" spans="1:7">
      <c r="A287" s="134" t="s">
        <v>291</v>
      </c>
      <c r="B287" s="134" t="s">
        <v>2348</v>
      </c>
      <c r="C287" s="134">
        <v>4960</v>
      </c>
      <c r="D287" s="134">
        <v>4920</v>
      </c>
      <c r="E287" s="134">
        <v>5730</v>
      </c>
      <c r="F287" s="134">
        <v>930</v>
      </c>
      <c r="G287" s="142">
        <v>2960</v>
      </c>
    </row>
    <row r="288" s="119" customFormat="1" spans="1:7">
      <c r="A288" s="134" t="s">
        <v>291</v>
      </c>
      <c r="B288" s="134" t="s">
        <v>2358</v>
      </c>
      <c r="C288" s="134">
        <v>4350</v>
      </c>
      <c r="D288" s="134">
        <v>4300</v>
      </c>
      <c r="E288" s="134">
        <v>4900</v>
      </c>
      <c r="F288" s="134">
        <v>820</v>
      </c>
      <c r="G288" s="142">
        <v>2590</v>
      </c>
    </row>
    <row r="289" s="119" customFormat="1" spans="1:7">
      <c r="A289" s="134" t="s">
        <v>291</v>
      </c>
      <c r="B289" s="134" t="s">
        <v>2368</v>
      </c>
      <c r="C289" s="134">
        <v>5230</v>
      </c>
      <c r="D289" s="134">
        <v>5170</v>
      </c>
      <c r="E289" s="134">
        <v>6060</v>
      </c>
      <c r="F289" s="134">
        <v>900</v>
      </c>
      <c r="G289" s="142">
        <v>3120</v>
      </c>
    </row>
    <row r="290" s="119" customFormat="1" spans="1:7">
      <c r="A290" s="134" t="s">
        <v>291</v>
      </c>
      <c r="B290" s="134" t="s">
        <v>2378</v>
      </c>
      <c r="C290" s="134">
        <v>5550</v>
      </c>
      <c r="D290" s="134">
        <v>5500</v>
      </c>
      <c r="E290" s="134">
        <v>6440</v>
      </c>
      <c r="F290" s="134">
        <v>960</v>
      </c>
      <c r="G290" s="142">
        <v>3320</v>
      </c>
    </row>
    <row r="291" s="119" customFormat="1" spans="1:7">
      <c r="A291" s="134" t="s">
        <v>291</v>
      </c>
      <c r="B291" s="134" t="s">
        <v>2388</v>
      </c>
      <c r="C291" s="134">
        <v>5440</v>
      </c>
      <c r="D291" s="134">
        <v>5400</v>
      </c>
      <c r="E291" s="134">
        <v>6320</v>
      </c>
      <c r="F291" s="134">
        <v>930</v>
      </c>
      <c r="G291" s="142">
        <v>3250</v>
      </c>
    </row>
    <row r="292" s="119" customFormat="1" spans="1:7">
      <c r="A292" s="134" t="s">
        <v>291</v>
      </c>
      <c r="B292" s="134" t="s">
        <v>2398</v>
      </c>
      <c r="C292" s="134">
        <v>5400</v>
      </c>
      <c r="D292" s="134">
        <v>5360</v>
      </c>
      <c r="E292" s="134">
        <v>6270</v>
      </c>
      <c r="F292" s="134">
        <v>1040</v>
      </c>
      <c r="G292" s="142">
        <v>3230</v>
      </c>
    </row>
    <row r="293" s="119" customFormat="1" spans="1:7">
      <c r="A293" s="134" t="s">
        <v>291</v>
      </c>
      <c r="B293" s="134" t="s">
        <v>2408</v>
      </c>
      <c r="C293" s="134">
        <v>5320</v>
      </c>
      <c r="D293" s="134">
        <v>5270</v>
      </c>
      <c r="E293" s="134">
        <v>6160</v>
      </c>
      <c r="F293" s="134">
        <v>990</v>
      </c>
      <c r="G293" s="142">
        <v>3170</v>
      </c>
    </row>
    <row r="294" s="119" customFormat="1" spans="1:7">
      <c r="A294" s="134" t="s">
        <v>291</v>
      </c>
      <c r="B294" s="134" t="s">
        <v>2418</v>
      </c>
      <c r="C294" s="134">
        <v>5260</v>
      </c>
      <c r="D294" s="134">
        <v>5210</v>
      </c>
      <c r="E294" s="134">
        <v>6100</v>
      </c>
      <c r="F294" s="134">
        <v>950</v>
      </c>
      <c r="G294" s="142">
        <v>3150</v>
      </c>
    </row>
    <row r="295" s="119" customFormat="1" spans="1:7">
      <c r="A295" s="134" t="s">
        <v>291</v>
      </c>
      <c r="B295" s="134" t="s">
        <v>2428</v>
      </c>
      <c r="C295" s="134">
        <v>5610</v>
      </c>
      <c r="D295" s="134">
        <v>5570</v>
      </c>
      <c r="E295" s="134">
        <v>6530</v>
      </c>
      <c r="F295" s="134">
        <v>960</v>
      </c>
      <c r="G295" s="142">
        <v>3360</v>
      </c>
    </row>
    <row r="296" s="119" customFormat="1" spans="1:7">
      <c r="A296" s="134" t="s">
        <v>291</v>
      </c>
      <c r="B296" s="134" t="s">
        <v>2438</v>
      </c>
      <c r="C296" s="134">
        <v>5540</v>
      </c>
      <c r="D296" s="134">
        <v>5490</v>
      </c>
      <c r="E296" s="134">
        <v>6430</v>
      </c>
      <c r="F296" s="134">
        <v>980</v>
      </c>
      <c r="G296" s="142">
        <v>3310</v>
      </c>
    </row>
    <row r="297" s="119" customFormat="1" spans="1:7">
      <c r="A297" s="134" t="s">
        <v>291</v>
      </c>
      <c r="B297" s="134" t="s">
        <v>2447</v>
      </c>
      <c r="C297" s="134">
        <v>5480</v>
      </c>
      <c r="D297" s="134">
        <v>5420</v>
      </c>
      <c r="E297" s="134">
        <v>6370</v>
      </c>
      <c r="F297" s="134">
        <v>990</v>
      </c>
      <c r="G297" s="142">
        <v>3270</v>
      </c>
    </row>
    <row r="298" s="119" customFormat="1" spans="1:7">
      <c r="A298" s="134" t="s">
        <v>291</v>
      </c>
      <c r="B298" s="134" t="s">
        <v>2455</v>
      </c>
      <c r="C298" s="134">
        <v>5090</v>
      </c>
      <c r="D298" s="134">
        <v>5050</v>
      </c>
      <c r="E298" s="134">
        <v>5910</v>
      </c>
      <c r="F298" s="134">
        <v>900</v>
      </c>
      <c r="G298" s="142">
        <v>3040</v>
      </c>
    </row>
    <row r="299" s="119" customFormat="1" spans="1:7">
      <c r="A299" s="134" t="s">
        <v>291</v>
      </c>
      <c r="B299" s="148" t="s">
        <v>2463</v>
      </c>
      <c r="C299" s="134">
        <v>5430</v>
      </c>
      <c r="D299" s="134">
        <v>5380</v>
      </c>
      <c r="E299" s="134">
        <v>6280</v>
      </c>
      <c r="F299" s="134">
        <v>1000</v>
      </c>
      <c r="G299" s="142">
        <v>3240</v>
      </c>
    </row>
    <row r="300" s="119" customFormat="1" spans="1:7">
      <c r="A300" s="134" t="s">
        <v>291</v>
      </c>
      <c r="B300" s="148" t="s">
        <v>2471</v>
      </c>
      <c r="C300" s="134">
        <v>4740</v>
      </c>
      <c r="D300" s="134">
        <v>4680</v>
      </c>
      <c r="E300" s="134">
        <v>5450</v>
      </c>
      <c r="F300" s="134">
        <v>900</v>
      </c>
      <c r="G300" s="142">
        <v>2830</v>
      </c>
    </row>
    <row r="301" s="119" customFormat="1" spans="1:7">
      <c r="A301" s="134" t="s">
        <v>291</v>
      </c>
      <c r="B301" s="148" t="s">
        <v>2479</v>
      </c>
      <c r="C301" s="134">
        <v>4870</v>
      </c>
      <c r="D301" s="134">
        <v>4810</v>
      </c>
      <c r="E301" s="134">
        <v>5560</v>
      </c>
      <c r="F301" s="134">
        <v>990</v>
      </c>
      <c r="G301" s="142">
        <v>2910</v>
      </c>
    </row>
    <row r="302" s="119" customFormat="1" spans="1:7">
      <c r="A302" s="134" t="s">
        <v>291</v>
      </c>
      <c r="B302" s="134" t="s">
        <v>2486</v>
      </c>
      <c r="C302" s="134">
        <v>5520</v>
      </c>
      <c r="D302" s="134">
        <v>5470</v>
      </c>
      <c r="E302" s="134">
        <v>6410</v>
      </c>
      <c r="F302" s="134">
        <v>950</v>
      </c>
      <c r="G302" s="142">
        <v>3300</v>
      </c>
    </row>
    <row r="303" s="119" customFormat="1" spans="1:7">
      <c r="A303" s="134" t="s">
        <v>291</v>
      </c>
      <c r="B303" s="134" t="s">
        <v>2493</v>
      </c>
      <c r="C303" s="134">
        <v>5630</v>
      </c>
      <c r="D303" s="134">
        <v>5590</v>
      </c>
      <c r="E303" s="134">
        <v>6550</v>
      </c>
      <c r="F303" s="134">
        <v>1010</v>
      </c>
      <c r="G303" s="142">
        <v>3370</v>
      </c>
    </row>
    <row r="304" s="119" customFormat="1" spans="1:7">
      <c r="A304" s="134" t="s">
        <v>291</v>
      </c>
      <c r="B304" s="134" t="s">
        <v>2500</v>
      </c>
      <c r="C304" s="134">
        <v>5680</v>
      </c>
      <c r="D304" s="134">
        <v>5620</v>
      </c>
      <c r="E304" s="134">
        <v>6620</v>
      </c>
      <c r="F304" s="134">
        <v>1050</v>
      </c>
      <c r="G304" s="142">
        <v>3390</v>
      </c>
    </row>
    <row r="305" s="119" customFormat="1" spans="1:7">
      <c r="A305" s="134" t="s">
        <v>291</v>
      </c>
      <c r="B305" s="134" t="s">
        <v>2507</v>
      </c>
      <c r="C305" s="134">
        <v>5590</v>
      </c>
      <c r="D305" s="134">
        <v>5530</v>
      </c>
      <c r="E305" s="134">
        <v>6460</v>
      </c>
      <c r="F305" s="134">
        <v>900</v>
      </c>
      <c r="G305" s="142">
        <v>3340</v>
      </c>
    </row>
    <row r="306" s="119" customFormat="1" spans="1:7">
      <c r="A306" s="134" t="s">
        <v>291</v>
      </c>
      <c r="B306" s="134" t="s">
        <v>2514</v>
      </c>
      <c r="C306" s="134">
        <v>5560</v>
      </c>
      <c r="D306" s="134">
        <v>5510</v>
      </c>
      <c r="E306" s="134">
        <v>6440</v>
      </c>
      <c r="F306" s="134">
        <v>900</v>
      </c>
      <c r="G306" s="142">
        <v>3320</v>
      </c>
    </row>
    <row r="307" s="119" customFormat="1" spans="1:7">
      <c r="A307" s="134" t="s">
        <v>291</v>
      </c>
      <c r="B307" s="134" t="s">
        <v>2521</v>
      </c>
      <c r="C307" s="134">
        <v>5650</v>
      </c>
      <c r="D307" s="134">
        <v>5600</v>
      </c>
      <c r="E307" s="134">
        <v>6590</v>
      </c>
      <c r="F307" s="134">
        <v>930</v>
      </c>
      <c r="G307" s="142">
        <v>3380</v>
      </c>
    </row>
    <row r="308" s="119" customFormat="1" spans="1:7">
      <c r="A308" s="134" t="s">
        <v>291</v>
      </c>
      <c r="B308" s="134" t="s">
        <v>2528</v>
      </c>
      <c r="C308" s="134">
        <v>5620</v>
      </c>
      <c r="D308" s="134">
        <v>5580</v>
      </c>
      <c r="E308" s="134">
        <v>6540</v>
      </c>
      <c r="F308" s="134">
        <v>910</v>
      </c>
      <c r="G308" s="142">
        <v>3370</v>
      </c>
    </row>
    <row r="309" s="119" customFormat="1" spans="1:7">
      <c r="A309" s="134" t="s">
        <v>291</v>
      </c>
      <c r="B309" s="134" t="s">
        <v>2533</v>
      </c>
      <c r="C309" s="134">
        <v>5060</v>
      </c>
      <c r="D309" s="134">
        <v>5020</v>
      </c>
      <c r="E309" s="134">
        <v>6370</v>
      </c>
      <c r="F309" s="134">
        <v>800</v>
      </c>
      <c r="G309" s="142">
        <v>3020</v>
      </c>
    </row>
    <row r="310" s="119" customFormat="1" spans="1:7">
      <c r="A310" s="134" t="s">
        <v>291</v>
      </c>
      <c r="B310" s="134" t="s">
        <v>2538</v>
      </c>
      <c r="C310" s="134">
        <v>5150</v>
      </c>
      <c r="D310" s="134">
        <v>5110</v>
      </c>
      <c r="E310" s="134">
        <v>6500</v>
      </c>
      <c r="F310" s="134">
        <v>880</v>
      </c>
      <c r="G310" s="142">
        <v>3080</v>
      </c>
    </row>
    <row r="311" s="119" customFormat="1" spans="1:7">
      <c r="A311" s="134" t="s">
        <v>291</v>
      </c>
      <c r="B311" s="134" t="s">
        <v>2543</v>
      </c>
      <c r="C311" s="134">
        <v>4750</v>
      </c>
      <c r="D311" s="134">
        <v>4710</v>
      </c>
      <c r="E311" s="134">
        <v>5510</v>
      </c>
      <c r="F311" s="134">
        <v>880</v>
      </c>
      <c r="G311" s="142">
        <v>2840</v>
      </c>
    </row>
    <row r="312" s="119" customFormat="1" spans="1:7">
      <c r="A312" s="134" t="s">
        <v>291</v>
      </c>
      <c r="B312" s="134" t="s">
        <v>2548</v>
      </c>
      <c r="C312" s="134">
        <v>4690</v>
      </c>
      <c r="D312" s="134">
        <v>4640</v>
      </c>
      <c r="E312" s="134">
        <v>5420</v>
      </c>
      <c r="F312" s="134">
        <v>800</v>
      </c>
      <c r="G312" s="142">
        <v>2800</v>
      </c>
    </row>
    <row r="313" s="119" customFormat="1" spans="1:7">
      <c r="A313" s="134" t="s">
        <v>291</v>
      </c>
      <c r="B313" s="134" t="s">
        <v>2553</v>
      </c>
      <c r="C313" s="134">
        <v>4810</v>
      </c>
      <c r="D313" s="134">
        <v>4760</v>
      </c>
      <c r="E313" s="134">
        <v>5550</v>
      </c>
      <c r="F313" s="134">
        <v>920</v>
      </c>
      <c r="G313" s="142">
        <v>2870</v>
      </c>
    </row>
    <row r="314" s="119" customFormat="1" spans="1:7">
      <c r="A314" s="134" t="s">
        <v>291</v>
      </c>
      <c r="B314" s="134" t="s">
        <v>2558</v>
      </c>
      <c r="C314" s="134"/>
      <c r="D314" s="134"/>
      <c r="E314" s="134"/>
      <c r="F314" s="134">
        <v>1020</v>
      </c>
      <c r="G314" s="142"/>
    </row>
    <row r="315" s="119" customFormat="1" spans="1:7">
      <c r="A315" s="134" t="s">
        <v>291</v>
      </c>
      <c r="B315" s="134" t="s">
        <v>2563</v>
      </c>
      <c r="C315" s="134"/>
      <c r="D315" s="134"/>
      <c r="E315" s="134"/>
      <c r="F315" s="134">
        <v>1050</v>
      </c>
      <c r="G315" s="142"/>
    </row>
    <row r="316" s="119" customFormat="1" spans="1:7">
      <c r="A316" s="134" t="s">
        <v>291</v>
      </c>
      <c r="B316" s="134" t="s">
        <v>2568</v>
      </c>
      <c r="C316" s="134"/>
      <c r="D316" s="134"/>
      <c r="E316" s="134"/>
      <c r="F316" s="134">
        <v>900</v>
      </c>
      <c r="G316" s="142"/>
    </row>
    <row r="317" s="119" customFormat="1" spans="1:7">
      <c r="A317" s="134" t="s">
        <v>291</v>
      </c>
      <c r="B317" s="134" t="s">
        <v>2572</v>
      </c>
      <c r="C317" s="134"/>
      <c r="D317" s="134"/>
      <c r="E317" s="134"/>
      <c r="F317" s="134">
        <v>920</v>
      </c>
      <c r="G317" s="142"/>
    </row>
    <row r="318" s="119" customFormat="1" spans="1:7">
      <c r="A318" s="134" t="s">
        <v>291</v>
      </c>
      <c r="B318" s="134" t="s">
        <v>2576</v>
      </c>
      <c r="C318" s="134"/>
      <c r="D318" s="134"/>
      <c r="E318" s="134"/>
      <c r="F318" s="134">
        <v>1080</v>
      </c>
      <c r="G318" s="142"/>
    </row>
    <row r="319" s="119" customFormat="1" spans="1:7">
      <c r="A319" s="134" t="s">
        <v>291</v>
      </c>
      <c r="B319" s="134" t="s">
        <v>2580</v>
      </c>
      <c r="C319" s="134"/>
      <c r="D319" s="134"/>
      <c r="E319" s="134"/>
      <c r="F319" s="134">
        <v>1020</v>
      </c>
      <c r="G319" s="142"/>
    </row>
    <row r="320" s="119" customFormat="1" spans="1:7">
      <c r="A320" s="134" t="s">
        <v>291</v>
      </c>
      <c r="B320" s="134" t="s">
        <v>2583</v>
      </c>
      <c r="C320" s="134"/>
      <c r="D320" s="134"/>
      <c r="E320" s="134"/>
      <c r="F320" s="134">
        <v>1050</v>
      </c>
      <c r="G320" s="142"/>
    </row>
    <row r="321" s="119" customFormat="1" spans="1:7">
      <c r="A321" s="134" t="s">
        <v>291</v>
      </c>
      <c r="B321" s="134" t="s">
        <v>2585</v>
      </c>
      <c r="C321" s="134"/>
      <c r="D321" s="134"/>
      <c r="E321" s="134"/>
      <c r="F321" s="134">
        <v>960</v>
      </c>
      <c r="G321" s="142"/>
    </row>
    <row r="322" s="119" customFormat="1" spans="1:7">
      <c r="A322" s="134" t="s">
        <v>291</v>
      </c>
      <c r="B322" s="134" t="s">
        <v>2587</v>
      </c>
      <c r="C322" s="134"/>
      <c r="D322" s="134"/>
      <c r="E322" s="134"/>
      <c r="F322" s="134">
        <v>960</v>
      </c>
      <c r="G322" s="142"/>
    </row>
    <row r="323" s="119" customFormat="1" spans="1:7">
      <c r="A323" s="134" t="s">
        <v>291</v>
      </c>
      <c r="B323" s="134" t="s">
        <v>2589</v>
      </c>
      <c r="C323" s="134"/>
      <c r="D323" s="134"/>
      <c r="E323" s="134"/>
      <c r="F323" s="134">
        <v>880</v>
      </c>
      <c r="G323" s="142"/>
    </row>
    <row r="324" s="119" customFormat="1" spans="1:7">
      <c r="A324" s="134" t="s">
        <v>291</v>
      </c>
      <c r="B324" s="134" t="s">
        <v>2591</v>
      </c>
      <c r="C324" s="134"/>
      <c r="D324" s="134"/>
      <c r="E324" s="134"/>
      <c r="F324" s="134">
        <v>930</v>
      </c>
      <c r="G324" s="142"/>
    </row>
    <row r="325" s="119" customFormat="1" spans="1:7">
      <c r="A325" s="134" t="s">
        <v>291</v>
      </c>
      <c r="B325" s="135" t="s">
        <v>2593</v>
      </c>
      <c r="C325" s="134"/>
      <c r="D325" s="134"/>
      <c r="E325" s="134"/>
      <c r="F325" s="134">
        <v>900</v>
      </c>
      <c r="G325" s="142"/>
    </row>
    <row r="326" s="119" customFormat="1" ht="11.55" spans="1:7">
      <c r="A326" s="143" t="s">
        <v>291</v>
      </c>
      <c r="B326" s="138" t="s">
        <v>2595</v>
      </c>
      <c r="C326" s="138"/>
      <c r="D326" s="138"/>
      <c r="E326" s="138"/>
      <c r="F326" s="138">
        <v>790</v>
      </c>
      <c r="G326" s="144"/>
    </row>
    <row r="327" s="119" customFormat="1" spans="1:7">
      <c r="A327" s="132" t="s">
        <v>294</v>
      </c>
      <c r="B327" s="133" t="s">
        <v>2235</v>
      </c>
      <c r="C327" s="134">
        <v>3750</v>
      </c>
      <c r="D327" s="134">
        <v>3710</v>
      </c>
      <c r="E327" s="134">
        <v>4080</v>
      </c>
      <c r="F327" s="134">
        <v>860</v>
      </c>
      <c r="G327" s="134">
        <v>2210</v>
      </c>
    </row>
    <row r="328" s="119" customFormat="1" spans="1:7">
      <c r="A328" s="134" t="s">
        <v>294</v>
      </c>
      <c r="B328" s="134" t="s">
        <v>2248</v>
      </c>
      <c r="C328" s="134">
        <v>3330</v>
      </c>
      <c r="D328" s="134">
        <v>3290</v>
      </c>
      <c r="E328" s="134">
        <v>3610</v>
      </c>
      <c r="F328" s="134">
        <v>850</v>
      </c>
      <c r="G328" s="134">
        <v>1960</v>
      </c>
    </row>
    <row r="329" s="119" customFormat="1" spans="1:7">
      <c r="A329" s="134" t="s">
        <v>294</v>
      </c>
      <c r="B329" s="134" t="s">
        <v>2262</v>
      </c>
      <c r="C329" s="134">
        <v>2730</v>
      </c>
      <c r="D329" s="134">
        <v>2690</v>
      </c>
      <c r="E329" s="134">
        <v>3100</v>
      </c>
      <c r="F329" s="134">
        <v>660</v>
      </c>
      <c r="G329" s="134">
        <v>1610</v>
      </c>
    </row>
    <row r="330" s="119" customFormat="1" spans="1:7">
      <c r="A330" s="134" t="s">
        <v>294</v>
      </c>
      <c r="B330" s="134" t="s">
        <v>2274</v>
      </c>
      <c r="C330" s="134">
        <v>3270</v>
      </c>
      <c r="D330" s="134">
        <v>3240</v>
      </c>
      <c r="E330" s="134">
        <v>3560</v>
      </c>
      <c r="F330" s="134">
        <v>680</v>
      </c>
      <c r="G330" s="134">
        <v>1940</v>
      </c>
    </row>
    <row r="331" s="119" customFormat="1" spans="1:7">
      <c r="A331" s="134" t="s">
        <v>294</v>
      </c>
      <c r="B331" s="134" t="s">
        <v>2286</v>
      </c>
      <c r="C331" s="134">
        <v>3770</v>
      </c>
      <c r="D331" s="134">
        <v>3740</v>
      </c>
      <c r="E331" s="134">
        <v>4110</v>
      </c>
      <c r="F331" s="134">
        <v>730</v>
      </c>
      <c r="G331" s="134">
        <v>2230</v>
      </c>
    </row>
    <row r="332" s="119" customFormat="1" spans="1:7">
      <c r="A332" s="134" t="s">
        <v>294</v>
      </c>
      <c r="B332" s="134" t="s">
        <v>2297</v>
      </c>
      <c r="C332" s="134">
        <v>3520</v>
      </c>
      <c r="D332" s="134">
        <v>3480</v>
      </c>
      <c r="E332" s="134">
        <v>3830</v>
      </c>
      <c r="F332" s="134">
        <v>720</v>
      </c>
      <c r="G332" s="134">
        <v>2090</v>
      </c>
    </row>
    <row r="333" s="119" customFormat="1" spans="1:7">
      <c r="A333" s="134" t="s">
        <v>294</v>
      </c>
      <c r="B333" s="134" t="s">
        <v>2308</v>
      </c>
      <c r="C333" s="134">
        <v>3840</v>
      </c>
      <c r="D333" s="134">
        <v>3800</v>
      </c>
      <c r="E333" s="134">
        <v>4200</v>
      </c>
      <c r="F333" s="134">
        <v>760</v>
      </c>
      <c r="G333" s="134">
        <v>2270</v>
      </c>
    </row>
    <row r="334" s="119" customFormat="1" spans="1:7">
      <c r="A334" s="134" t="s">
        <v>294</v>
      </c>
      <c r="B334" s="134" t="s">
        <v>2319</v>
      </c>
      <c r="C334" s="134">
        <v>3960</v>
      </c>
      <c r="D334" s="134">
        <v>3910</v>
      </c>
      <c r="E334" s="134">
        <v>4340</v>
      </c>
      <c r="F334" s="134">
        <v>780</v>
      </c>
      <c r="G334" s="134">
        <v>2340</v>
      </c>
    </row>
    <row r="335" s="119" customFormat="1" spans="1:7">
      <c r="A335" s="134" t="s">
        <v>294</v>
      </c>
      <c r="B335" s="134" t="s">
        <v>2329</v>
      </c>
      <c r="C335" s="134">
        <v>3710</v>
      </c>
      <c r="D335" s="134">
        <v>3670</v>
      </c>
      <c r="E335" s="134">
        <v>4030</v>
      </c>
      <c r="F335" s="134">
        <v>750</v>
      </c>
      <c r="G335" s="134">
        <v>2200</v>
      </c>
    </row>
    <row r="336" s="119" customFormat="1" spans="1:7">
      <c r="A336" s="134" t="s">
        <v>294</v>
      </c>
      <c r="B336" s="134" t="s">
        <v>2339</v>
      </c>
      <c r="C336" s="134">
        <v>3570</v>
      </c>
      <c r="D336" s="134">
        <v>3530</v>
      </c>
      <c r="E336" s="134">
        <v>3880</v>
      </c>
      <c r="F336" s="134">
        <v>770</v>
      </c>
      <c r="G336" s="134">
        <v>2110</v>
      </c>
    </row>
    <row r="337" s="119" customFormat="1" spans="1:7">
      <c r="A337" s="134" t="s">
        <v>294</v>
      </c>
      <c r="B337" s="134" t="s">
        <v>2349</v>
      </c>
      <c r="C337" s="134">
        <v>3780</v>
      </c>
      <c r="D337" s="134">
        <v>3750</v>
      </c>
      <c r="E337" s="134">
        <v>4130</v>
      </c>
      <c r="F337" s="134">
        <v>750</v>
      </c>
      <c r="G337" s="134">
        <v>2240</v>
      </c>
    </row>
    <row r="338" s="119" customFormat="1" spans="1:7">
      <c r="A338" s="134" t="s">
        <v>294</v>
      </c>
      <c r="B338" s="134" t="s">
        <v>2359</v>
      </c>
      <c r="C338" s="134">
        <v>3600</v>
      </c>
      <c r="D338" s="134">
        <v>3570</v>
      </c>
      <c r="E338" s="134">
        <v>3920</v>
      </c>
      <c r="F338" s="134">
        <v>790</v>
      </c>
      <c r="G338" s="134">
        <v>2140</v>
      </c>
    </row>
    <row r="339" s="119" customFormat="1" spans="1:7">
      <c r="A339" s="134" t="s">
        <v>294</v>
      </c>
      <c r="B339" s="134" t="s">
        <v>2369</v>
      </c>
      <c r="C339" s="134">
        <v>3540</v>
      </c>
      <c r="D339" s="134">
        <v>3500</v>
      </c>
      <c r="E339" s="134">
        <v>3850</v>
      </c>
      <c r="F339" s="134">
        <v>780</v>
      </c>
      <c r="G339" s="134">
        <v>2100</v>
      </c>
    </row>
    <row r="340" s="119" customFormat="1" spans="1:7">
      <c r="A340" s="134" t="s">
        <v>294</v>
      </c>
      <c r="B340" s="134" t="s">
        <v>2379</v>
      </c>
      <c r="C340" s="134">
        <v>3850</v>
      </c>
      <c r="D340" s="134">
        <v>3810</v>
      </c>
      <c r="E340" s="134">
        <v>4210</v>
      </c>
      <c r="F340" s="134">
        <v>750</v>
      </c>
      <c r="G340" s="134">
        <v>2280</v>
      </c>
    </row>
    <row r="341" s="119" customFormat="1" spans="1:7">
      <c r="A341" s="134" t="s">
        <v>294</v>
      </c>
      <c r="B341" s="134" t="s">
        <v>2389</v>
      </c>
      <c r="C341" s="134">
        <v>3780</v>
      </c>
      <c r="D341" s="134">
        <v>3750</v>
      </c>
      <c r="E341" s="134">
        <v>4140</v>
      </c>
      <c r="F341" s="134">
        <v>720</v>
      </c>
      <c r="G341" s="134">
        <v>2240</v>
      </c>
    </row>
    <row r="342" s="119" customFormat="1" spans="1:7">
      <c r="A342" s="134" t="s">
        <v>294</v>
      </c>
      <c r="B342" s="134" t="s">
        <v>2399</v>
      </c>
      <c r="C342" s="134">
        <v>3670</v>
      </c>
      <c r="D342" s="134">
        <v>3620</v>
      </c>
      <c r="E342" s="134">
        <v>3990</v>
      </c>
      <c r="F342" s="134">
        <v>760</v>
      </c>
      <c r="G342" s="134">
        <v>2170</v>
      </c>
    </row>
    <row r="343" s="119" customFormat="1" spans="1:7">
      <c r="A343" s="134" t="s">
        <v>294</v>
      </c>
      <c r="B343" s="134" t="s">
        <v>2409</v>
      </c>
      <c r="C343" s="134">
        <v>3760</v>
      </c>
      <c r="D343" s="134">
        <v>3720</v>
      </c>
      <c r="E343" s="134">
        <v>4090</v>
      </c>
      <c r="F343" s="134">
        <v>780</v>
      </c>
      <c r="G343" s="134">
        <v>2220</v>
      </c>
    </row>
    <row r="344" s="119" customFormat="1" spans="1:7">
      <c r="A344" s="134" t="s">
        <v>294</v>
      </c>
      <c r="B344" s="134" t="s">
        <v>2419</v>
      </c>
      <c r="C344" s="134">
        <v>3680</v>
      </c>
      <c r="D344" s="134">
        <v>3640</v>
      </c>
      <c r="E344" s="134">
        <v>4010</v>
      </c>
      <c r="F344" s="134">
        <v>750</v>
      </c>
      <c r="G344" s="134">
        <v>2180</v>
      </c>
    </row>
    <row r="345" spans="1:10">
      <c r="A345" s="134" t="s">
        <v>294</v>
      </c>
      <c r="B345" s="134" t="s">
        <v>2429</v>
      </c>
      <c r="C345" s="134">
        <v>3190</v>
      </c>
      <c r="D345" s="134">
        <v>3140</v>
      </c>
      <c r="E345" s="134">
        <v>3450</v>
      </c>
      <c r="F345" s="134">
        <v>720</v>
      </c>
      <c r="G345" s="134">
        <v>1880</v>
      </c>
      <c r="J345" s="119"/>
    </row>
    <row r="346" spans="1:10">
      <c r="A346" s="134" t="s">
        <v>294</v>
      </c>
      <c r="B346" s="134" t="s">
        <v>2439</v>
      </c>
      <c r="C346" s="134">
        <v>3630</v>
      </c>
      <c r="D346" s="134">
        <v>3590</v>
      </c>
      <c r="E346" s="134">
        <v>3940</v>
      </c>
      <c r="F346" s="134">
        <v>730</v>
      </c>
      <c r="G346" s="134">
        <v>2150</v>
      </c>
      <c r="J346" s="119"/>
    </row>
    <row r="347" spans="1:10">
      <c r="A347" s="134" t="s">
        <v>294</v>
      </c>
      <c r="B347" s="134" t="s">
        <v>2448</v>
      </c>
      <c r="C347" s="134">
        <v>3860</v>
      </c>
      <c r="D347" s="134">
        <v>3820</v>
      </c>
      <c r="E347" s="134">
        <v>4220</v>
      </c>
      <c r="F347" s="134">
        <v>750</v>
      </c>
      <c r="G347" s="134">
        <v>2280</v>
      </c>
      <c r="J347" s="119"/>
    </row>
    <row r="348" spans="1:10">
      <c r="A348" s="134" t="s">
        <v>294</v>
      </c>
      <c r="B348" s="134" t="s">
        <v>2456</v>
      </c>
      <c r="C348" s="134">
        <v>4000</v>
      </c>
      <c r="D348" s="134">
        <v>3950</v>
      </c>
      <c r="E348" s="134">
        <v>4430</v>
      </c>
      <c r="F348" s="134">
        <v>760</v>
      </c>
      <c r="G348" s="134">
        <v>2360</v>
      </c>
      <c r="J348" s="119"/>
    </row>
    <row r="349" spans="1:10">
      <c r="A349" s="134" t="s">
        <v>294</v>
      </c>
      <c r="B349" s="134" t="s">
        <v>2464</v>
      </c>
      <c r="C349" s="134">
        <v>3820</v>
      </c>
      <c r="D349" s="134">
        <v>3780</v>
      </c>
      <c r="E349" s="134">
        <v>4170</v>
      </c>
      <c r="F349" s="134">
        <v>710</v>
      </c>
      <c r="G349" s="134">
        <v>2260</v>
      </c>
      <c r="J349" s="119"/>
    </row>
    <row r="350" spans="1:10">
      <c r="A350" s="134" t="s">
        <v>294</v>
      </c>
      <c r="B350" s="134" t="s">
        <v>2472</v>
      </c>
      <c r="C350" s="134">
        <v>3760</v>
      </c>
      <c r="D350" s="134">
        <v>3730</v>
      </c>
      <c r="E350" s="134">
        <v>4100</v>
      </c>
      <c r="F350" s="134">
        <v>800</v>
      </c>
      <c r="G350" s="134">
        <v>2230</v>
      </c>
      <c r="J350" s="119"/>
    </row>
    <row r="351" spans="1:10">
      <c r="A351" s="134" t="s">
        <v>294</v>
      </c>
      <c r="B351" s="134" t="s">
        <v>2480</v>
      </c>
      <c r="C351" s="134">
        <v>3610</v>
      </c>
      <c r="D351" s="134">
        <v>3580</v>
      </c>
      <c r="E351" s="134">
        <v>3930</v>
      </c>
      <c r="F351" s="134">
        <v>700</v>
      </c>
      <c r="G351" s="134">
        <v>2140</v>
      </c>
      <c r="J351" s="119"/>
    </row>
    <row r="352" spans="1:7">
      <c r="A352" s="134" t="s">
        <v>294</v>
      </c>
      <c r="B352" s="134" t="s">
        <v>2487</v>
      </c>
      <c r="C352" s="134">
        <v>3670</v>
      </c>
      <c r="D352" s="134">
        <v>3630</v>
      </c>
      <c r="E352" s="134">
        <v>4000</v>
      </c>
      <c r="F352" s="134">
        <v>750</v>
      </c>
      <c r="G352" s="134">
        <v>2180</v>
      </c>
    </row>
    <row r="353" spans="1:7">
      <c r="A353" s="134" t="s">
        <v>294</v>
      </c>
      <c r="B353" s="134" t="s">
        <v>2494</v>
      </c>
      <c r="C353" s="134">
        <v>3190</v>
      </c>
      <c r="D353" s="134">
        <v>3150</v>
      </c>
      <c r="E353" s="134">
        <v>3640</v>
      </c>
      <c r="F353" s="134">
        <v>630</v>
      </c>
      <c r="G353" s="134">
        <v>1890</v>
      </c>
    </row>
    <row r="354" spans="1:7">
      <c r="A354" s="134" t="s">
        <v>294</v>
      </c>
      <c r="B354" s="134" t="s">
        <v>2501</v>
      </c>
      <c r="C354" s="134">
        <v>3450</v>
      </c>
      <c r="D354" s="134">
        <v>3420</v>
      </c>
      <c r="E354" s="134">
        <v>3960</v>
      </c>
      <c r="F354" s="134">
        <v>660</v>
      </c>
      <c r="G354" s="134">
        <v>2050</v>
      </c>
    </row>
    <row r="355" spans="1:7">
      <c r="A355" s="134" t="s">
        <v>294</v>
      </c>
      <c r="B355" s="134" t="s">
        <v>2508</v>
      </c>
      <c r="C355" s="134">
        <v>3650</v>
      </c>
      <c r="D355" s="134">
        <v>3610</v>
      </c>
      <c r="E355" s="134">
        <v>4200</v>
      </c>
      <c r="F355" s="134">
        <v>640</v>
      </c>
      <c r="G355" s="134">
        <v>2160</v>
      </c>
    </row>
    <row r="356" spans="1:7">
      <c r="A356" s="134" t="s">
        <v>294</v>
      </c>
      <c r="B356" s="134" t="s">
        <v>2515</v>
      </c>
      <c r="C356" s="134">
        <v>3260</v>
      </c>
      <c r="D356" s="134">
        <v>3230</v>
      </c>
      <c r="E356" s="134">
        <v>3740</v>
      </c>
      <c r="F356" s="134">
        <v>600</v>
      </c>
      <c r="G356" s="134">
        <v>1930</v>
      </c>
    </row>
    <row r="357" ht="11.55" spans="1:7">
      <c r="A357" s="136" t="s">
        <v>294</v>
      </c>
      <c r="B357" s="140" t="s">
        <v>2522</v>
      </c>
      <c r="C357" s="140">
        <v>3690</v>
      </c>
      <c r="D357" s="140">
        <v>3650</v>
      </c>
      <c r="E357" s="140">
        <v>4020</v>
      </c>
      <c r="F357" s="140">
        <v>700</v>
      </c>
      <c r="G357" s="140">
        <v>2190</v>
      </c>
    </row>
    <row r="358" spans="1:7">
      <c r="A358" s="132" t="s">
        <v>297</v>
      </c>
      <c r="B358" s="133" t="s">
        <v>2236</v>
      </c>
      <c r="C358" s="133">
        <v>2080</v>
      </c>
      <c r="D358" s="133">
        <v>2040</v>
      </c>
      <c r="E358" s="133">
        <v>2010</v>
      </c>
      <c r="F358" s="133">
        <v>530</v>
      </c>
      <c r="G358" s="141">
        <v>1230</v>
      </c>
    </row>
    <row r="359" spans="1:7">
      <c r="A359" s="134" t="s">
        <v>297</v>
      </c>
      <c r="B359" s="134" t="s">
        <v>2249</v>
      </c>
      <c r="C359" s="134">
        <v>1850</v>
      </c>
      <c r="D359" s="134">
        <v>1820</v>
      </c>
      <c r="E359" s="134">
        <v>1780</v>
      </c>
      <c r="F359" s="134">
        <v>520</v>
      </c>
      <c r="G359" s="142">
        <v>1100</v>
      </c>
    </row>
    <row r="360" spans="1:7">
      <c r="A360" s="134" t="s">
        <v>297</v>
      </c>
      <c r="B360" s="134" t="s">
        <v>2263</v>
      </c>
      <c r="C360" s="134">
        <v>2020</v>
      </c>
      <c r="D360" s="134">
        <v>1990</v>
      </c>
      <c r="E360" s="134">
        <v>1950</v>
      </c>
      <c r="F360" s="134">
        <v>500</v>
      </c>
      <c r="G360" s="142">
        <v>1200</v>
      </c>
    </row>
    <row r="361" spans="1:7">
      <c r="A361" s="134" t="s">
        <v>297</v>
      </c>
      <c r="B361" s="134" t="s">
        <v>2275</v>
      </c>
      <c r="C361" s="134">
        <v>2260</v>
      </c>
      <c r="D361" s="134">
        <v>2220</v>
      </c>
      <c r="E361" s="134">
        <v>2180</v>
      </c>
      <c r="F361" s="134">
        <v>580</v>
      </c>
      <c r="G361" s="142">
        <v>1340</v>
      </c>
    </row>
    <row r="362" spans="1:7">
      <c r="A362" s="134" t="s">
        <v>297</v>
      </c>
      <c r="B362" s="134" t="s">
        <v>2287</v>
      </c>
      <c r="C362" s="134">
        <v>2650</v>
      </c>
      <c r="D362" s="134">
        <v>2610</v>
      </c>
      <c r="E362" s="134">
        <v>2570</v>
      </c>
      <c r="F362" s="134">
        <v>630</v>
      </c>
      <c r="G362" s="142">
        <v>1570</v>
      </c>
    </row>
    <row r="363" spans="1:7">
      <c r="A363" s="134" t="s">
        <v>297</v>
      </c>
      <c r="B363" s="134" t="s">
        <v>2298</v>
      </c>
      <c r="C363" s="134">
        <v>2390</v>
      </c>
      <c r="D363" s="134">
        <v>2360</v>
      </c>
      <c r="E363" s="134">
        <v>2320</v>
      </c>
      <c r="F363" s="134">
        <v>600</v>
      </c>
      <c r="G363" s="142">
        <v>1420</v>
      </c>
    </row>
    <row r="364" spans="1:7">
      <c r="A364" s="134" t="s">
        <v>297</v>
      </c>
      <c r="B364" s="134" t="s">
        <v>2309</v>
      </c>
      <c r="C364" s="134">
        <v>2050</v>
      </c>
      <c r="D364" s="134">
        <v>2030</v>
      </c>
      <c r="E364" s="134">
        <v>1990</v>
      </c>
      <c r="F364" s="134">
        <v>550</v>
      </c>
      <c r="G364" s="142">
        <v>1220</v>
      </c>
    </row>
    <row r="365" spans="1:7">
      <c r="A365" s="134" t="s">
        <v>297</v>
      </c>
      <c r="B365" s="134" t="s">
        <v>2320</v>
      </c>
      <c r="C365" s="134">
        <v>2140</v>
      </c>
      <c r="D365" s="134">
        <v>2100</v>
      </c>
      <c r="E365" s="134">
        <v>2060</v>
      </c>
      <c r="F365" s="134">
        <v>540</v>
      </c>
      <c r="G365" s="142">
        <v>1270</v>
      </c>
    </row>
    <row r="366" spans="1:7">
      <c r="A366" s="134" t="s">
        <v>297</v>
      </c>
      <c r="B366" s="134" t="s">
        <v>2330</v>
      </c>
      <c r="C366" s="134">
        <v>2410</v>
      </c>
      <c r="D366" s="134">
        <v>2370</v>
      </c>
      <c r="E366" s="134">
        <v>2330</v>
      </c>
      <c r="F366" s="134">
        <v>570</v>
      </c>
      <c r="G366" s="142">
        <v>1440</v>
      </c>
    </row>
    <row r="367" spans="1:7">
      <c r="A367" s="134" t="s">
        <v>297</v>
      </c>
      <c r="B367" s="134" t="s">
        <v>2340</v>
      </c>
      <c r="C367" s="134">
        <v>2300</v>
      </c>
      <c r="D367" s="134">
        <v>2260</v>
      </c>
      <c r="E367" s="134">
        <v>2220</v>
      </c>
      <c r="F367" s="134">
        <v>560</v>
      </c>
      <c r="G367" s="142">
        <v>1370</v>
      </c>
    </row>
    <row r="368" spans="1:7">
      <c r="A368" s="134" t="s">
        <v>297</v>
      </c>
      <c r="B368" s="134" t="s">
        <v>2350</v>
      </c>
      <c r="C368" s="134">
        <v>2430</v>
      </c>
      <c r="D368" s="134">
        <v>2390</v>
      </c>
      <c r="E368" s="134">
        <v>2350</v>
      </c>
      <c r="F368" s="134">
        <v>570</v>
      </c>
      <c r="G368" s="142">
        <v>1450</v>
      </c>
    </row>
    <row r="369" spans="1:7">
      <c r="A369" s="134" t="s">
        <v>297</v>
      </c>
      <c r="B369" s="134" t="s">
        <v>2360</v>
      </c>
      <c r="C369" s="134">
        <v>2320</v>
      </c>
      <c r="D369" s="134">
        <v>2290</v>
      </c>
      <c r="E369" s="134">
        <v>2250</v>
      </c>
      <c r="F369" s="134">
        <v>550</v>
      </c>
      <c r="G369" s="142">
        <v>1380</v>
      </c>
    </row>
    <row r="370" spans="1:7">
      <c r="A370" s="134" t="s">
        <v>297</v>
      </c>
      <c r="B370" s="134" t="s">
        <v>2370</v>
      </c>
      <c r="C370" s="134">
        <v>2190</v>
      </c>
      <c r="D370" s="134">
        <v>2170</v>
      </c>
      <c r="E370" s="134">
        <v>2130</v>
      </c>
      <c r="F370" s="134">
        <v>530</v>
      </c>
      <c r="G370" s="142">
        <v>1310</v>
      </c>
    </row>
    <row r="371" spans="1:7">
      <c r="A371" s="134" t="s">
        <v>297</v>
      </c>
      <c r="B371" s="134" t="s">
        <v>2380</v>
      </c>
      <c r="C371" s="134">
        <v>2460</v>
      </c>
      <c r="D371" s="134">
        <v>2420</v>
      </c>
      <c r="E371" s="134">
        <v>2370</v>
      </c>
      <c r="F371" s="134">
        <v>560</v>
      </c>
      <c r="G371" s="142">
        <v>1470</v>
      </c>
    </row>
    <row r="372" spans="1:7">
      <c r="A372" s="134" t="s">
        <v>297</v>
      </c>
      <c r="B372" s="134" t="s">
        <v>2390</v>
      </c>
      <c r="C372" s="134">
        <v>2250</v>
      </c>
      <c r="D372" s="134">
        <v>2210</v>
      </c>
      <c r="E372" s="134">
        <v>2180</v>
      </c>
      <c r="F372" s="134">
        <v>550</v>
      </c>
      <c r="G372" s="142">
        <v>1340</v>
      </c>
    </row>
    <row r="373" spans="1:7">
      <c r="A373" s="134" t="s">
        <v>297</v>
      </c>
      <c r="B373" s="134" t="s">
        <v>2400</v>
      </c>
      <c r="C373" s="134">
        <v>2210</v>
      </c>
      <c r="D373" s="134">
        <v>2190</v>
      </c>
      <c r="E373" s="134">
        <v>2150</v>
      </c>
      <c r="F373" s="134">
        <v>530</v>
      </c>
      <c r="G373" s="142">
        <v>1320</v>
      </c>
    </row>
    <row r="374" spans="1:7">
      <c r="A374" s="134" t="s">
        <v>297</v>
      </c>
      <c r="B374" s="134" t="s">
        <v>2410</v>
      </c>
      <c r="C374" s="134">
        <v>2320</v>
      </c>
      <c r="D374" s="134">
        <v>2280</v>
      </c>
      <c r="E374" s="134">
        <v>2230</v>
      </c>
      <c r="F374" s="134">
        <v>580</v>
      </c>
      <c r="G374" s="142">
        <v>1380</v>
      </c>
    </row>
    <row r="375" spans="1:7">
      <c r="A375" s="134" t="s">
        <v>297</v>
      </c>
      <c r="B375" s="134" t="s">
        <v>2420</v>
      </c>
      <c r="C375" s="134">
        <v>2090</v>
      </c>
      <c r="D375" s="134">
        <v>2050</v>
      </c>
      <c r="E375" s="134">
        <v>2020</v>
      </c>
      <c r="F375" s="134">
        <v>520</v>
      </c>
      <c r="G375" s="142">
        <v>1240</v>
      </c>
    </row>
    <row r="376" spans="1:7">
      <c r="A376" s="134" t="s">
        <v>297</v>
      </c>
      <c r="B376" s="134" t="s">
        <v>2430</v>
      </c>
      <c r="C376" s="134">
        <v>2010</v>
      </c>
      <c r="D376" s="134">
        <v>1980</v>
      </c>
      <c r="E376" s="134">
        <v>1940</v>
      </c>
      <c r="F376" s="134">
        <v>540</v>
      </c>
      <c r="G376" s="142">
        <v>1190</v>
      </c>
    </row>
    <row r="377" ht="11.55" spans="1:7">
      <c r="A377" s="136" t="s">
        <v>297</v>
      </c>
      <c r="B377" s="140" t="s">
        <v>2440</v>
      </c>
      <c r="C377" s="140">
        <v>1930</v>
      </c>
      <c r="D377" s="140">
        <v>1890</v>
      </c>
      <c r="E377" s="140">
        <v>1860</v>
      </c>
      <c r="F377" s="140">
        <v>530</v>
      </c>
      <c r="G377" s="149">
        <v>1150</v>
      </c>
    </row>
    <row r="378" spans="1:7">
      <c r="A378" s="150" t="s">
        <v>300</v>
      </c>
      <c r="B378" s="133" t="s">
        <v>2237</v>
      </c>
      <c r="C378" s="133">
        <v>1520</v>
      </c>
      <c r="D378" s="133">
        <v>1490</v>
      </c>
      <c r="E378" s="133">
        <v>1460</v>
      </c>
      <c r="F378" s="133">
        <v>460</v>
      </c>
      <c r="G378" s="141">
        <v>940</v>
      </c>
    </row>
    <row r="379" spans="1:7">
      <c r="A379" s="151" t="s">
        <v>300</v>
      </c>
      <c r="B379" s="134" t="s">
        <v>2250</v>
      </c>
      <c r="C379" s="134">
        <v>1500</v>
      </c>
      <c r="D379" s="134">
        <v>1470</v>
      </c>
      <c r="E379" s="134">
        <v>1430</v>
      </c>
      <c r="F379" s="134">
        <v>460</v>
      </c>
      <c r="G379" s="142">
        <v>920</v>
      </c>
    </row>
    <row r="380" spans="1:7">
      <c r="A380" s="151" t="s">
        <v>300</v>
      </c>
      <c r="B380" s="134" t="s">
        <v>2264</v>
      </c>
      <c r="C380" s="134">
        <v>1620</v>
      </c>
      <c r="D380" s="134">
        <v>1590</v>
      </c>
      <c r="E380" s="134">
        <v>1560</v>
      </c>
      <c r="F380" s="134">
        <v>480</v>
      </c>
      <c r="G380" s="142">
        <v>1000</v>
      </c>
    </row>
    <row r="381" spans="1:7">
      <c r="A381" s="151" t="s">
        <v>300</v>
      </c>
      <c r="B381" s="134" t="s">
        <v>2276</v>
      </c>
      <c r="C381" s="134">
        <v>1460</v>
      </c>
      <c r="D381" s="134">
        <v>1430</v>
      </c>
      <c r="E381" s="134">
        <v>1390</v>
      </c>
      <c r="F381" s="134">
        <v>450</v>
      </c>
      <c r="G381" s="142">
        <v>900</v>
      </c>
    </row>
    <row r="382" spans="1:7">
      <c r="A382" s="151" t="s">
        <v>300</v>
      </c>
      <c r="B382" s="134" t="s">
        <v>2288</v>
      </c>
      <c r="C382" s="134">
        <v>1310</v>
      </c>
      <c r="D382" s="134">
        <v>1280</v>
      </c>
      <c r="E382" s="134">
        <v>1250</v>
      </c>
      <c r="F382" s="134">
        <v>440</v>
      </c>
      <c r="G382" s="142">
        <v>800</v>
      </c>
    </row>
    <row r="383" spans="1:7">
      <c r="A383" s="151" t="s">
        <v>300</v>
      </c>
      <c r="B383" s="134" t="s">
        <v>2299</v>
      </c>
      <c r="C383" s="134">
        <v>1260</v>
      </c>
      <c r="D383" s="134">
        <v>1230</v>
      </c>
      <c r="E383" s="134">
        <v>1200</v>
      </c>
      <c r="F383" s="134">
        <v>420</v>
      </c>
      <c r="G383" s="142">
        <v>770</v>
      </c>
    </row>
    <row r="384" ht="11.55" spans="1:7">
      <c r="A384" s="152" t="s">
        <v>300</v>
      </c>
      <c r="B384" s="138" t="s">
        <v>2310</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2609</v>
      </c>
      <c r="B1" s="84"/>
    </row>
    <row r="2" ht="15.15" spans="1:2">
      <c r="A2" s="84"/>
      <c r="B2" s="84"/>
    </row>
    <row r="3" ht="15.15" spans="1:7">
      <c r="A3" s="84"/>
      <c r="B3" s="84"/>
      <c r="C3" s="85" t="s">
        <v>1561</v>
      </c>
      <c r="D3" s="85" t="s">
        <v>1761</v>
      </c>
      <c r="E3" s="85" t="s">
        <v>1762</v>
      </c>
      <c r="F3" s="85" t="s">
        <v>1763</v>
      </c>
      <c r="G3" s="85" t="s">
        <v>288</v>
      </c>
    </row>
    <row r="4" ht="15.15" spans="1:7">
      <c r="A4" s="86" t="s">
        <v>2238</v>
      </c>
      <c r="B4" s="87" t="s">
        <v>2251</v>
      </c>
      <c r="C4" s="85"/>
      <c r="D4" s="85"/>
      <c r="E4" s="85"/>
      <c r="F4" s="85"/>
      <c r="G4" s="85"/>
    </row>
    <row r="5" spans="1:7">
      <c r="A5" s="88" t="s">
        <v>232</v>
      </c>
      <c r="B5" s="89" t="s">
        <v>406</v>
      </c>
      <c r="C5" s="90">
        <v>0.098</v>
      </c>
      <c r="D5" s="90">
        <v>0.087</v>
      </c>
      <c r="E5" s="90">
        <v>0.087</v>
      </c>
      <c r="F5" s="90">
        <v>0.098</v>
      </c>
      <c r="G5" s="91">
        <v>0.095</v>
      </c>
    </row>
    <row r="6" spans="1:7">
      <c r="A6" s="92" t="s">
        <v>232</v>
      </c>
      <c r="B6" s="93" t="s">
        <v>2239</v>
      </c>
      <c r="C6" s="94">
        <v>0.098</v>
      </c>
      <c r="D6" s="94">
        <v>0.098</v>
      </c>
      <c r="E6" s="94">
        <v>0.098</v>
      </c>
      <c r="F6" s="94">
        <v>0.1</v>
      </c>
      <c r="G6" s="95">
        <v>0.099</v>
      </c>
    </row>
    <row r="7" spans="1:7">
      <c r="A7" s="92" t="s">
        <v>232</v>
      </c>
      <c r="B7" s="93" t="s">
        <v>2253</v>
      </c>
      <c r="C7" s="94">
        <v>0.097</v>
      </c>
      <c r="D7" s="94">
        <v>0.097</v>
      </c>
      <c r="E7" s="94">
        <v>0.096</v>
      </c>
      <c r="F7" s="94">
        <v>0.1</v>
      </c>
      <c r="G7" s="95">
        <v>0.098</v>
      </c>
    </row>
    <row r="8" spans="1:7">
      <c r="A8" s="92" t="s">
        <v>232</v>
      </c>
      <c r="B8" s="93" t="s">
        <v>2265</v>
      </c>
      <c r="C8" s="94">
        <v>0.081</v>
      </c>
      <c r="D8" s="94">
        <v>0.082</v>
      </c>
      <c r="E8" s="94">
        <v>0.07</v>
      </c>
      <c r="F8" s="94">
        <v>0.096</v>
      </c>
      <c r="G8" s="95">
        <v>0.089</v>
      </c>
    </row>
    <row r="9" ht="15.15" spans="1:7">
      <c r="A9" s="96" t="s">
        <v>232</v>
      </c>
      <c r="B9" s="97" t="s">
        <v>2277</v>
      </c>
      <c r="C9" s="98">
        <v>0.1</v>
      </c>
      <c r="D9" s="98">
        <v>0.1</v>
      </c>
      <c r="E9" s="98">
        <v>0.1</v>
      </c>
      <c r="F9" s="99"/>
      <c r="G9" s="100">
        <v>0.1</v>
      </c>
    </row>
    <row r="10" spans="1:7">
      <c r="A10" s="88" t="s">
        <v>243</v>
      </c>
      <c r="B10" s="89" t="s">
        <v>2227</v>
      </c>
      <c r="C10" s="90">
        <v>0.067</v>
      </c>
      <c r="D10" s="90">
        <v>0.079</v>
      </c>
      <c r="E10" s="90">
        <v>0.079</v>
      </c>
      <c r="F10" s="90">
        <v>0.1</v>
      </c>
      <c r="G10" s="91">
        <v>0.091</v>
      </c>
    </row>
    <row r="11" spans="1:7">
      <c r="A11" s="92" t="s">
        <v>243</v>
      </c>
      <c r="B11" s="93" t="s">
        <v>2240</v>
      </c>
      <c r="C11" s="94">
        <v>0.05</v>
      </c>
      <c r="D11" s="94">
        <v>0.053</v>
      </c>
      <c r="E11" s="94">
        <v>0.063</v>
      </c>
      <c r="F11" s="94">
        <v>0.1</v>
      </c>
      <c r="G11" s="95">
        <v>0.072</v>
      </c>
    </row>
    <row r="12" spans="1:7">
      <c r="A12" s="92" t="s">
        <v>243</v>
      </c>
      <c r="B12" s="93" t="s">
        <v>2254</v>
      </c>
      <c r="C12" s="94">
        <v>0.053</v>
      </c>
      <c r="D12" s="94">
        <v>0.09</v>
      </c>
      <c r="E12" s="94">
        <v>0.072</v>
      </c>
      <c r="F12" s="94">
        <v>0.1</v>
      </c>
      <c r="G12" s="95">
        <v>0.097</v>
      </c>
    </row>
    <row r="13" spans="1:7">
      <c r="A13" s="92" t="s">
        <v>243</v>
      </c>
      <c r="B13" s="93" t="s">
        <v>2266</v>
      </c>
      <c r="C13" s="94">
        <v>0.097</v>
      </c>
      <c r="D13" s="94">
        <v>0.092</v>
      </c>
      <c r="E13" s="94">
        <v>0.095</v>
      </c>
      <c r="F13" s="94">
        <v>0.1</v>
      </c>
      <c r="G13" s="95">
        <v>0.097</v>
      </c>
    </row>
    <row r="14" spans="1:7">
      <c r="A14" s="92" t="s">
        <v>243</v>
      </c>
      <c r="B14" s="93" t="s">
        <v>2278</v>
      </c>
      <c r="C14" s="94">
        <v>0.097</v>
      </c>
      <c r="D14" s="94">
        <v>0.097</v>
      </c>
      <c r="E14" s="94">
        <v>0.097</v>
      </c>
      <c r="F14" s="94">
        <v>0.1</v>
      </c>
      <c r="G14" s="95">
        <v>0.098</v>
      </c>
    </row>
    <row r="15" spans="1:7">
      <c r="A15" s="92" t="s">
        <v>243</v>
      </c>
      <c r="B15" s="93" t="s">
        <v>2289</v>
      </c>
      <c r="C15" s="94">
        <v>0.098</v>
      </c>
      <c r="D15" s="94">
        <v>0.091</v>
      </c>
      <c r="E15" s="94">
        <v>0.06</v>
      </c>
      <c r="F15" s="94">
        <v>0.1</v>
      </c>
      <c r="G15" s="95">
        <v>0.097</v>
      </c>
    </row>
    <row r="16" spans="1:7">
      <c r="A16" s="92" t="s">
        <v>243</v>
      </c>
      <c r="B16" s="93" t="s">
        <v>2300</v>
      </c>
      <c r="C16" s="94">
        <v>0.098</v>
      </c>
      <c r="D16" s="94">
        <v>0.097</v>
      </c>
      <c r="E16" s="94">
        <v>0.095</v>
      </c>
      <c r="F16" s="94">
        <v>0.1</v>
      </c>
      <c r="G16" s="95">
        <v>0.099</v>
      </c>
    </row>
    <row r="17" spans="1:7">
      <c r="A17" s="92" t="s">
        <v>243</v>
      </c>
      <c r="B17" s="93" t="s">
        <v>2311</v>
      </c>
      <c r="C17" s="94">
        <v>0.089</v>
      </c>
      <c r="D17" s="94">
        <v>0.092</v>
      </c>
      <c r="E17" s="94">
        <v>0.061</v>
      </c>
      <c r="F17" s="94">
        <v>0.1</v>
      </c>
      <c r="G17" s="95">
        <v>0.097</v>
      </c>
    </row>
    <row r="18" spans="1:7">
      <c r="A18" s="92" t="s">
        <v>243</v>
      </c>
      <c r="B18" s="93" t="s">
        <v>2321</v>
      </c>
      <c r="C18" s="94">
        <v>0.098</v>
      </c>
      <c r="D18" s="94">
        <v>0.098</v>
      </c>
      <c r="E18" s="94">
        <v>0.098</v>
      </c>
      <c r="F18" s="101"/>
      <c r="G18" s="95">
        <v>0.099</v>
      </c>
    </row>
    <row r="19" spans="1:7">
      <c r="A19" s="92" t="s">
        <v>243</v>
      </c>
      <c r="B19" s="93" t="s">
        <v>2331</v>
      </c>
      <c r="C19" s="94">
        <v>0.099</v>
      </c>
      <c r="D19" s="94">
        <v>0.074</v>
      </c>
      <c r="E19" s="94">
        <v>0.081</v>
      </c>
      <c r="F19" s="101"/>
      <c r="G19" s="95">
        <v>0.093</v>
      </c>
    </row>
    <row r="20" spans="1:7">
      <c r="A20" s="92" t="s">
        <v>243</v>
      </c>
      <c r="B20" s="93" t="s">
        <v>2341</v>
      </c>
      <c r="C20" s="94">
        <v>0.1</v>
      </c>
      <c r="D20" s="94">
        <v>0.089</v>
      </c>
      <c r="E20" s="94">
        <v>0.089</v>
      </c>
      <c r="F20" s="101"/>
      <c r="G20" s="95">
        <v>0.095</v>
      </c>
    </row>
    <row r="21" spans="1:7">
      <c r="A21" s="92" t="s">
        <v>243</v>
      </c>
      <c r="B21" s="93" t="s">
        <v>2351</v>
      </c>
      <c r="C21" s="94">
        <v>0.1</v>
      </c>
      <c r="D21" s="94">
        <v>0.091</v>
      </c>
      <c r="E21" s="94">
        <v>0.082</v>
      </c>
      <c r="F21" s="101"/>
      <c r="G21" s="95">
        <v>0.097</v>
      </c>
    </row>
    <row r="22" spans="1:7">
      <c r="A22" s="92" t="s">
        <v>243</v>
      </c>
      <c r="B22" s="93" t="s">
        <v>2361</v>
      </c>
      <c r="C22" s="94">
        <v>0.095</v>
      </c>
      <c r="D22" s="94">
        <v>0.099</v>
      </c>
      <c r="E22" s="94">
        <v>0.098</v>
      </c>
      <c r="F22" s="101"/>
      <c r="G22" s="95">
        <v>0.1</v>
      </c>
    </row>
    <row r="23" spans="1:7">
      <c r="A23" s="92" t="s">
        <v>243</v>
      </c>
      <c r="B23" s="93" t="s">
        <v>2371</v>
      </c>
      <c r="C23" s="94">
        <v>0.099</v>
      </c>
      <c r="D23" s="94">
        <v>0.1</v>
      </c>
      <c r="E23" s="94">
        <v>0.1</v>
      </c>
      <c r="F23" s="101"/>
      <c r="G23" s="95">
        <v>0.1</v>
      </c>
    </row>
    <row r="24" spans="1:7">
      <c r="A24" s="92" t="s">
        <v>243</v>
      </c>
      <c r="B24" s="93" t="s">
        <v>2381</v>
      </c>
      <c r="C24" s="94">
        <v>0.095</v>
      </c>
      <c r="D24" s="94">
        <v>0.1</v>
      </c>
      <c r="E24" s="94">
        <v>0.098</v>
      </c>
      <c r="F24" s="101"/>
      <c r="G24" s="95">
        <v>0.1</v>
      </c>
    </row>
    <row r="25" spans="1:7">
      <c r="A25" s="92" t="s">
        <v>243</v>
      </c>
      <c r="B25" s="93" t="s">
        <v>2391</v>
      </c>
      <c r="C25" s="94">
        <v>0.05</v>
      </c>
      <c r="D25" s="94">
        <v>0.096</v>
      </c>
      <c r="E25" s="94">
        <v>0.096</v>
      </c>
      <c r="F25" s="101"/>
      <c r="G25" s="95">
        <v>0.096</v>
      </c>
    </row>
    <row r="26" spans="1:7">
      <c r="A26" s="92" t="s">
        <v>243</v>
      </c>
      <c r="B26" s="93" t="s">
        <v>2401</v>
      </c>
      <c r="C26" s="94">
        <v>0.063</v>
      </c>
      <c r="D26" s="94">
        <v>0.099</v>
      </c>
      <c r="E26" s="94">
        <v>0.098</v>
      </c>
      <c r="F26" s="101"/>
      <c r="G26" s="95">
        <v>0.1</v>
      </c>
    </row>
    <row r="27" spans="1:7">
      <c r="A27" s="92" t="s">
        <v>243</v>
      </c>
      <c r="B27" s="93" t="s">
        <v>2411</v>
      </c>
      <c r="C27" s="94">
        <v>0.052</v>
      </c>
      <c r="D27" s="94">
        <v>0.095</v>
      </c>
      <c r="E27" s="94">
        <v>0.064</v>
      </c>
      <c r="F27" s="101"/>
      <c r="G27" s="95">
        <v>0.097</v>
      </c>
    </row>
    <row r="28" spans="1:7">
      <c r="A28" s="92" t="s">
        <v>243</v>
      </c>
      <c r="B28" s="93" t="s">
        <v>2421</v>
      </c>
      <c r="C28" s="101"/>
      <c r="D28" s="94">
        <v>0.063</v>
      </c>
      <c r="E28" s="94">
        <v>0.052</v>
      </c>
      <c r="F28" s="101"/>
      <c r="G28" s="95">
        <v>0.063</v>
      </c>
    </row>
    <row r="29" ht="15.15" spans="1:7">
      <c r="A29" s="96" t="s">
        <v>243</v>
      </c>
      <c r="B29" s="97" t="s">
        <v>2431</v>
      </c>
      <c r="C29" s="102"/>
      <c r="D29" s="98">
        <v>0.052</v>
      </c>
      <c r="E29" s="98">
        <v>0.07</v>
      </c>
      <c r="F29" s="102"/>
      <c r="G29" s="100">
        <v>0.071</v>
      </c>
    </row>
    <row r="30" spans="1:7">
      <c r="A30" s="103" t="s">
        <v>253</v>
      </c>
      <c r="B30" s="89" t="s">
        <v>2228</v>
      </c>
      <c r="C30" s="90">
        <v>0.066</v>
      </c>
      <c r="D30" s="90">
        <v>0.066</v>
      </c>
      <c r="E30" s="90">
        <v>0.057</v>
      </c>
      <c r="F30" s="90">
        <v>0.1</v>
      </c>
      <c r="G30" s="91">
        <v>0.068</v>
      </c>
    </row>
    <row r="31" spans="1:7">
      <c r="A31" s="104" t="s">
        <v>253</v>
      </c>
      <c r="B31" s="93" t="s">
        <v>2241</v>
      </c>
      <c r="C31" s="94">
        <v>0.055</v>
      </c>
      <c r="D31" s="94">
        <v>0.082</v>
      </c>
      <c r="E31" s="94">
        <v>0.064</v>
      </c>
      <c r="F31" s="94">
        <v>0.1</v>
      </c>
      <c r="G31" s="95">
        <v>0.095</v>
      </c>
    </row>
    <row r="32" spans="1:7">
      <c r="A32" s="104" t="s">
        <v>253</v>
      </c>
      <c r="B32" s="93" t="s">
        <v>2255</v>
      </c>
      <c r="C32" s="94">
        <v>0.082</v>
      </c>
      <c r="D32" s="94">
        <v>0.087</v>
      </c>
      <c r="E32" s="94">
        <v>0.095</v>
      </c>
      <c r="F32" s="94">
        <v>0.1</v>
      </c>
      <c r="G32" s="95">
        <v>0.096</v>
      </c>
    </row>
    <row r="33" spans="1:7">
      <c r="A33" s="104" t="s">
        <v>253</v>
      </c>
      <c r="B33" s="93" t="s">
        <v>2267</v>
      </c>
      <c r="C33" s="94">
        <v>0.099</v>
      </c>
      <c r="D33" s="94">
        <v>0.092</v>
      </c>
      <c r="E33" s="94">
        <v>0.087</v>
      </c>
      <c r="F33" s="94">
        <v>0.1</v>
      </c>
      <c r="G33" s="95">
        <v>0.097</v>
      </c>
    </row>
    <row r="34" spans="1:7">
      <c r="A34" s="104" t="s">
        <v>253</v>
      </c>
      <c r="B34" s="93" t="s">
        <v>2279</v>
      </c>
      <c r="C34" s="94">
        <v>0.084</v>
      </c>
      <c r="D34" s="94">
        <v>0.097</v>
      </c>
      <c r="E34" s="94">
        <v>0.071</v>
      </c>
      <c r="F34" s="94">
        <v>0.1</v>
      </c>
      <c r="G34" s="95">
        <v>0.098</v>
      </c>
    </row>
    <row r="35" spans="1:7">
      <c r="A35" s="104" t="s">
        <v>253</v>
      </c>
      <c r="B35" s="93" t="s">
        <v>2290</v>
      </c>
      <c r="C35" s="94">
        <v>0.083</v>
      </c>
      <c r="D35" s="94">
        <v>0.097</v>
      </c>
      <c r="E35" s="94">
        <v>0.061</v>
      </c>
      <c r="F35" s="94">
        <v>0.1</v>
      </c>
      <c r="G35" s="95">
        <v>0.099</v>
      </c>
    </row>
    <row r="36" spans="1:7">
      <c r="A36" s="104" t="s">
        <v>253</v>
      </c>
      <c r="B36" s="93" t="s">
        <v>2301</v>
      </c>
      <c r="C36" s="94">
        <v>0.097</v>
      </c>
      <c r="D36" s="94">
        <v>0.097</v>
      </c>
      <c r="E36" s="94">
        <v>0.078</v>
      </c>
      <c r="F36" s="94">
        <v>0.1</v>
      </c>
      <c r="G36" s="95">
        <v>0.099</v>
      </c>
    </row>
    <row r="37" spans="1:7">
      <c r="A37" s="104" t="s">
        <v>253</v>
      </c>
      <c r="B37" s="93" t="s">
        <v>2312</v>
      </c>
      <c r="C37" s="94">
        <v>0.097</v>
      </c>
      <c r="D37" s="94">
        <v>0.095</v>
      </c>
      <c r="E37" s="94">
        <v>0.078</v>
      </c>
      <c r="F37" s="94">
        <v>0.1</v>
      </c>
      <c r="G37" s="95">
        <v>0.097</v>
      </c>
    </row>
    <row r="38" spans="1:7">
      <c r="A38" s="104" t="s">
        <v>253</v>
      </c>
      <c r="B38" s="93" t="s">
        <v>2322</v>
      </c>
      <c r="C38" s="94">
        <v>0.097</v>
      </c>
      <c r="D38" s="94">
        <v>0.077</v>
      </c>
      <c r="E38" s="94">
        <v>0.07</v>
      </c>
      <c r="F38" s="94">
        <v>0.1</v>
      </c>
      <c r="G38" s="95">
        <v>0.077</v>
      </c>
    </row>
    <row r="39" spans="1:7">
      <c r="A39" s="104" t="s">
        <v>253</v>
      </c>
      <c r="B39" s="93" t="s">
        <v>2332</v>
      </c>
      <c r="C39" s="94">
        <v>0.095</v>
      </c>
      <c r="D39" s="94">
        <v>0.077</v>
      </c>
      <c r="E39" s="94">
        <v>0.066</v>
      </c>
      <c r="F39" s="94">
        <v>0.1</v>
      </c>
      <c r="G39" s="95">
        <v>0.086</v>
      </c>
    </row>
    <row r="40" spans="1:7">
      <c r="A40" s="104" t="s">
        <v>253</v>
      </c>
      <c r="B40" s="93" t="s">
        <v>2342</v>
      </c>
      <c r="C40" s="94">
        <v>0.077</v>
      </c>
      <c r="D40" s="94">
        <v>0.078</v>
      </c>
      <c r="E40" s="94">
        <v>0.082</v>
      </c>
      <c r="F40" s="105"/>
      <c r="G40" s="95">
        <v>0.078</v>
      </c>
    </row>
    <row r="41" spans="1:7">
      <c r="A41" s="104" t="s">
        <v>253</v>
      </c>
      <c r="B41" s="93" t="s">
        <v>2352</v>
      </c>
      <c r="C41" s="94">
        <v>0.078</v>
      </c>
      <c r="D41" s="94">
        <v>0.078</v>
      </c>
      <c r="E41" s="94">
        <v>0.082</v>
      </c>
      <c r="F41" s="105"/>
      <c r="G41" s="95">
        <v>0.086</v>
      </c>
    </row>
    <row r="42" spans="1:7">
      <c r="A42" s="104" t="s">
        <v>253</v>
      </c>
      <c r="B42" s="93" t="s">
        <v>2362</v>
      </c>
      <c r="C42" s="94">
        <v>0.078</v>
      </c>
      <c r="D42" s="94">
        <v>0.096</v>
      </c>
      <c r="E42" s="94">
        <v>0.072</v>
      </c>
      <c r="F42" s="105"/>
      <c r="G42" s="95">
        <v>0.098</v>
      </c>
    </row>
    <row r="43" spans="1:7">
      <c r="A43" s="104" t="s">
        <v>253</v>
      </c>
      <c r="B43" s="93" t="s">
        <v>2372</v>
      </c>
      <c r="C43" s="94">
        <v>0.078</v>
      </c>
      <c r="D43" s="94">
        <v>0.099</v>
      </c>
      <c r="E43" s="94">
        <v>0.096</v>
      </c>
      <c r="F43" s="105"/>
      <c r="G43" s="95">
        <v>0.1</v>
      </c>
    </row>
    <row r="44" spans="1:7">
      <c r="A44" s="104" t="s">
        <v>253</v>
      </c>
      <c r="B44" s="93" t="s">
        <v>2382</v>
      </c>
      <c r="C44" s="94">
        <v>0.096</v>
      </c>
      <c r="D44" s="94">
        <v>0.1</v>
      </c>
      <c r="E44" s="94">
        <v>0.098</v>
      </c>
      <c r="F44" s="105"/>
      <c r="G44" s="95">
        <v>0.1</v>
      </c>
    </row>
    <row r="45" spans="1:7">
      <c r="A45" s="104" t="s">
        <v>253</v>
      </c>
      <c r="B45" s="93" t="s">
        <v>2392</v>
      </c>
      <c r="C45" s="94">
        <v>0.099</v>
      </c>
      <c r="D45" s="94">
        <v>0.098</v>
      </c>
      <c r="E45" s="94">
        <v>0.095</v>
      </c>
      <c r="F45" s="105"/>
      <c r="G45" s="95">
        <v>0.098</v>
      </c>
    </row>
    <row r="46" spans="1:7">
      <c r="A46" s="104" t="s">
        <v>253</v>
      </c>
      <c r="B46" s="93" t="s">
        <v>2402</v>
      </c>
      <c r="C46" s="94">
        <v>0.1</v>
      </c>
      <c r="D46" s="94">
        <v>0.099</v>
      </c>
      <c r="E46" s="94">
        <v>0.096</v>
      </c>
      <c r="F46" s="105"/>
      <c r="G46" s="95">
        <v>0.1</v>
      </c>
    </row>
    <row r="47" spans="1:7">
      <c r="A47" s="104" t="s">
        <v>253</v>
      </c>
      <c r="B47" s="93" t="s">
        <v>2412</v>
      </c>
      <c r="C47" s="94">
        <v>0.098</v>
      </c>
      <c r="D47" s="94">
        <v>0.087</v>
      </c>
      <c r="E47" s="94">
        <v>0.059</v>
      </c>
      <c r="F47" s="105"/>
      <c r="G47" s="95">
        <v>0.096</v>
      </c>
    </row>
    <row r="48" spans="1:7">
      <c r="A48" s="104" t="s">
        <v>253</v>
      </c>
      <c r="B48" s="93" t="s">
        <v>2422</v>
      </c>
      <c r="C48" s="94">
        <v>0.099</v>
      </c>
      <c r="D48" s="94">
        <v>0.098</v>
      </c>
      <c r="E48" s="94">
        <v>0.095</v>
      </c>
      <c r="F48" s="105"/>
      <c r="G48" s="95">
        <v>0.098</v>
      </c>
    </row>
    <row r="49" spans="1:7">
      <c r="A49" s="104" t="s">
        <v>253</v>
      </c>
      <c r="B49" s="93" t="s">
        <v>2432</v>
      </c>
      <c r="C49" s="94">
        <v>0.088</v>
      </c>
      <c r="D49" s="94">
        <v>0.099</v>
      </c>
      <c r="E49" s="94">
        <v>0.07</v>
      </c>
      <c r="F49" s="105"/>
      <c r="G49" s="95">
        <v>0.1</v>
      </c>
    </row>
    <row r="50" spans="1:7">
      <c r="A50" s="104" t="s">
        <v>253</v>
      </c>
      <c r="B50" s="93" t="s">
        <v>2441</v>
      </c>
      <c r="C50" s="94">
        <v>0.098</v>
      </c>
      <c r="D50" s="94">
        <v>0.073</v>
      </c>
      <c r="E50" s="94">
        <v>0.071</v>
      </c>
      <c r="F50" s="105"/>
      <c r="G50" s="95">
        <v>0.073</v>
      </c>
    </row>
    <row r="51" spans="1:7">
      <c r="A51" s="104" t="s">
        <v>253</v>
      </c>
      <c r="B51" s="93" t="s">
        <v>2449</v>
      </c>
      <c r="C51" s="94">
        <v>0.099</v>
      </c>
      <c r="D51" s="94">
        <v>0.085</v>
      </c>
      <c r="E51" s="94">
        <v>0.063</v>
      </c>
      <c r="F51" s="105"/>
      <c r="G51" s="95">
        <v>0.096</v>
      </c>
    </row>
    <row r="52" spans="1:7">
      <c r="A52" s="104" t="s">
        <v>253</v>
      </c>
      <c r="B52" s="93" t="s">
        <v>2457</v>
      </c>
      <c r="C52" s="94">
        <v>0.074</v>
      </c>
      <c r="D52" s="94">
        <v>0.096</v>
      </c>
      <c r="E52" s="94">
        <v>0.05</v>
      </c>
      <c r="F52" s="105"/>
      <c r="G52" s="95">
        <v>0.098</v>
      </c>
    </row>
    <row r="53" spans="1:7">
      <c r="A53" s="104" t="s">
        <v>253</v>
      </c>
      <c r="B53" s="93" t="s">
        <v>2465</v>
      </c>
      <c r="C53" s="94">
        <v>0.086</v>
      </c>
      <c r="D53" s="105"/>
      <c r="E53" s="94">
        <v>0.092</v>
      </c>
      <c r="F53" s="105"/>
      <c r="G53" s="106"/>
    </row>
    <row r="54" ht="15.15" spans="1:7">
      <c r="A54" s="107" t="s">
        <v>253</v>
      </c>
      <c r="B54" s="97" t="s">
        <v>2473</v>
      </c>
      <c r="C54" s="98">
        <v>0.096</v>
      </c>
      <c r="D54" s="99"/>
      <c r="E54" s="108"/>
      <c r="F54" s="99"/>
      <c r="G54" s="109"/>
    </row>
    <row r="55" spans="1:7">
      <c r="A55" s="103" t="s">
        <v>261</v>
      </c>
      <c r="B55" s="89" t="s">
        <v>2229</v>
      </c>
      <c r="C55" s="90">
        <v>0.096</v>
      </c>
      <c r="D55" s="90">
        <v>0.084</v>
      </c>
      <c r="E55" s="90">
        <v>0.092</v>
      </c>
      <c r="F55" s="90">
        <v>0.1</v>
      </c>
      <c r="G55" s="91">
        <v>0.095</v>
      </c>
    </row>
    <row r="56" spans="1:7">
      <c r="A56" s="104" t="s">
        <v>261</v>
      </c>
      <c r="B56" s="93" t="s">
        <v>2242</v>
      </c>
      <c r="C56" s="94">
        <v>0.084</v>
      </c>
      <c r="D56" s="94">
        <v>0.092</v>
      </c>
      <c r="E56" s="94">
        <v>0.095</v>
      </c>
      <c r="F56" s="94">
        <v>0.092</v>
      </c>
      <c r="G56" s="95">
        <v>0.096</v>
      </c>
    </row>
    <row r="57" spans="1:7">
      <c r="A57" s="104" t="s">
        <v>261</v>
      </c>
      <c r="B57" s="93" t="s">
        <v>2256</v>
      </c>
      <c r="C57" s="94">
        <v>0.099</v>
      </c>
      <c r="D57" s="94">
        <v>0.096</v>
      </c>
      <c r="E57" s="94">
        <v>0.092</v>
      </c>
      <c r="F57" s="94">
        <v>0.1</v>
      </c>
      <c r="G57" s="95">
        <v>0.098</v>
      </c>
    </row>
    <row r="58" spans="1:7">
      <c r="A58" s="104" t="s">
        <v>261</v>
      </c>
      <c r="B58" s="93" t="s">
        <v>2268</v>
      </c>
      <c r="C58" s="94">
        <v>0.098</v>
      </c>
      <c r="D58" s="94">
        <v>0.095</v>
      </c>
      <c r="E58" s="94">
        <v>0.057</v>
      </c>
      <c r="F58" s="94">
        <v>0.1</v>
      </c>
      <c r="G58" s="95">
        <v>0.096</v>
      </c>
    </row>
    <row r="59" spans="1:7">
      <c r="A59" s="104" t="s">
        <v>261</v>
      </c>
      <c r="B59" s="93" t="s">
        <v>2280</v>
      </c>
      <c r="C59" s="94">
        <v>0.095</v>
      </c>
      <c r="D59" s="94">
        <v>0.1</v>
      </c>
      <c r="E59" s="94">
        <v>0.075</v>
      </c>
      <c r="F59" s="94">
        <v>0.1</v>
      </c>
      <c r="G59" s="95">
        <v>0.1</v>
      </c>
    </row>
    <row r="60" spans="1:7">
      <c r="A60" s="104" t="s">
        <v>261</v>
      </c>
      <c r="B60" s="93" t="s">
        <v>2291</v>
      </c>
      <c r="C60" s="94">
        <v>0.1</v>
      </c>
      <c r="D60" s="94">
        <v>0.097</v>
      </c>
      <c r="E60" s="94">
        <v>0.1</v>
      </c>
      <c r="F60" s="94">
        <v>0.1</v>
      </c>
      <c r="G60" s="95">
        <v>0.097</v>
      </c>
    </row>
    <row r="61" spans="1:7">
      <c r="A61" s="104" t="s">
        <v>261</v>
      </c>
      <c r="B61" s="93" t="s">
        <v>2302</v>
      </c>
      <c r="C61" s="94">
        <v>0.097</v>
      </c>
      <c r="D61" s="94">
        <v>0.1</v>
      </c>
      <c r="E61" s="94">
        <v>0.093</v>
      </c>
      <c r="F61" s="94">
        <v>0.1</v>
      </c>
      <c r="G61" s="95">
        <v>0.1</v>
      </c>
    </row>
    <row r="62" spans="1:7">
      <c r="A62" s="104" t="s">
        <v>261</v>
      </c>
      <c r="B62" s="93" t="s">
        <v>2313</v>
      </c>
      <c r="C62" s="94">
        <v>0.1</v>
      </c>
      <c r="D62" s="94">
        <v>0.097</v>
      </c>
      <c r="E62" s="94">
        <v>0.089</v>
      </c>
      <c r="F62" s="94">
        <v>0.1</v>
      </c>
      <c r="G62" s="95">
        <v>0.098</v>
      </c>
    </row>
    <row r="63" spans="1:7">
      <c r="A63" s="104" t="s">
        <v>261</v>
      </c>
      <c r="B63" s="93" t="s">
        <v>2323</v>
      </c>
      <c r="C63" s="94">
        <v>0.097</v>
      </c>
      <c r="D63" s="94">
        <v>0.097</v>
      </c>
      <c r="E63" s="94">
        <v>0.099</v>
      </c>
      <c r="F63" s="94">
        <v>0.1</v>
      </c>
      <c r="G63" s="95">
        <v>0.097</v>
      </c>
    </row>
    <row r="64" spans="1:7">
      <c r="A64" s="104" t="s">
        <v>261</v>
      </c>
      <c r="B64" s="93" t="s">
        <v>2333</v>
      </c>
      <c r="C64" s="94">
        <v>0.097</v>
      </c>
      <c r="D64" s="94">
        <v>0.074</v>
      </c>
      <c r="E64" s="94">
        <v>0.078</v>
      </c>
      <c r="F64" s="94">
        <v>0.1</v>
      </c>
      <c r="G64" s="95">
        <v>0.089</v>
      </c>
    </row>
    <row r="65" spans="1:7">
      <c r="A65" s="104" t="s">
        <v>261</v>
      </c>
      <c r="B65" s="93" t="s">
        <v>2343</v>
      </c>
      <c r="C65" s="94">
        <v>0.073</v>
      </c>
      <c r="D65" s="94">
        <v>0.098</v>
      </c>
      <c r="E65" s="94">
        <v>0.095</v>
      </c>
      <c r="F65" s="94">
        <v>0.1</v>
      </c>
      <c r="G65" s="95">
        <v>0.099</v>
      </c>
    </row>
    <row r="66" spans="1:7">
      <c r="A66" s="104" t="s">
        <v>261</v>
      </c>
      <c r="B66" s="93" t="s">
        <v>2353</v>
      </c>
      <c r="C66" s="94">
        <v>0.098</v>
      </c>
      <c r="D66" s="94">
        <v>0.095</v>
      </c>
      <c r="E66" s="94">
        <v>0.05</v>
      </c>
      <c r="F66" s="94">
        <v>0.1</v>
      </c>
      <c r="G66" s="95">
        <v>0.097</v>
      </c>
    </row>
    <row r="67" spans="1:7">
      <c r="A67" s="104" t="s">
        <v>261</v>
      </c>
      <c r="B67" s="93" t="s">
        <v>2363</v>
      </c>
      <c r="C67" s="94">
        <v>0.095</v>
      </c>
      <c r="D67" s="94">
        <v>0.097</v>
      </c>
      <c r="E67" s="94">
        <v>0.097</v>
      </c>
      <c r="F67" s="94">
        <v>0.1</v>
      </c>
      <c r="G67" s="95">
        <v>0.099</v>
      </c>
    </row>
    <row r="68" spans="1:7">
      <c r="A68" s="104" t="s">
        <v>261</v>
      </c>
      <c r="B68" s="93" t="s">
        <v>2373</v>
      </c>
      <c r="C68" s="94">
        <v>0.097</v>
      </c>
      <c r="D68" s="94">
        <v>0.068</v>
      </c>
      <c r="E68" s="94">
        <v>0.066</v>
      </c>
      <c r="F68" s="94">
        <v>0.1</v>
      </c>
      <c r="G68" s="95">
        <v>0.084</v>
      </c>
    </row>
    <row r="69" spans="1:7">
      <c r="A69" s="104" t="s">
        <v>261</v>
      </c>
      <c r="B69" s="93" t="s">
        <v>2383</v>
      </c>
      <c r="C69" s="94">
        <v>0.068</v>
      </c>
      <c r="D69" s="94">
        <v>0.098</v>
      </c>
      <c r="E69" s="94">
        <v>0.095</v>
      </c>
      <c r="F69" s="94">
        <v>0.1</v>
      </c>
      <c r="G69" s="95">
        <v>0.1</v>
      </c>
    </row>
    <row r="70" spans="1:7">
      <c r="A70" s="104" t="s">
        <v>261</v>
      </c>
      <c r="B70" s="93" t="s">
        <v>2393</v>
      </c>
      <c r="C70" s="94">
        <v>0.098</v>
      </c>
      <c r="D70" s="94">
        <v>0.089</v>
      </c>
      <c r="E70" s="94">
        <v>0.059</v>
      </c>
      <c r="F70" s="94">
        <v>0.1</v>
      </c>
      <c r="G70" s="95">
        <v>0.096</v>
      </c>
    </row>
    <row r="71" spans="1:7">
      <c r="A71" s="104" t="s">
        <v>261</v>
      </c>
      <c r="B71" s="93" t="s">
        <v>2403</v>
      </c>
      <c r="C71" s="94">
        <v>0.089</v>
      </c>
      <c r="D71" s="94">
        <v>0.099</v>
      </c>
      <c r="E71" s="94">
        <v>0.096</v>
      </c>
      <c r="F71" s="94">
        <v>0.1</v>
      </c>
      <c r="G71" s="95">
        <v>0.1</v>
      </c>
    </row>
    <row r="72" spans="1:7">
      <c r="A72" s="104" t="s">
        <v>261</v>
      </c>
      <c r="B72" s="93" t="s">
        <v>2413</v>
      </c>
      <c r="C72" s="94">
        <v>0.099</v>
      </c>
      <c r="D72" s="94">
        <v>0.1</v>
      </c>
      <c r="E72" s="94">
        <v>0.07</v>
      </c>
      <c r="F72" s="105"/>
      <c r="G72" s="95">
        <v>0.1</v>
      </c>
    </row>
    <row r="73" spans="1:7">
      <c r="A73" s="104" t="s">
        <v>261</v>
      </c>
      <c r="B73" s="93" t="s">
        <v>2423</v>
      </c>
      <c r="C73" s="94">
        <v>0.1</v>
      </c>
      <c r="D73" s="94">
        <v>0.1</v>
      </c>
      <c r="E73" s="94">
        <v>0.096</v>
      </c>
      <c r="F73" s="105"/>
      <c r="G73" s="95">
        <v>0.1</v>
      </c>
    </row>
    <row r="74" spans="1:7">
      <c r="A74" s="104" t="s">
        <v>261</v>
      </c>
      <c r="B74" s="93" t="s">
        <v>2433</v>
      </c>
      <c r="C74" s="94">
        <v>0.1</v>
      </c>
      <c r="D74" s="94">
        <v>0.1</v>
      </c>
      <c r="E74" s="94">
        <v>0.098</v>
      </c>
      <c r="F74" s="105"/>
      <c r="G74" s="95">
        <v>0.1</v>
      </c>
    </row>
    <row r="75" spans="1:7">
      <c r="A75" s="104" t="s">
        <v>261</v>
      </c>
      <c r="B75" s="93" t="s">
        <v>2442</v>
      </c>
      <c r="C75" s="94">
        <v>0.1</v>
      </c>
      <c r="D75" s="94">
        <v>0.099</v>
      </c>
      <c r="E75" s="94">
        <v>0.098</v>
      </c>
      <c r="F75" s="105"/>
      <c r="G75" s="95">
        <v>0.1</v>
      </c>
    </row>
    <row r="76" spans="1:7">
      <c r="A76" s="104" t="s">
        <v>261</v>
      </c>
      <c r="B76" s="93" t="s">
        <v>2450</v>
      </c>
      <c r="C76" s="94">
        <v>0.099</v>
      </c>
      <c r="D76" s="94">
        <v>0.1</v>
      </c>
      <c r="E76" s="94">
        <v>0.097</v>
      </c>
      <c r="F76" s="105"/>
      <c r="G76" s="95">
        <v>0.1</v>
      </c>
    </row>
    <row r="77" spans="1:7">
      <c r="A77" s="104" t="s">
        <v>261</v>
      </c>
      <c r="B77" s="93" t="s">
        <v>2458</v>
      </c>
      <c r="C77" s="94">
        <v>0.1</v>
      </c>
      <c r="D77" s="94">
        <v>0.1</v>
      </c>
      <c r="E77" s="94">
        <v>0.096</v>
      </c>
      <c r="F77" s="105"/>
      <c r="G77" s="95">
        <v>0.1</v>
      </c>
    </row>
    <row r="78" spans="1:7">
      <c r="A78" s="104" t="s">
        <v>261</v>
      </c>
      <c r="B78" s="93" t="s">
        <v>2466</v>
      </c>
      <c r="C78" s="94">
        <v>0.1</v>
      </c>
      <c r="D78" s="94">
        <v>0.085</v>
      </c>
      <c r="E78" s="94">
        <v>0.096</v>
      </c>
      <c r="F78" s="105"/>
      <c r="G78" s="95">
        <v>0.096</v>
      </c>
    </row>
    <row r="79" spans="1:7">
      <c r="A79" s="104" t="s">
        <v>261</v>
      </c>
      <c r="B79" s="93" t="s">
        <v>2474</v>
      </c>
      <c r="C79" s="94">
        <v>0.05</v>
      </c>
      <c r="D79" s="94">
        <v>0.096</v>
      </c>
      <c r="E79" s="94">
        <v>0.095</v>
      </c>
      <c r="F79" s="105"/>
      <c r="G79" s="95">
        <v>0.098</v>
      </c>
    </row>
    <row r="80" spans="1:7">
      <c r="A80" s="104" t="s">
        <v>261</v>
      </c>
      <c r="B80" s="93" t="s">
        <v>2481</v>
      </c>
      <c r="C80" s="94">
        <v>0.086</v>
      </c>
      <c r="D80" s="110"/>
      <c r="E80" s="94">
        <v>0.1</v>
      </c>
      <c r="F80" s="105"/>
      <c r="G80" s="106"/>
    </row>
    <row r="81" spans="1:7">
      <c r="A81" s="104" t="s">
        <v>261</v>
      </c>
      <c r="B81" s="93" t="s">
        <v>2488</v>
      </c>
      <c r="C81" s="94">
        <v>0.096</v>
      </c>
      <c r="D81" s="105"/>
      <c r="E81" s="94">
        <v>0.098</v>
      </c>
      <c r="F81" s="105"/>
      <c r="G81" s="106"/>
    </row>
    <row r="82" spans="1:7">
      <c r="A82" s="104" t="s">
        <v>261</v>
      </c>
      <c r="B82" s="93" t="s">
        <v>2495</v>
      </c>
      <c r="C82" s="110"/>
      <c r="D82" s="105"/>
      <c r="E82" s="94">
        <v>0.077</v>
      </c>
      <c r="F82" s="105"/>
      <c r="G82" s="106"/>
    </row>
    <row r="83" spans="1:7">
      <c r="A83" s="104" t="s">
        <v>261</v>
      </c>
      <c r="B83" s="93" t="s">
        <v>2502</v>
      </c>
      <c r="C83" s="105"/>
      <c r="D83" s="105"/>
      <c r="E83" s="105"/>
      <c r="F83" s="94">
        <v>0.1</v>
      </c>
      <c r="G83" s="111"/>
    </row>
    <row r="84" spans="1:7">
      <c r="A84" s="104" t="s">
        <v>261</v>
      </c>
      <c r="B84" s="93" t="s">
        <v>2509</v>
      </c>
      <c r="C84" s="105"/>
      <c r="D84" s="105"/>
      <c r="E84" s="105"/>
      <c r="F84" s="94">
        <v>0.1</v>
      </c>
      <c r="G84" s="111"/>
    </row>
    <row r="85" spans="1:7">
      <c r="A85" s="104" t="s">
        <v>261</v>
      </c>
      <c r="B85" s="93" t="s">
        <v>2516</v>
      </c>
      <c r="C85" s="105"/>
      <c r="D85" s="105"/>
      <c r="E85" s="105"/>
      <c r="F85" s="94">
        <v>0.1</v>
      </c>
      <c r="G85" s="111"/>
    </row>
    <row r="86" ht="15.15" spans="1:7">
      <c r="A86" s="107" t="s">
        <v>261</v>
      </c>
      <c r="B86" s="97" t="s">
        <v>2523</v>
      </c>
      <c r="C86" s="98">
        <v>0.098</v>
      </c>
      <c r="D86" s="98">
        <v>0.098</v>
      </c>
      <c r="E86" s="98">
        <v>0.096</v>
      </c>
      <c r="F86" s="108"/>
      <c r="G86" s="100">
        <v>0.1</v>
      </c>
    </row>
    <row r="87" spans="1:7">
      <c r="A87" s="103" t="s">
        <v>269</v>
      </c>
      <c r="B87" s="89" t="s">
        <v>2230</v>
      </c>
      <c r="C87" s="90">
        <v>0.1</v>
      </c>
      <c r="D87" s="90">
        <v>0.1</v>
      </c>
      <c r="E87" s="90">
        <v>0.098</v>
      </c>
      <c r="F87" s="90">
        <v>0.1</v>
      </c>
      <c r="G87" s="91">
        <v>0.1</v>
      </c>
    </row>
    <row r="88" spans="1:7">
      <c r="A88" s="104" t="s">
        <v>269</v>
      </c>
      <c r="B88" s="93" t="s">
        <v>2243</v>
      </c>
      <c r="C88" s="94">
        <v>0.091</v>
      </c>
      <c r="D88" s="94">
        <v>0.092</v>
      </c>
      <c r="E88" s="94">
        <v>0.1</v>
      </c>
      <c r="F88" s="94">
        <v>0.1</v>
      </c>
      <c r="G88" s="95">
        <v>0.096</v>
      </c>
    </row>
    <row r="89" spans="1:7">
      <c r="A89" s="104" t="s">
        <v>269</v>
      </c>
      <c r="B89" s="93" t="s">
        <v>2257</v>
      </c>
      <c r="C89" s="94">
        <v>0.1</v>
      </c>
      <c r="D89" s="94">
        <v>0.1</v>
      </c>
      <c r="E89" s="94">
        <v>0.067</v>
      </c>
      <c r="F89" s="94">
        <v>0.093</v>
      </c>
      <c r="G89" s="95">
        <v>0.1</v>
      </c>
    </row>
    <row r="90" spans="1:7">
      <c r="A90" s="104" t="s">
        <v>269</v>
      </c>
      <c r="B90" s="93" t="s">
        <v>2269</v>
      </c>
      <c r="C90" s="94">
        <v>0.096</v>
      </c>
      <c r="D90" s="94">
        <v>0.096</v>
      </c>
      <c r="E90" s="94">
        <v>0.1</v>
      </c>
      <c r="F90" s="94">
        <v>0.1</v>
      </c>
      <c r="G90" s="95">
        <v>0.098</v>
      </c>
    </row>
    <row r="91" spans="1:7">
      <c r="A91" s="104" t="s">
        <v>269</v>
      </c>
      <c r="B91" s="93" t="s">
        <v>2281</v>
      </c>
      <c r="C91" s="94">
        <v>0.077</v>
      </c>
      <c r="D91" s="94">
        <v>0.077</v>
      </c>
      <c r="E91" s="94">
        <v>0.096</v>
      </c>
      <c r="F91" s="94">
        <v>0.1</v>
      </c>
      <c r="G91" s="95">
        <v>0.077</v>
      </c>
    </row>
    <row r="92" spans="1:7">
      <c r="A92" s="104" t="s">
        <v>269</v>
      </c>
      <c r="B92" s="93" t="s">
        <v>2292</v>
      </c>
      <c r="C92" s="94">
        <v>0.1</v>
      </c>
      <c r="D92" s="94">
        <v>0.1</v>
      </c>
      <c r="E92" s="94">
        <v>0.092</v>
      </c>
      <c r="F92" s="94">
        <v>0.1</v>
      </c>
      <c r="G92" s="95">
        <v>0.1</v>
      </c>
    </row>
    <row r="93" spans="1:7">
      <c r="A93" s="104" t="s">
        <v>269</v>
      </c>
      <c r="B93" s="93" t="s">
        <v>2303</v>
      </c>
      <c r="C93" s="94">
        <v>0.098</v>
      </c>
      <c r="D93" s="94">
        <v>0.098</v>
      </c>
      <c r="E93" s="94">
        <v>0.096</v>
      </c>
      <c r="F93" s="94">
        <v>0.1</v>
      </c>
      <c r="G93" s="95">
        <v>0.099</v>
      </c>
    </row>
    <row r="94" spans="1:7">
      <c r="A94" s="104" t="s">
        <v>269</v>
      </c>
      <c r="B94" s="93" t="s">
        <v>2314</v>
      </c>
      <c r="C94" s="94">
        <v>0.088</v>
      </c>
      <c r="D94" s="94">
        <v>0.088</v>
      </c>
      <c r="E94" s="94">
        <v>0.096</v>
      </c>
      <c r="F94" s="94">
        <v>0.1</v>
      </c>
      <c r="G94" s="95">
        <v>0.088</v>
      </c>
    </row>
    <row r="95" spans="1:7">
      <c r="A95" s="104" t="s">
        <v>269</v>
      </c>
      <c r="B95" s="93" t="s">
        <v>2324</v>
      </c>
      <c r="C95" s="94">
        <v>0.096</v>
      </c>
      <c r="D95" s="94">
        <v>0.096</v>
      </c>
      <c r="E95" s="94">
        <v>0.1</v>
      </c>
      <c r="F95" s="94">
        <v>0.1</v>
      </c>
      <c r="G95" s="95">
        <v>0.098</v>
      </c>
    </row>
    <row r="96" spans="1:7">
      <c r="A96" s="104" t="s">
        <v>269</v>
      </c>
      <c r="B96" s="93" t="s">
        <v>2334</v>
      </c>
      <c r="C96" s="94">
        <v>0.097</v>
      </c>
      <c r="D96" s="94">
        <v>0.097</v>
      </c>
      <c r="E96" s="94">
        <v>0.1</v>
      </c>
      <c r="F96" s="94">
        <v>0.1</v>
      </c>
      <c r="G96" s="95">
        <v>0.098</v>
      </c>
    </row>
    <row r="97" spans="1:7">
      <c r="A97" s="104" t="s">
        <v>269</v>
      </c>
      <c r="B97" s="93" t="s">
        <v>2344</v>
      </c>
      <c r="C97" s="94">
        <v>0.096</v>
      </c>
      <c r="D97" s="94">
        <v>0.096</v>
      </c>
      <c r="E97" s="94">
        <v>0.099</v>
      </c>
      <c r="F97" s="94">
        <v>0.1</v>
      </c>
      <c r="G97" s="95">
        <v>0.098</v>
      </c>
    </row>
    <row r="98" spans="1:7">
      <c r="A98" s="104" t="s">
        <v>269</v>
      </c>
      <c r="B98" s="93" t="s">
        <v>2354</v>
      </c>
      <c r="C98" s="94">
        <v>0.098</v>
      </c>
      <c r="D98" s="94">
        <v>0.098</v>
      </c>
      <c r="E98" s="94">
        <v>0.1</v>
      </c>
      <c r="F98" s="94">
        <v>0.1</v>
      </c>
      <c r="G98" s="95">
        <v>0.099</v>
      </c>
    </row>
    <row r="99" spans="1:7">
      <c r="A99" s="104" t="s">
        <v>269</v>
      </c>
      <c r="B99" s="93" t="s">
        <v>2364</v>
      </c>
      <c r="C99" s="94">
        <v>0.096</v>
      </c>
      <c r="D99" s="94">
        <v>0.096</v>
      </c>
      <c r="E99" s="94">
        <v>0.1</v>
      </c>
      <c r="F99" s="94">
        <v>0.1</v>
      </c>
      <c r="G99" s="95">
        <v>0.097</v>
      </c>
    </row>
    <row r="100" spans="1:7">
      <c r="A100" s="104" t="s">
        <v>269</v>
      </c>
      <c r="B100" s="93" t="s">
        <v>2374</v>
      </c>
      <c r="C100" s="94">
        <v>0.1</v>
      </c>
      <c r="D100" s="94">
        <v>0.1</v>
      </c>
      <c r="E100" s="94">
        <v>0.097</v>
      </c>
      <c r="F100" s="94">
        <v>0.098</v>
      </c>
      <c r="G100" s="95">
        <v>0.1</v>
      </c>
    </row>
    <row r="101" spans="1:7">
      <c r="A101" s="104" t="s">
        <v>269</v>
      </c>
      <c r="B101" s="93" t="s">
        <v>2384</v>
      </c>
      <c r="C101" s="94">
        <v>0.1</v>
      </c>
      <c r="D101" s="94">
        <v>0.1</v>
      </c>
      <c r="E101" s="94">
        <v>0.095</v>
      </c>
      <c r="F101" s="94">
        <v>0.1</v>
      </c>
      <c r="G101" s="95">
        <v>0.1</v>
      </c>
    </row>
    <row r="102" spans="1:7">
      <c r="A102" s="104" t="s">
        <v>269</v>
      </c>
      <c r="B102" s="93" t="s">
        <v>2394</v>
      </c>
      <c r="C102" s="94">
        <v>0.1</v>
      </c>
      <c r="D102" s="94">
        <v>0.1</v>
      </c>
      <c r="E102" s="94">
        <v>0.099</v>
      </c>
      <c r="F102" s="94">
        <v>0.097</v>
      </c>
      <c r="G102" s="95">
        <v>0.1</v>
      </c>
    </row>
    <row r="103" spans="1:7">
      <c r="A103" s="104" t="s">
        <v>269</v>
      </c>
      <c r="B103" s="93" t="s">
        <v>2404</v>
      </c>
      <c r="C103" s="94">
        <v>0.1</v>
      </c>
      <c r="D103" s="94">
        <v>0.1</v>
      </c>
      <c r="E103" s="94">
        <v>0.098</v>
      </c>
      <c r="F103" s="94">
        <v>0.1</v>
      </c>
      <c r="G103" s="95">
        <v>0.1</v>
      </c>
    </row>
    <row r="104" spans="1:7">
      <c r="A104" s="104" t="s">
        <v>269</v>
      </c>
      <c r="B104" s="93" t="s">
        <v>2414</v>
      </c>
      <c r="C104" s="94">
        <v>0.1</v>
      </c>
      <c r="D104" s="94">
        <v>0.1</v>
      </c>
      <c r="E104" s="94">
        <v>0.098</v>
      </c>
      <c r="F104" s="94">
        <v>0.1</v>
      </c>
      <c r="G104" s="95">
        <v>0.1</v>
      </c>
    </row>
    <row r="105" spans="1:7">
      <c r="A105" s="104" t="s">
        <v>269</v>
      </c>
      <c r="B105" s="93" t="s">
        <v>2424</v>
      </c>
      <c r="C105" s="94">
        <v>0.098</v>
      </c>
      <c r="D105" s="94">
        <v>0.098</v>
      </c>
      <c r="E105" s="94">
        <v>0.098</v>
      </c>
      <c r="F105" s="94">
        <v>0.1</v>
      </c>
      <c r="G105" s="95">
        <v>0.099</v>
      </c>
    </row>
    <row r="106" spans="1:7">
      <c r="A106" s="104" t="s">
        <v>269</v>
      </c>
      <c r="B106" s="93" t="s">
        <v>2434</v>
      </c>
      <c r="C106" s="94">
        <v>0.097</v>
      </c>
      <c r="D106" s="94">
        <v>0.097</v>
      </c>
      <c r="E106" s="94">
        <v>0.097</v>
      </c>
      <c r="F106" s="94">
        <v>0.1</v>
      </c>
      <c r="G106" s="95">
        <v>0.099</v>
      </c>
    </row>
    <row r="107" spans="1:7">
      <c r="A107" s="104" t="s">
        <v>269</v>
      </c>
      <c r="B107" s="93" t="s">
        <v>2443</v>
      </c>
      <c r="C107" s="94">
        <v>0.1</v>
      </c>
      <c r="D107" s="94">
        <v>0.1</v>
      </c>
      <c r="E107" s="94">
        <v>0.086</v>
      </c>
      <c r="F107" s="94">
        <v>0.09</v>
      </c>
      <c r="G107" s="95">
        <v>0.1</v>
      </c>
    </row>
    <row r="108" spans="1:7">
      <c r="A108" s="104" t="s">
        <v>269</v>
      </c>
      <c r="B108" s="93" t="s">
        <v>2451</v>
      </c>
      <c r="C108" s="94">
        <v>0.1</v>
      </c>
      <c r="D108" s="94">
        <v>0.1</v>
      </c>
      <c r="E108" s="94">
        <v>0.096</v>
      </c>
      <c r="F108" s="105"/>
      <c r="G108" s="95">
        <v>0.1</v>
      </c>
    </row>
    <row r="109" spans="1:7">
      <c r="A109" s="104" t="s">
        <v>269</v>
      </c>
      <c r="B109" s="93" t="s">
        <v>2459</v>
      </c>
      <c r="C109" s="94">
        <v>0.1</v>
      </c>
      <c r="D109" s="94">
        <v>0.1</v>
      </c>
      <c r="E109" s="94">
        <v>0.1</v>
      </c>
      <c r="F109" s="105"/>
      <c r="G109" s="95">
        <v>0.1</v>
      </c>
    </row>
    <row r="110" spans="1:7">
      <c r="A110" s="104" t="s">
        <v>269</v>
      </c>
      <c r="B110" s="93" t="s">
        <v>2467</v>
      </c>
      <c r="C110" s="94">
        <v>0.1</v>
      </c>
      <c r="D110" s="94">
        <v>0.1</v>
      </c>
      <c r="E110" s="94">
        <v>0.1</v>
      </c>
      <c r="F110" s="105"/>
      <c r="G110" s="95">
        <v>0.1</v>
      </c>
    </row>
    <row r="111" spans="1:7">
      <c r="A111" s="104" t="s">
        <v>269</v>
      </c>
      <c r="B111" s="93" t="s">
        <v>2475</v>
      </c>
      <c r="C111" s="94">
        <v>0.1</v>
      </c>
      <c r="D111" s="94">
        <v>0.1</v>
      </c>
      <c r="E111" s="94">
        <v>0.095</v>
      </c>
      <c r="F111" s="105"/>
      <c r="G111" s="95">
        <v>0.1</v>
      </c>
    </row>
    <row r="112" spans="1:7">
      <c r="A112" s="104" t="s">
        <v>269</v>
      </c>
      <c r="B112" s="93" t="s">
        <v>2482</v>
      </c>
      <c r="C112" s="94">
        <v>0.097</v>
      </c>
      <c r="D112" s="94">
        <v>0.097</v>
      </c>
      <c r="E112" s="94">
        <v>0.05</v>
      </c>
      <c r="F112" s="105"/>
      <c r="G112" s="95">
        <v>0.098</v>
      </c>
    </row>
    <row r="113" spans="1:7">
      <c r="A113" s="104" t="s">
        <v>269</v>
      </c>
      <c r="B113" s="93" t="s">
        <v>2489</v>
      </c>
      <c r="C113" s="94">
        <v>0.1</v>
      </c>
      <c r="D113" s="94">
        <v>0.1</v>
      </c>
      <c r="E113" s="105"/>
      <c r="F113" s="105"/>
      <c r="G113" s="95">
        <v>0.1</v>
      </c>
    </row>
    <row r="114" spans="1:7">
      <c r="A114" s="104" t="s">
        <v>269</v>
      </c>
      <c r="B114" s="93" t="s">
        <v>2496</v>
      </c>
      <c r="C114" s="94">
        <v>0.097</v>
      </c>
      <c r="D114" s="94">
        <v>0.097</v>
      </c>
      <c r="E114" s="105"/>
      <c r="F114" s="105"/>
      <c r="G114" s="95">
        <v>0.099</v>
      </c>
    </row>
    <row r="115" spans="1:7">
      <c r="A115" s="104" t="s">
        <v>269</v>
      </c>
      <c r="B115" s="93" t="s">
        <v>2503</v>
      </c>
      <c r="C115" s="94">
        <v>0.1</v>
      </c>
      <c r="D115" s="94">
        <v>0.1</v>
      </c>
      <c r="E115" s="105"/>
      <c r="F115" s="105"/>
      <c r="G115" s="95">
        <v>0.1</v>
      </c>
    </row>
    <row r="116" spans="1:7">
      <c r="A116" s="104" t="s">
        <v>269</v>
      </c>
      <c r="B116" s="93" t="s">
        <v>2510</v>
      </c>
      <c r="C116" s="94">
        <v>0.1</v>
      </c>
      <c r="D116" s="94">
        <v>0.1</v>
      </c>
      <c r="E116" s="105"/>
      <c r="F116" s="105"/>
      <c r="G116" s="95">
        <v>0.1</v>
      </c>
    </row>
    <row r="117" spans="1:7">
      <c r="A117" s="104" t="s">
        <v>269</v>
      </c>
      <c r="B117" s="93" t="s">
        <v>2517</v>
      </c>
      <c r="C117" s="94">
        <v>0.097</v>
      </c>
      <c r="D117" s="94">
        <v>0.097</v>
      </c>
      <c r="E117" s="105"/>
      <c r="F117" s="105"/>
      <c r="G117" s="95">
        <v>0.097</v>
      </c>
    </row>
    <row r="118" spans="1:7">
      <c r="A118" s="104" t="s">
        <v>269</v>
      </c>
      <c r="B118" s="93" t="s">
        <v>2524</v>
      </c>
      <c r="C118" s="94">
        <v>0.1</v>
      </c>
      <c r="D118" s="94">
        <v>0.1</v>
      </c>
      <c r="E118" s="105"/>
      <c r="F118" s="105"/>
      <c r="G118" s="95">
        <v>0.1</v>
      </c>
    </row>
    <row r="119" spans="1:7">
      <c r="A119" s="104" t="s">
        <v>269</v>
      </c>
      <c r="B119" s="93" t="s">
        <v>2529</v>
      </c>
      <c r="C119" s="94">
        <v>0.051</v>
      </c>
      <c r="D119" s="94">
        <v>0.052</v>
      </c>
      <c r="E119" s="105"/>
      <c r="F119" s="110"/>
      <c r="G119" s="95">
        <v>0.06</v>
      </c>
    </row>
    <row r="120" spans="1:7">
      <c r="A120" s="104" t="s">
        <v>269</v>
      </c>
      <c r="B120" s="93" t="s">
        <v>2534</v>
      </c>
      <c r="C120" s="105"/>
      <c r="D120" s="105"/>
      <c r="E120" s="105"/>
      <c r="F120" s="94">
        <v>0.1</v>
      </c>
      <c r="G120" s="111"/>
    </row>
    <row r="121" spans="1:7">
      <c r="A121" s="104" t="s">
        <v>269</v>
      </c>
      <c r="B121" s="93" t="s">
        <v>2539</v>
      </c>
      <c r="C121" s="105"/>
      <c r="D121" s="105"/>
      <c r="E121" s="105"/>
      <c r="F121" s="94">
        <v>0.1</v>
      </c>
      <c r="G121" s="111"/>
    </row>
    <row r="122" spans="1:7">
      <c r="A122" s="104" t="s">
        <v>269</v>
      </c>
      <c r="B122" s="93" t="s">
        <v>2544</v>
      </c>
      <c r="C122" s="94">
        <v>0.1</v>
      </c>
      <c r="D122" s="94">
        <v>0.1</v>
      </c>
      <c r="E122" s="94">
        <v>0.098</v>
      </c>
      <c r="F122" s="94">
        <v>0.1</v>
      </c>
      <c r="G122" s="95">
        <v>0.1</v>
      </c>
    </row>
    <row r="123" spans="1:7">
      <c r="A123" s="104" t="s">
        <v>269</v>
      </c>
      <c r="B123" s="93" t="s">
        <v>2549</v>
      </c>
      <c r="C123" s="94">
        <v>0.1</v>
      </c>
      <c r="D123" s="94">
        <v>0.1</v>
      </c>
      <c r="E123" s="94">
        <v>0.098</v>
      </c>
      <c r="F123" s="94">
        <v>0.1</v>
      </c>
      <c r="G123" s="95">
        <v>0.1</v>
      </c>
    </row>
    <row r="124" spans="1:7">
      <c r="A124" s="104" t="s">
        <v>269</v>
      </c>
      <c r="B124" s="93" t="s">
        <v>2554</v>
      </c>
      <c r="C124" s="94">
        <v>0.1</v>
      </c>
      <c r="D124" s="94">
        <v>0.1</v>
      </c>
      <c r="E124" s="94">
        <v>0.098</v>
      </c>
      <c r="F124" s="110"/>
      <c r="G124" s="95">
        <v>0.1</v>
      </c>
    </row>
    <row r="125" spans="1:7">
      <c r="A125" s="104" t="s">
        <v>269</v>
      </c>
      <c r="B125" s="93" t="s">
        <v>2559</v>
      </c>
      <c r="C125" s="94">
        <v>0.098</v>
      </c>
      <c r="D125" s="94">
        <v>0.098</v>
      </c>
      <c r="E125" s="94">
        <v>0.096</v>
      </c>
      <c r="F125" s="110"/>
      <c r="G125" s="95">
        <v>0.1</v>
      </c>
    </row>
    <row r="126" ht="15.15" spans="1:7">
      <c r="A126" s="107" t="s">
        <v>269</v>
      </c>
      <c r="B126" s="97" t="s">
        <v>2564</v>
      </c>
      <c r="C126" s="98">
        <v>0.1</v>
      </c>
      <c r="D126" s="98">
        <v>0.1</v>
      </c>
      <c r="E126" s="98">
        <v>0.098</v>
      </c>
      <c r="F126" s="98">
        <v>0.1</v>
      </c>
      <c r="G126" s="100">
        <v>0.1</v>
      </c>
    </row>
    <row r="127" spans="1:7">
      <c r="A127" s="103" t="s">
        <v>275</v>
      </c>
      <c r="B127" s="89" t="s">
        <v>2231</v>
      </c>
      <c r="C127" s="90">
        <v>0.121</v>
      </c>
      <c r="D127" s="90">
        <v>0.121</v>
      </c>
      <c r="E127" s="90">
        <v>0.107</v>
      </c>
      <c r="F127" s="90">
        <v>0.13</v>
      </c>
      <c r="G127" s="91">
        <v>0.122</v>
      </c>
    </row>
    <row r="128" spans="1:7">
      <c r="A128" s="104" t="s">
        <v>275</v>
      </c>
      <c r="B128" s="93" t="s">
        <v>2244</v>
      </c>
      <c r="C128" s="94">
        <v>0.116</v>
      </c>
      <c r="D128" s="94">
        <v>0.117</v>
      </c>
      <c r="E128" s="94">
        <v>0.104</v>
      </c>
      <c r="F128" s="94">
        <v>0.13</v>
      </c>
      <c r="G128" s="95">
        <v>0.117</v>
      </c>
    </row>
    <row r="129" spans="1:7">
      <c r="A129" s="104" t="s">
        <v>275</v>
      </c>
      <c r="B129" s="93" t="s">
        <v>2258</v>
      </c>
      <c r="C129" s="94">
        <v>0.107</v>
      </c>
      <c r="D129" s="94">
        <v>0.108</v>
      </c>
      <c r="E129" s="94">
        <v>0.1</v>
      </c>
      <c r="F129" s="94">
        <v>0.13</v>
      </c>
      <c r="G129" s="95">
        <v>0.117</v>
      </c>
    </row>
    <row r="130" spans="1:7">
      <c r="A130" s="104" t="s">
        <v>275</v>
      </c>
      <c r="B130" s="93" t="s">
        <v>2270</v>
      </c>
      <c r="C130" s="94">
        <v>0.13</v>
      </c>
      <c r="D130" s="94">
        <v>0.13</v>
      </c>
      <c r="E130" s="94">
        <v>0.126</v>
      </c>
      <c r="F130" s="94">
        <v>0.13</v>
      </c>
      <c r="G130" s="95">
        <v>0.13</v>
      </c>
    </row>
    <row r="131" spans="1:7">
      <c r="A131" s="104" t="s">
        <v>275</v>
      </c>
      <c r="B131" s="93" t="s">
        <v>2282</v>
      </c>
      <c r="C131" s="94">
        <v>0.13</v>
      </c>
      <c r="D131" s="94">
        <v>0.13</v>
      </c>
      <c r="E131" s="94">
        <v>0.13</v>
      </c>
      <c r="F131" s="94">
        <v>0.13</v>
      </c>
      <c r="G131" s="95">
        <v>0.13</v>
      </c>
    </row>
    <row r="132" spans="1:7">
      <c r="A132" s="104" t="s">
        <v>275</v>
      </c>
      <c r="B132" s="93" t="s">
        <v>2293</v>
      </c>
      <c r="C132" s="94">
        <v>0.13</v>
      </c>
      <c r="D132" s="94">
        <v>0.13</v>
      </c>
      <c r="E132" s="94">
        <v>0.126</v>
      </c>
      <c r="F132" s="94">
        <v>0.13</v>
      </c>
      <c r="G132" s="95">
        <v>0.13</v>
      </c>
    </row>
    <row r="133" spans="1:7">
      <c r="A133" s="104" t="s">
        <v>275</v>
      </c>
      <c r="B133" s="93" t="s">
        <v>2304</v>
      </c>
      <c r="C133" s="94">
        <v>0.111</v>
      </c>
      <c r="D133" s="94">
        <v>0.111</v>
      </c>
      <c r="E133" s="94">
        <v>0.102</v>
      </c>
      <c r="F133" s="94">
        <v>0.13</v>
      </c>
      <c r="G133" s="95">
        <v>0.121</v>
      </c>
    </row>
    <row r="134" spans="1:7">
      <c r="A134" s="104" t="s">
        <v>275</v>
      </c>
      <c r="B134" s="93" t="s">
        <v>2315</v>
      </c>
      <c r="C134" s="94">
        <v>0.121</v>
      </c>
      <c r="D134" s="94">
        <v>0.121</v>
      </c>
      <c r="E134" s="94">
        <v>0.1</v>
      </c>
      <c r="F134" s="94">
        <v>0.13</v>
      </c>
      <c r="G134" s="95">
        <v>0.123</v>
      </c>
    </row>
    <row r="135" spans="1:7">
      <c r="A135" s="104" t="s">
        <v>275</v>
      </c>
      <c r="B135" s="93" t="s">
        <v>2325</v>
      </c>
      <c r="C135" s="94">
        <v>0.105</v>
      </c>
      <c r="D135" s="94">
        <v>0.106</v>
      </c>
      <c r="E135" s="94">
        <v>0.1</v>
      </c>
      <c r="F135" s="94">
        <v>0.13</v>
      </c>
      <c r="G135" s="95">
        <v>0.115</v>
      </c>
    </row>
    <row r="136" spans="1:7">
      <c r="A136" s="104" t="s">
        <v>275</v>
      </c>
      <c r="B136" s="93" t="s">
        <v>2335</v>
      </c>
      <c r="C136" s="94">
        <v>0.127</v>
      </c>
      <c r="D136" s="94">
        <v>0.127</v>
      </c>
      <c r="E136" s="94">
        <v>0.121</v>
      </c>
      <c r="F136" s="94">
        <v>0.123</v>
      </c>
      <c r="G136" s="95">
        <v>0.129</v>
      </c>
    </row>
    <row r="137" spans="1:7">
      <c r="A137" s="104" t="s">
        <v>275</v>
      </c>
      <c r="B137" s="93" t="s">
        <v>2345</v>
      </c>
      <c r="C137" s="94">
        <v>0.13</v>
      </c>
      <c r="D137" s="94">
        <v>0.13</v>
      </c>
      <c r="E137" s="94">
        <v>0.129</v>
      </c>
      <c r="F137" s="94">
        <v>0.13</v>
      </c>
      <c r="G137" s="95">
        <v>0.13</v>
      </c>
    </row>
    <row r="138" spans="1:7">
      <c r="A138" s="104" t="s">
        <v>275</v>
      </c>
      <c r="B138" s="93" t="s">
        <v>2355</v>
      </c>
      <c r="C138" s="94">
        <v>0.13</v>
      </c>
      <c r="D138" s="94">
        <v>0.13</v>
      </c>
      <c r="E138" s="94">
        <v>0.125</v>
      </c>
      <c r="F138" s="94">
        <v>0.13</v>
      </c>
      <c r="G138" s="95">
        <v>0.13</v>
      </c>
    </row>
    <row r="139" spans="1:7">
      <c r="A139" s="104" t="s">
        <v>275</v>
      </c>
      <c r="B139" s="93" t="s">
        <v>2365</v>
      </c>
      <c r="C139" s="94">
        <v>0.13</v>
      </c>
      <c r="D139" s="94">
        <v>0.13</v>
      </c>
      <c r="E139" s="94">
        <v>0.126</v>
      </c>
      <c r="F139" s="94">
        <v>0.13</v>
      </c>
      <c r="G139" s="95">
        <v>0.13</v>
      </c>
    </row>
    <row r="140" spans="1:7">
      <c r="A140" s="104" t="s">
        <v>275</v>
      </c>
      <c r="B140" s="93" t="s">
        <v>2375</v>
      </c>
      <c r="C140" s="94">
        <v>0.1</v>
      </c>
      <c r="D140" s="94">
        <v>0.1</v>
      </c>
      <c r="E140" s="94">
        <v>0.1</v>
      </c>
      <c r="F140" s="94">
        <v>0.123</v>
      </c>
      <c r="G140" s="95">
        <v>0.107</v>
      </c>
    </row>
    <row r="141" spans="1:7">
      <c r="A141" s="104" t="s">
        <v>275</v>
      </c>
      <c r="B141" s="93" t="s">
        <v>2385</v>
      </c>
      <c r="C141" s="94">
        <v>0.127</v>
      </c>
      <c r="D141" s="94">
        <v>0.127</v>
      </c>
      <c r="E141" s="94">
        <v>0.122</v>
      </c>
      <c r="F141" s="94">
        <v>0.1</v>
      </c>
      <c r="G141" s="95">
        <v>0.129</v>
      </c>
    </row>
    <row r="142" spans="1:7">
      <c r="A142" s="104" t="s">
        <v>275</v>
      </c>
      <c r="B142" s="93" t="s">
        <v>2395</v>
      </c>
      <c r="C142" s="94">
        <v>0.121</v>
      </c>
      <c r="D142" s="94">
        <v>0.122</v>
      </c>
      <c r="E142" s="94">
        <v>0.1</v>
      </c>
      <c r="F142" s="94">
        <v>0.123</v>
      </c>
      <c r="G142" s="95">
        <v>0.123</v>
      </c>
    </row>
    <row r="143" spans="1:7">
      <c r="A143" s="104" t="s">
        <v>275</v>
      </c>
      <c r="B143" s="93" t="s">
        <v>2405</v>
      </c>
      <c r="C143" s="94">
        <v>0.1</v>
      </c>
      <c r="D143" s="94">
        <v>0.1</v>
      </c>
      <c r="E143" s="94">
        <v>0.1</v>
      </c>
      <c r="F143" s="94">
        <v>0.13</v>
      </c>
      <c r="G143" s="95">
        <v>0.1</v>
      </c>
    </row>
    <row r="144" spans="1:7">
      <c r="A144" s="104" t="s">
        <v>275</v>
      </c>
      <c r="B144" s="93" t="s">
        <v>2415</v>
      </c>
      <c r="C144" s="94">
        <v>0.106</v>
      </c>
      <c r="D144" s="94">
        <v>0.105</v>
      </c>
      <c r="E144" s="94">
        <v>0.1</v>
      </c>
      <c r="F144" s="94">
        <v>0.13</v>
      </c>
      <c r="G144" s="95">
        <v>0.118</v>
      </c>
    </row>
    <row r="145" spans="1:7">
      <c r="A145" s="104" t="s">
        <v>275</v>
      </c>
      <c r="B145" s="93" t="s">
        <v>2425</v>
      </c>
      <c r="C145" s="94">
        <v>0.123</v>
      </c>
      <c r="D145" s="94">
        <v>0.123</v>
      </c>
      <c r="E145" s="94">
        <v>0.117</v>
      </c>
      <c r="F145" s="94">
        <v>0.13</v>
      </c>
      <c r="G145" s="95">
        <v>0.126</v>
      </c>
    </row>
    <row r="146" spans="1:7">
      <c r="A146" s="104" t="s">
        <v>275</v>
      </c>
      <c r="B146" s="93" t="s">
        <v>2435</v>
      </c>
      <c r="C146" s="94">
        <v>0.127</v>
      </c>
      <c r="D146" s="94">
        <v>0.127</v>
      </c>
      <c r="E146" s="94">
        <v>0.12</v>
      </c>
      <c r="F146" s="105"/>
      <c r="G146" s="95">
        <v>0.129</v>
      </c>
    </row>
    <row r="147" spans="1:7">
      <c r="A147" s="104" t="s">
        <v>275</v>
      </c>
      <c r="B147" s="93" t="s">
        <v>2444</v>
      </c>
      <c r="C147" s="94">
        <v>0.13</v>
      </c>
      <c r="D147" s="94">
        <v>0.13</v>
      </c>
      <c r="E147" s="94">
        <v>0.126</v>
      </c>
      <c r="F147" s="105"/>
      <c r="G147" s="95">
        <v>0.13</v>
      </c>
    </row>
    <row r="148" spans="1:7">
      <c r="A148" s="104" t="s">
        <v>275</v>
      </c>
      <c r="B148" s="93" t="s">
        <v>2452</v>
      </c>
      <c r="C148" s="94">
        <v>0.13</v>
      </c>
      <c r="D148" s="94">
        <v>0.13</v>
      </c>
      <c r="E148" s="94">
        <v>0.13</v>
      </c>
      <c r="F148" s="105"/>
      <c r="G148" s="95">
        <v>0.13</v>
      </c>
    </row>
    <row r="149" spans="1:7">
      <c r="A149" s="104" t="s">
        <v>275</v>
      </c>
      <c r="B149" s="93" t="s">
        <v>2460</v>
      </c>
      <c r="C149" s="94">
        <v>0.13</v>
      </c>
      <c r="D149" s="94">
        <v>0.13</v>
      </c>
      <c r="E149" s="94">
        <v>0.13</v>
      </c>
      <c r="F149" s="94">
        <v>0.13</v>
      </c>
      <c r="G149" s="95">
        <v>0.13</v>
      </c>
    </row>
    <row r="150" spans="1:7">
      <c r="A150" s="104" t="s">
        <v>275</v>
      </c>
      <c r="B150" s="93" t="s">
        <v>2468</v>
      </c>
      <c r="C150" s="94">
        <v>0.13</v>
      </c>
      <c r="D150" s="94">
        <v>0.13</v>
      </c>
      <c r="E150" s="94">
        <v>0.127</v>
      </c>
      <c r="F150" s="94">
        <v>0.13</v>
      </c>
      <c r="G150" s="95">
        <v>0.13</v>
      </c>
    </row>
    <row r="151" spans="1:7">
      <c r="A151" s="104" t="s">
        <v>275</v>
      </c>
      <c r="B151" s="93" t="s">
        <v>2476</v>
      </c>
      <c r="C151" s="94">
        <v>0.13</v>
      </c>
      <c r="D151" s="94">
        <v>0.13</v>
      </c>
      <c r="E151" s="94">
        <v>0.13</v>
      </c>
      <c r="F151" s="94">
        <v>0.13</v>
      </c>
      <c r="G151" s="95">
        <v>0.13</v>
      </c>
    </row>
    <row r="152" spans="1:7">
      <c r="A152" s="104" t="s">
        <v>275</v>
      </c>
      <c r="B152" s="93" t="s">
        <v>2483</v>
      </c>
      <c r="C152" s="94">
        <v>0.13</v>
      </c>
      <c r="D152" s="94">
        <v>0.13</v>
      </c>
      <c r="E152" s="94">
        <v>0.13</v>
      </c>
      <c r="F152" s="94">
        <v>0.13</v>
      </c>
      <c r="G152" s="95">
        <v>0.13</v>
      </c>
    </row>
    <row r="153" spans="1:7">
      <c r="A153" s="104" t="s">
        <v>275</v>
      </c>
      <c r="B153" s="93" t="s">
        <v>2490</v>
      </c>
      <c r="C153" s="94">
        <v>0.13</v>
      </c>
      <c r="D153" s="94">
        <v>0.13</v>
      </c>
      <c r="E153" s="94">
        <v>0.13</v>
      </c>
      <c r="F153" s="94">
        <v>0.13</v>
      </c>
      <c r="G153" s="95">
        <v>0.13</v>
      </c>
    </row>
    <row r="154" spans="1:7">
      <c r="A154" s="104" t="s">
        <v>275</v>
      </c>
      <c r="B154" s="93" t="s">
        <v>2497</v>
      </c>
      <c r="C154" s="94">
        <v>0.121</v>
      </c>
      <c r="D154" s="94">
        <v>0.121</v>
      </c>
      <c r="E154" s="94">
        <v>0.105</v>
      </c>
      <c r="F154" s="94">
        <v>0.121</v>
      </c>
      <c r="G154" s="95">
        <v>0.123</v>
      </c>
    </row>
    <row r="155" spans="1:7">
      <c r="A155" s="104" t="s">
        <v>275</v>
      </c>
      <c r="B155" s="93" t="s">
        <v>2504</v>
      </c>
      <c r="C155" s="94">
        <v>0.1</v>
      </c>
      <c r="D155" s="94">
        <v>0.1</v>
      </c>
      <c r="E155" s="94">
        <v>0.1</v>
      </c>
      <c r="F155" s="94">
        <v>0.1</v>
      </c>
      <c r="G155" s="95">
        <v>0.1</v>
      </c>
    </row>
    <row r="156" spans="1:7">
      <c r="A156" s="104" t="s">
        <v>275</v>
      </c>
      <c r="B156" s="93" t="s">
        <v>2511</v>
      </c>
      <c r="C156" s="94">
        <v>0.13</v>
      </c>
      <c r="D156" s="94">
        <v>0.13</v>
      </c>
      <c r="E156" s="94">
        <v>0.13</v>
      </c>
      <c r="F156" s="94">
        <v>0.13</v>
      </c>
      <c r="G156" s="95">
        <v>0.13</v>
      </c>
    </row>
    <row r="157" spans="1:7">
      <c r="A157" s="104" t="s">
        <v>275</v>
      </c>
      <c r="B157" s="93" t="s">
        <v>2518</v>
      </c>
      <c r="C157" s="94">
        <v>0.13</v>
      </c>
      <c r="D157" s="94">
        <v>0.13</v>
      </c>
      <c r="E157" s="94">
        <v>0.125</v>
      </c>
      <c r="F157" s="94">
        <v>0.13</v>
      </c>
      <c r="G157" s="95">
        <v>0.13</v>
      </c>
    </row>
    <row r="158" spans="1:7">
      <c r="A158" s="104" t="s">
        <v>275</v>
      </c>
      <c r="B158" s="93" t="s">
        <v>2525</v>
      </c>
      <c r="C158" s="94">
        <v>0.124</v>
      </c>
      <c r="D158" s="94">
        <v>0.124</v>
      </c>
      <c r="E158" s="94">
        <v>0.117</v>
      </c>
      <c r="F158" s="94">
        <v>0.121</v>
      </c>
      <c r="G158" s="95">
        <v>0.124</v>
      </c>
    </row>
    <row r="159" spans="1:7">
      <c r="A159" s="104" t="s">
        <v>275</v>
      </c>
      <c r="B159" s="93" t="s">
        <v>2530</v>
      </c>
      <c r="C159" s="94">
        <v>0.127</v>
      </c>
      <c r="D159" s="94">
        <v>0.127</v>
      </c>
      <c r="E159" s="94">
        <v>0.122</v>
      </c>
      <c r="F159" s="94">
        <v>0.13</v>
      </c>
      <c r="G159" s="95">
        <v>0.129</v>
      </c>
    </row>
    <row r="160" spans="1:7">
      <c r="A160" s="104" t="s">
        <v>275</v>
      </c>
      <c r="B160" s="93" t="s">
        <v>2535</v>
      </c>
      <c r="C160" s="94">
        <v>0.13</v>
      </c>
      <c r="D160" s="94">
        <v>0.13</v>
      </c>
      <c r="E160" s="94">
        <v>0.124</v>
      </c>
      <c r="F160" s="94">
        <v>0.126</v>
      </c>
      <c r="G160" s="95">
        <v>0.13</v>
      </c>
    </row>
    <row r="161" spans="1:7">
      <c r="A161" s="104" t="s">
        <v>275</v>
      </c>
      <c r="B161" s="93" t="s">
        <v>2540</v>
      </c>
      <c r="C161" s="94">
        <v>0.13</v>
      </c>
      <c r="D161" s="94">
        <v>0.13</v>
      </c>
      <c r="E161" s="94">
        <v>0.124</v>
      </c>
      <c r="F161" s="94">
        <v>0.127</v>
      </c>
      <c r="G161" s="95">
        <v>0.13</v>
      </c>
    </row>
    <row r="162" spans="1:7">
      <c r="A162" s="104" t="s">
        <v>275</v>
      </c>
      <c r="B162" s="93" t="s">
        <v>2545</v>
      </c>
      <c r="C162" s="94">
        <v>0.1</v>
      </c>
      <c r="D162" s="94">
        <v>0.1</v>
      </c>
      <c r="E162" s="94">
        <v>0.1</v>
      </c>
      <c r="F162" s="94">
        <v>0.121</v>
      </c>
      <c r="G162" s="95">
        <v>0.105</v>
      </c>
    </row>
    <row r="163" spans="1:7">
      <c r="A163" s="104" t="s">
        <v>275</v>
      </c>
      <c r="B163" s="93" t="s">
        <v>2550</v>
      </c>
      <c r="C163" s="94">
        <v>0.1</v>
      </c>
      <c r="D163" s="94">
        <v>0.1</v>
      </c>
      <c r="E163" s="94">
        <v>0.1</v>
      </c>
      <c r="F163" s="94">
        <v>0.1</v>
      </c>
      <c r="G163" s="95">
        <v>0.1</v>
      </c>
    </row>
    <row r="164" spans="1:7">
      <c r="A164" s="104" t="s">
        <v>275</v>
      </c>
      <c r="B164" s="93" t="s">
        <v>2555</v>
      </c>
      <c r="C164" s="110"/>
      <c r="D164" s="110"/>
      <c r="E164" s="110"/>
      <c r="F164" s="94">
        <v>0.1</v>
      </c>
      <c r="G164" s="106"/>
    </row>
    <row r="165" spans="1:7">
      <c r="A165" s="104" t="s">
        <v>275</v>
      </c>
      <c r="B165" s="93" t="s">
        <v>2560</v>
      </c>
      <c r="C165" s="94">
        <v>0.126</v>
      </c>
      <c r="D165" s="94">
        <v>0.126</v>
      </c>
      <c r="E165" s="94">
        <v>0.119</v>
      </c>
      <c r="F165" s="94">
        <v>0.13</v>
      </c>
      <c r="G165" s="95">
        <v>0.128</v>
      </c>
    </row>
    <row r="166" spans="1:7">
      <c r="A166" s="104" t="s">
        <v>275</v>
      </c>
      <c r="B166" s="93" t="s">
        <v>2565</v>
      </c>
      <c r="C166" s="94">
        <v>0.129</v>
      </c>
      <c r="D166" s="94">
        <v>0.129</v>
      </c>
      <c r="E166" s="94">
        <v>0.123</v>
      </c>
      <c r="F166" s="94">
        <v>0.128</v>
      </c>
      <c r="G166" s="95">
        <v>0.13</v>
      </c>
    </row>
    <row r="167" spans="1:7">
      <c r="A167" s="104" t="s">
        <v>275</v>
      </c>
      <c r="B167" s="93" t="s">
        <v>2569</v>
      </c>
      <c r="C167" s="94">
        <v>0.125</v>
      </c>
      <c r="D167" s="94">
        <v>0.125</v>
      </c>
      <c r="E167" s="94">
        <v>0.117</v>
      </c>
      <c r="F167" s="94">
        <v>0.13</v>
      </c>
      <c r="G167" s="95">
        <v>0.126</v>
      </c>
    </row>
    <row r="168" spans="1:7">
      <c r="A168" s="104" t="s">
        <v>275</v>
      </c>
      <c r="B168" s="93" t="s">
        <v>2573</v>
      </c>
      <c r="C168" s="94">
        <v>0.128</v>
      </c>
      <c r="D168" s="94">
        <v>0.128</v>
      </c>
      <c r="E168" s="94">
        <v>0.123</v>
      </c>
      <c r="F168" s="105"/>
      <c r="G168" s="95">
        <v>0.13</v>
      </c>
    </row>
    <row r="169" spans="1:7">
      <c r="A169" s="104" t="s">
        <v>275</v>
      </c>
      <c r="B169" s="93" t="s">
        <v>2577</v>
      </c>
      <c r="C169" s="110"/>
      <c r="D169" s="110"/>
      <c r="E169" s="110"/>
      <c r="F169" s="94">
        <v>0.05</v>
      </c>
      <c r="G169" s="106"/>
    </row>
    <row r="170" spans="1:7">
      <c r="A170" s="104" t="s">
        <v>275</v>
      </c>
      <c r="B170" s="93" t="s">
        <v>2581</v>
      </c>
      <c r="C170" s="110"/>
      <c r="D170" s="110"/>
      <c r="E170" s="110"/>
      <c r="F170" s="94">
        <v>0.05</v>
      </c>
      <c r="G170" s="106"/>
    </row>
    <row r="171" spans="1:7">
      <c r="A171" s="104" t="s">
        <v>275</v>
      </c>
      <c r="B171" s="93" t="s">
        <v>2584</v>
      </c>
      <c r="C171" s="110"/>
      <c r="D171" s="110"/>
      <c r="E171" s="110"/>
      <c r="F171" s="94">
        <v>0.05</v>
      </c>
      <c r="G171" s="111"/>
    </row>
    <row r="172" spans="1:7">
      <c r="A172" s="104" t="s">
        <v>275</v>
      </c>
      <c r="B172" s="93" t="s">
        <v>2586</v>
      </c>
      <c r="C172" s="110"/>
      <c r="D172" s="110"/>
      <c r="E172" s="110"/>
      <c r="F172" s="94">
        <v>0.05</v>
      </c>
      <c r="G172" s="111"/>
    </row>
    <row r="173" spans="1:7">
      <c r="A173" s="104" t="s">
        <v>275</v>
      </c>
      <c r="B173" s="93" t="s">
        <v>2588</v>
      </c>
      <c r="C173" s="110"/>
      <c r="D173" s="110"/>
      <c r="E173" s="110"/>
      <c r="F173" s="94">
        <v>0.05</v>
      </c>
      <c r="G173" s="106"/>
    </row>
    <row r="174" spans="1:7">
      <c r="A174" s="104" t="s">
        <v>275</v>
      </c>
      <c r="B174" s="93" t="s">
        <v>2590</v>
      </c>
      <c r="C174" s="110"/>
      <c r="D174" s="110"/>
      <c r="E174" s="110"/>
      <c r="F174" s="94">
        <v>0.05</v>
      </c>
      <c r="G174" s="106"/>
    </row>
    <row r="175" spans="1:7">
      <c r="A175" s="104" t="s">
        <v>275</v>
      </c>
      <c r="B175" s="93" t="s">
        <v>2592</v>
      </c>
      <c r="C175" s="110"/>
      <c r="D175" s="110"/>
      <c r="E175" s="110"/>
      <c r="F175" s="94">
        <v>0.05</v>
      </c>
      <c r="G175" s="106"/>
    </row>
    <row r="176" spans="1:7">
      <c r="A176" s="104" t="s">
        <v>275</v>
      </c>
      <c r="B176" s="93" t="s">
        <v>2594</v>
      </c>
      <c r="C176" s="110"/>
      <c r="D176" s="110"/>
      <c r="E176" s="110"/>
      <c r="F176" s="94">
        <v>0.05</v>
      </c>
      <c r="G176" s="106"/>
    </row>
    <row r="177" spans="1:7">
      <c r="A177" s="104" t="s">
        <v>275</v>
      </c>
      <c r="B177" s="93" t="s">
        <v>2596</v>
      </c>
      <c r="C177" s="105"/>
      <c r="D177" s="105"/>
      <c r="E177" s="105"/>
      <c r="F177" s="94">
        <v>0.05</v>
      </c>
      <c r="G177" s="111"/>
    </row>
    <row r="178" spans="1:7">
      <c r="A178" s="104" t="s">
        <v>275</v>
      </c>
      <c r="B178" s="93" t="s">
        <v>2597</v>
      </c>
      <c r="C178" s="105"/>
      <c r="D178" s="105"/>
      <c r="E178" s="105"/>
      <c r="F178" s="94">
        <v>0.05</v>
      </c>
      <c r="G178" s="111"/>
    </row>
    <row r="179" spans="1:7">
      <c r="A179" s="104" t="s">
        <v>275</v>
      </c>
      <c r="B179" s="93" t="s">
        <v>2598</v>
      </c>
      <c r="C179" s="105"/>
      <c r="D179" s="105"/>
      <c r="E179" s="105"/>
      <c r="F179" s="94">
        <v>0.05</v>
      </c>
      <c r="G179" s="111"/>
    </row>
    <row r="180" spans="1:7">
      <c r="A180" s="104" t="s">
        <v>275</v>
      </c>
      <c r="B180" s="93" t="s">
        <v>2599</v>
      </c>
      <c r="C180" s="105"/>
      <c r="D180" s="105"/>
      <c r="E180" s="105"/>
      <c r="F180" s="94">
        <v>0.05</v>
      </c>
      <c r="G180" s="111"/>
    </row>
    <row r="181" spans="1:7">
      <c r="A181" s="104" t="s">
        <v>275</v>
      </c>
      <c r="B181" s="93" t="s">
        <v>2600</v>
      </c>
      <c r="C181" s="105"/>
      <c r="D181" s="105"/>
      <c r="E181" s="105"/>
      <c r="F181" s="94">
        <v>0.05</v>
      </c>
      <c r="G181" s="111"/>
    </row>
    <row r="182" spans="1:7">
      <c r="A182" s="104" t="s">
        <v>275</v>
      </c>
      <c r="B182" s="93" t="s">
        <v>2601</v>
      </c>
      <c r="C182" s="105"/>
      <c r="D182" s="105"/>
      <c r="E182" s="105"/>
      <c r="F182" s="94">
        <v>0.05</v>
      </c>
      <c r="G182" s="111"/>
    </row>
    <row r="183" spans="1:7">
      <c r="A183" s="104" t="s">
        <v>275</v>
      </c>
      <c r="B183" s="93" t="s">
        <v>2602</v>
      </c>
      <c r="C183" s="105"/>
      <c r="D183" s="105"/>
      <c r="E183" s="105"/>
      <c r="F183" s="94">
        <v>0.05</v>
      </c>
      <c r="G183" s="111"/>
    </row>
    <row r="184" spans="1:7">
      <c r="A184" s="104" t="s">
        <v>275</v>
      </c>
      <c r="B184" s="93" t="s">
        <v>2603</v>
      </c>
      <c r="C184" s="105"/>
      <c r="D184" s="105"/>
      <c r="E184" s="105"/>
      <c r="F184" s="94">
        <v>0.05</v>
      </c>
      <c r="G184" s="111"/>
    </row>
    <row r="185" spans="1:7">
      <c r="A185" s="104" t="s">
        <v>275</v>
      </c>
      <c r="B185" s="93" t="s">
        <v>2604</v>
      </c>
      <c r="C185" s="105"/>
      <c r="D185" s="105"/>
      <c r="E185" s="105"/>
      <c r="F185" s="94">
        <v>0.05</v>
      </c>
      <c r="G185" s="111"/>
    </row>
    <row r="186" spans="1:7">
      <c r="A186" s="104" t="s">
        <v>275</v>
      </c>
      <c r="B186" s="93" t="s">
        <v>2605</v>
      </c>
      <c r="C186" s="105"/>
      <c r="D186" s="105"/>
      <c r="E186" s="105"/>
      <c r="F186" s="94">
        <v>0.05</v>
      </c>
      <c r="G186" s="111"/>
    </row>
    <row r="187" spans="1:7">
      <c r="A187" s="104" t="s">
        <v>275</v>
      </c>
      <c r="B187" s="93" t="s">
        <v>2606</v>
      </c>
      <c r="C187" s="105"/>
      <c r="D187" s="105"/>
      <c r="E187" s="105"/>
      <c r="F187" s="94">
        <v>0.05</v>
      </c>
      <c r="G187" s="111"/>
    </row>
    <row r="188" spans="1:7">
      <c r="A188" s="104" t="s">
        <v>275</v>
      </c>
      <c r="B188" s="93" t="s">
        <v>2607</v>
      </c>
      <c r="C188" s="105"/>
      <c r="D188" s="105"/>
      <c r="E188" s="105"/>
      <c r="F188" s="94">
        <v>0.05</v>
      </c>
      <c r="G188" s="111"/>
    </row>
    <row r="189" ht="15.15" spans="1:7">
      <c r="A189" s="107" t="s">
        <v>275</v>
      </c>
      <c r="B189" s="97" t="s">
        <v>2608</v>
      </c>
      <c r="C189" s="99"/>
      <c r="D189" s="99"/>
      <c r="E189" s="99"/>
      <c r="F189" s="98">
        <v>0.05</v>
      </c>
      <c r="G189" s="112"/>
    </row>
    <row r="190" spans="1:7">
      <c r="A190" s="103" t="s">
        <v>281</v>
      </c>
      <c r="B190" s="89" t="s">
        <v>2232</v>
      </c>
      <c r="C190" s="90">
        <v>0.124</v>
      </c>
      <c r="D190" s="90">
        <v>0.124</v>
      </c>
      <c r="E190" s="90">
        <v>0.129</v>
      </c>
      <c r="F190" s="90">
        <v>0.13</v>
      </c>
      <c r="G190" s="91">
        <v>0.127</v>
      </c>
    </row>
    <row r="191" spans="1:7">
      <c r="A191" s="104" t="s">
        <v>281</v>
      </c>
      <c r="B191" s="93" t="s">
        <v>2245</v>
      </c>
      <c r="C191" s="94">
        <v>0.13</v>
      </c>
      <c r="D191" s="94">
        <v>0.13</v>
      </c>
      <c r="E191" s="94">
        <v>0.13</v>
      </c>
      <c r="F191" s="94">
        <v>0.13</v>
      </c>
      <c r="G191" s="95">
        <v>0.13</v>
      </c>
    </row>
    <row r="192" spans="1:7">
      <c r="A192" s="104" t="s">
        <v>281</v>
      </c>
      <c r="B192" s="93" t="s">
        <v>2259</v>
      </c>
      <c r="C192" s="94">
        <v>0.13</v>
      </c>
      <c r="D192" s="94">
        <v>0.13</v>
      </c>
      <c r="E192" s="94">
        <v>0.13</v>
      </c>
      <c r="F192" s="94">
        <v>0.13</v>
      </c>
      <c r="G192" s="95">
        <v>0.13</v>
      </c>
    </row>
    <row r="193" spans="1:7">
      <c r="A193" s="104" t="s">
        <v>281</v>
      </c>
      <c r="B193" s="93" t="s">
        <v>2271</v>
      </c>
      <c r="C193" s="94">
        <v>0.13</v>
      </c>
      <c r="D193" s="94">
        <v>0.13</v>
      </c>
      <c r="E193" s="94">
        <v>0.13</v>
      </c>
      <c r="F193" s="94">
        <v>0.13</v>
      </c>
      <c r="G193" s="95">
        <v>0.13</v>
      </c>
    </row>
    <row r="194" spans="1:7">
      <c r="A194" s="104" t="s">
        <v>281</v>
      </c>
      <c r="B194" s="93" t="s">
        <v>2283</v>
      </c>
      <c r="C194" s="94">
        <v>0.123</v>
      </c>
      <c r="D194" s="94">
        <v>0.123</v>
      </c>
      <c r="E194" s="94">
        <v>0.128</v>
      </c>
      <c r="F194" s="94">
        <v>0.13</v>
      </c>
      <c r="G194" s="95">
        <v>0.126</v>
      </c>
    </row>
    <row r="195" spans="1:7">
      <c r="A195" s="104" t="s">
        <v>281</v>
      </c>
      <c r="B195" s="93" t="s">
        <v>2294</v>
      </c>
      <c r="C195" s="94">
        <v>0.127</v>
      </c>
      <c r="D195" s="94">
        <v>0.127</v>
      </c>
      <c r="E195" s="94">
        <v>0.121</v>
      </c>
      <c r="F195" s="94">
        <v>0.129</v>
      </c>
      <c r="G195" s="95">
        <v>0.129</v>
      </c>
    </row>
    <row r="196" spans="1:7">
      <c r="A196" s="104" t="s">
        <v>281</v>
      </c>
      <c r="B196" s="93" t="s">
        <v>2305</v>
      </c>
      <c r="C196" s="94">
        <v>0.127</v>
      </c>
      <c r="D196" s="94">
        <v>0.128</v>
      </c>
      <c r="E196" s="94">
        <v>0.122</v>
      </c>
      <c r="F196" s="94">
        <v>0.13</v>
      </c>
      <c r="G196" s="95">
        <v>0.129</v>
      </c>
    </row>
    <row r="197" spans="1:7">
      <c r="A197" s="104" t="s">
        <v>281</v>
      </c>
      <c r="B197" s="93" t="s">
        <v>2316</v>
      </c>
      <c r="C197" s="94">
        <v>0.126</v>
      </c>
      <c r="D197" s="94">
        <v>0.126</v>
      </c>
      <c r="E197" s="94">
        <v>0.119</v>
      </c>
      <c r="F197" s="94">
        <v>0.13</v>
      </c>
      <c r="G197" s="95">
        <v>0.128</v>
      </c>
    </row>
    <row r="198" spans="1:7">
      <c r="A198" s="104" t="s">
        <v>281</v>
      </c>
      <c r="B198" s="93" t="s">
        <v>2326</v>
      </c>
      <c r="C198" s="94">
        <v>0.13</v>
      </c>
      <c r="D198" s="94">
        <v>0.13</v>
      </c>
      <c r="E198" s="94">
        <v>0.126</v>
      </c>
      <c r="F198" s="110"/>
      <c r="G198" s="95">
        <v>0.13</v>
      </c>
    </row>
    <row r="199" spans="1:7">
      <c r="A199" s="104" t="s">
        <v>281</v>
      </c>
      <c r="B199" s="93" t="s">
        <v>2336</v>
      </c>
      <c r="C199" s="94">
        <v>0.13</v>
      </c>
      <c r="D199" s="94">
        <v>0.13</v>
      </c>
      <c r="E199" s="94">
        <v>0.13</v>
      </c>
      <c r="F199" s="94">
        <v>0.13</v>
      </c>
      <c r="G199" s="95">
        <v>0.13</v>
      </c>
    </row>
    <row r="200" spans="1:7">
      <c r="A200" s="104" t="s">
        <v>281</v>
      </c>
      <c r="B200" s="93" t="s">
        <v>2346</v>
      </c>
      <c r="C200" s="110"/>
      <c r="D200" s="110"/>
      <c r="E200" s="110"/>
      <c r="F200" s="94">
        <v>0.13</v>
      </c>
      <c r="G200" s="106"/>
    </row>
    <row r="201" spans="1:7">
      <c r="A201" s="104" t="s">
        <v>281</v>
      </c>
      <c r="B201" s="93" t="s">
        <v>2356</v>
      </c>
      <c r="C201" s="94">
        <v>0.13</v>
      </c>
      <c r="D201" s="94">
        <v>0.13</v>
      </c>
      <c r="E201" s="94">
        <v>0.13</v>
      </c>
      <c r="F201" s="94">
        <v>0.129</v>
      </c>
      <c r="G201" s="95">
        <v>0.13</v>
      </c>
    </row>
    <row r="202" spans="1:7">
      <c r="A202" s="104" t="s">
        <v>281</v>
      </c>
      <c r="B202" s="93" t="s">
        <v>2366</v>
      </c>
      <c r="C202" s="94">
        <v>0.13</v>
      </c>
      <c r="D202" s="94">
        <v>0.13</v>
      </c>
      <c r="E202" s="94">
        <v>0.13</v>
      </c>
      <c r="F202" s="94">
        <v>0.13</v>
      </c>
      <c r="G202" s="95">
        <v>0.13</v>
      </c>
    </row>
    <row r="203" spans="1:7">
      <c r="A203" s="104" t="s">
        <v>281</v>
      </c>
      <c r="B203" s="93" t="s">
        <v>2376</v>
      </c>
      <c r="C203" s="94">
        <v>0.129</v>
      </c>
      <c r="D203" s="94">
        <v>0.129</v>
      </c>
      <c r="E203" s="94">
        <v>0.13</v>
      </c>
      <c r="F203" s="94">
        <v>0.13</v>
      </c>
      <c r="G203" s="95">
        <v>0.13</v>
      </c>
    </row>
    <row r="204" spans="1:7">
      <c r="A204" s="104" t="s">
        <v>281</v>
      </c>
      <c r="B204" s="93" t="s">
        <v>2386</v>
      </c>
      <c r="C204" s="94">
        <v>0.129</v>
      </c>
      <c r="D204" s="94">
        <v>0.129</v>
      </c>
      <c r="E204" s="94">
        <v>0.123</v>
      </c>
      <c r="F204" s="94">
        <v>0.13</v>
      </c>
      <c r="G204" s="95">
        <v>0.13</v>
      </c>
    </row>
    <row r="205" spans="1:7">
      <c r="A205" s="104" t="s">
        <v>281</v>
      </c>
      <c r="B205" s="93" t="s">
        <v>2396</v>
      </c>
      <c r="C205" s="94">
        <v>0.13</v>
      </c>
      <c r="D205" s="94">
        <v>0.13</v>
      </c>
      <c r="E205" s="94">
        <v>0.13</v>
      </c>
      <c r="F205" s="94">
        <v>0.13</v>
      </c>
      <c r="G205" s="95">
        <v>0.13</v>
      </c>
    </row>
    <row r="206" spans="1:7">
      <c r="A206" s="104" t="s">
        <v>281</v>
      </c>
      <c r="B206" s="93" t="s">
        <v>2406</v>
      </c>
      <c r="C206" s="94">
        <v>0.13</v>
      </c>
      <c r="D206" s="94">
        <v>0.13</v>
      </c>
      <c r="E206" s="94">
        <v>0.13</v>
      </c>
      <c r="F206" s="94">
        <v>0.128</v>
      </c>
      <c r="G206" s="95">
        <v>0.13</v>
      </c>
    </row>
    <row r="207" spans="1:7">
      <c r="A207" s="104" t="s">
        <v>281</v>
      </c>
      <c r="B207" s="93" t="s">
        <v>2416</v>
      </c>
      <c r="C207" s="94">
        <v>0.13</v>
      </c>
      <c r="D207" s="94">
        <v>0.13</v>
      </c>
      <c r="E207" s="94">
        <v>0.13</v>
      </c>
      <c r="F207" s="94">
        <v>0.13</v>
      </c>
      <c r="G207" s="95">
        <v>0.13</v>
      </c>
    </row>
    <row r="208" spans="1:7">
      <c r="A208" s="104" t="s">
        <v>281</v>
      </c>
      <c r="B208" s="93" t="s">
        <v>2426</v>
      </c>
      <c r="C208" s="94">
        <v>0.13</v>
      </c>
      <c r="D208" s="94">
        <v>0.13</v>
      </c>
      <c r="E208" s="94">
        <v>0.13</v>
      </c>
      <c r="F208" s="94">
        <v>0.13</v>
      </c>
      <c r="G208" s="95">
        <v>0.13</v>
      </c>
    </row>
    <row r="209" spans="1:7">
      <c r="A209" s="104" t="s">
        <v>281</v>
      </c>
      <c r="B209" s="93" t="s">
        <v>2436</v>
      </c>
      <c r="C209" s="94">
        <v>0.13</v>
      </c>
      <c r="D209" s="94">
        <v>0.13</v>
      </c>
      <c r="E209" s="94">
        <v>0.13</v>
      </c>
      <c r="F209" s="94">
        <v>0.13</v>
      </c>
      <c r="G209" s="95">
        <v>0.13</v>
      </c>
    </row>
    <row r="210" spans="1:7">
      <c r="A210" s="104" t="s">
        <v>281</v>
      </c>
      <c r="B210" s="93" t="s">
        <v>2445</v>
      </c>
      <c r="C210" s="94">
        <v>0.121</v>
      </c>
      <c r="D210" s="94">
        <v>0.121</v>
      </c>
      <c r="E210" s="94">
        <v>0.125</v>
      </c>
      <c r="F210" s="94">
        <v>0.13</v>
      </c>
      <c r="G210" s="95">
        <v>0.123</v>
      </c>
    </row>
    <row r="211" spans="1:7">
      <c r="A211" s="104" t="s">
        <v>281</v>
      </c>
      <c r="B211" s="93" t="s">
        <v>2453</v>
      </c>
      <c r="C211" s="94">
        <v>0.123</v>
      </c>
      <c r="D211" s="94">
        <v>0.123</v>
      </c>
      <c r="E211" s="94">
        <v>0.127</v>
      </c>
      <c r="F211" s="94">
        <v>0.115</v>
      </c>
      <c r="G211" s="95">
        <v>0.126</v>
      </c>
    </row>
    <row r="212" spans="1:7">
      <c r="A212" s="104" t="s">
        <v>281</v>
      </c>
      <c r="B212" s="93" t="s">
        <v>2461</v>
      </c>
      <c r="C212" s="94">
        <v>0.126</v>
      </c>
      <c r="D212" s="94">
        <v>0.126</v>
      </c>
      <c r="E212" s="94">
        <v>0.13</v>
      </c>
      <c r="F212" s="94">
        <v>0.13</v>
      </c>
      <c r="G212" s="95">
        <v>0.129</v>
      </c>
    </row>
    <row r="213" spans="1:7">
      <c r="A213" s="104" t="s">
        <v>281</v>
      </c>
      <c r="B213" s="93" t="s">
        <v>2469</v>
      </c>
      <c r="C213" s="94">
        <v>0.129</v>
      </c>
      <c r="D213" s="94">
        <v>0.13</v>
      </c>
      <c r="E213" s="94">
        <v>0.127</v>
      </c>
      <c r="F213" s="94">
        <v>0.13</v>
      </c>
      <c r="G213" s="95">
        <v>0.13</v>
      </c>
    </row>
    <row r="214" spans="1:7">
      <c r="A214" s="104" t="s">
        <v>281</v>
      </c>
      <c r="B214" s="93" t="s">
        <v>2477</v>
      </c>
      <c r="C214" s="94">
        <v>0.128</v>
      </c>
      <c r="D214" s="94">
        <v>0.128</v>
      </c>
      <c r="E214" s="94">
        <v>0.13</v>
      </c>
      <c r="F214" s="94">
        <v>0.13</v>
      </c>
      <c r="G214" s="95">
        <v>0.13</v>
      </c>
    </row>
    <row r="215" spans="1:7">
      <c r="A215" s="104" t="s">
        <v>281</v>
      </c>
      <c r="B215" s="93" t="s">
        <v>2484</v>
      </c>
      <c r="C215" s="94">
        <v>0.13</v>
      </c>
      <c r="D215" s="94">
        <v>0.13</v>
      </c>
      <c r="E215" s="94">
        <v>0.13</v>
      </c>
      <c r="F215" s="94">
        <v>0.129</v>
      </c>
      <c r="G215" s="95">
        <v>0.13</v>
      </c>
    </row>
    <row r="216" spans="1:7">
      <c r="A216" s="104" t="s">
        <v>281</v>
      </c>
      <c r="B216" s="93" t="s">
        <v>2491</v>
      </c>
      <c r="C216" s="94">
        <v>0.13</v>
      </c>
      <c r="D216" s="94">
        <v>0.13</v>
      </c>
      <c r="E216" s="94">
        <v>0.13</v>
      </c>
      <c r="F216" s="94">
        <v>0.13</v>
      </c>
      <c r="G216" s="95">
        <v>0.13</v>
      </c>
    </row>
    <row r="217" spans="1:7">
      <c r="A217" s="104" t="s">
        <v>281</v>
      </c>
      <c r="B217" s="93" t="s">
        <v>2498</v>
      </c>
      <c r="C217" s="94">
        <v>0.129</v>
      </c>
      <c r="D217" s="94">
        <v>0.129</v>
      </c>
      <c r="E217" s="94">
        <v>0.13</v>
      </c>
      <c r="F217" s="94">
        <v>0.13</v>
      </c>
      <c r="G217" s="95">
        <v>0.13</v>
      </c>
    </row>
    <row r="218" spans="1:7">
      <c r="A218" s="104" t="s">
        <v>281</v>
      </c>
      <c r="B218" s="93" t="s">
        <v>2505</v>
      </c>
      <c r="C218" s="105"/>
      <c r="D218" s="105"/>
      <c r="E218" s="105"/>
      <c r="F218" s="94">
        <v>0.05</v>
      </c>
      <c r="G218" s="111"/>
    </row>
    <row r="219" spans="1:7">
      <c r="A219" s="104" t="s">
        <v>281</v>
      </c>
      <c r="B219" s="93" t="s">
        <v>2512</v>
      </c>
      <c r="C219" s="105"/>
      <c r="D219" s="105"/>
      <c r="E219" s="105"/>
      <c r="F219" s="94">
        <v>0.05</v>
      </c>
      <c r="G219" s="111"/>
    </row>
    <row r="220" spans="1:7">
      <c r="A220" s="104" t="s">
        <v>281</v>
      </c>
      <c r="B220" s="93" t="s">
        <v>2519</v>
      </c>
      <c r="C220" s="105"/>
      <c r="D220" s="105"/>
      <c r="E220" s="105"/>
      <c r="F220" s="94">
        <v>0.05</v>
      </c>
      <c r="G220" s="111"/>
    </row>
    <row r="221" spans="1:7">
      <c r="A221" s="104" t="s">
        <v>281</v>
      </c>
      <c r="B221" s="93" t="s">
        <v>2526</v>
      </c>
      <c r="C221" s="105"/>
      <c r="D221" s="105"/>
      <c r="E221" s="105"/>
      <c r="F221" s="94">
        <v>0.05</v>
      </c>
      <c r="G221" s="111"/>
    </row>
    <row r="222" spans="1:7">
      <c r="A222" s="104" t="s">
        <v>281</v>
      </c>
      <c r="B222" s="93" t="s">
        <v>2531</v>
      </c>
      <c r="C222" s="105"/>
      <c r="D222" s="105"/>
      <c r="E222" s="105"/>
      <c r="F222" s="94">
        <v>0.05</v>
      </c>
      <c r="G222" s="111"/>
    </row>
    <row r="223" spans="1:7">
      <c r="A223" s="104" t="s">
        <v>281</v>
      </c>
      <c r="B223" s="93" t="s">
        <v>2536</v>
      </c>
      <c r="C223" s="105"/>
      <c r="D223" s="105"/>
      <c r="E223" s="105"/>
      <c r="F223" s="94">
        <v>0.05</v>
      </c>
      <c r="G223" s="111"/>
    </row>
    <row r="224" spans="1:7">
      <c r="A224" s="104" t="s">
        <v>281</v>
      </c>
      <c r="B224" s="93" t="s">
        <v>2541</v>
      </c>
      <c r="C224" s="105"/>
      <c r="D224" s="105"/>
      <c r="E224" s="105"/>
      <c r="F224" s="94">
        <v>0.05</v>
      </c>
      <c r="G224" s="111"/>
    </row>
    <row r="225" spans="1:7">
      <c r="A225" s="104" t="s">
        <v>281</v>
      </c>
      <c r="B225" s="93" t="s">
        <v>2546</v>
      </c>
      <c r="C225" s="105"/>
      <c r="D225" s="105"/>
      <c r="E225" s="105"/>
      <c r="F225" s="94">
        <v>0.05</v>
      </c>
      <c r="G225" s="111"/>
    </row>
    <row r="226" spans="1:7">
      <c r="A226" s="104" t="s">
        <v>281</v>
      </c>
      <c r="B226" s="93" t="s">
        <v>2551</v>
      </c>
      <c r="C226" s="105"/>
      <c r="D226" s="105"/>
      <c r="E226" s="105"/>
      <c r="F226" s="94">
        <v>0.05</v>
      </c>
      <c r="G226" s="111"/>
    </row>
    <row r="227" spans="1:7">
      <c r="A227" s="104" t="s">
        <v>281</v>
      </c>
      <c r="B227" s="93" t="s">
        <v>2610</v>
      </c>
      <c r="C227" s="105"/>
      <c r="D227" s="105"/>
      <c r="E227" s="105"/>
      <c r="F227" s="94">
        <v>0.05</v>
      </c>
      <c r="G227" s="111"/>
    </row>
    <row r="228" spans="1:7">
      <c r="A228" s="104" t="s">
        <v>281</v>
      </c>
      <c r="B228" s="93" t="s">
        <v>2611</v>
      </c>
      <c r="C228" s="105"/>
      <c r="D228" s="105"/>
      <c r="E228" s="105"/>
      <c r="F228" s="94">
        <v>0.05</v>
      </c>
      <c r="G228" s="111"/>
    </row>
    <row r="229" spans="1:7">
      <c r="A229" s="104" t="s">
        <v>281</v>
      </c>
      <c r="B229" s="93" t="s">
        <v>2612</v>
      </c>
      <c r="C229" s="105"/>
      <c r="D229" s="105"/>
      <c r="E229" s="105"/>
      <c r="F229" s="94">
        <v>0.05</v>
      </c>
      <c r="G229" s="111"/>
    </row>
    <row r="230" spans="1:7">
      <c r="A230" s="104" t="s">
        <v>281</v>
      </c>
      <c r="B230" s="93" t="s">
        <v>2570</v>
      </c>
      <c r="C230" s="105"/>
      <c r="D230" s="105"/>
      <c r="E230" s="105"/>
      <c r="F230" s="94">
        <v>0.05</v>
      </c>
      <c r="G230" s="111"/>
    </row>
    <row r="231" spans="1:7">
      <c r="A231" s="104" t="s">
        <v>281</v>
      </c>
      <c r="B231" s="93" t="s">
        <v>2574</v>
      </c>
      <c r="C231" s="105"/>
      <c r="D231" s="105"/>
      <c r="E231" s="105"/>
      <c r="F231" s="94">
        <v>0.05</v>
      </c>
      <c r="G231" s="111"/>
    </row>
    <row r="232" spans="1:7">
      <c r="A232" s="104" t="s">
        <v>281</v>
      </c>
      <c r="B232" s="93" t="s">
        <v>2613</v>
      </c>
      <c r="C232" s="105"/>
      <c r="D232" s="105"/>
      <c r="E232" s="105"/>
      <c r="F232" s="94">
        <v>0.05</v>
      </c>
      <c r="G232" s="111"/>
    </row>
    <row r="233" ht="15.15" spans="1:7">
      <c r="A233" s="107" t="s">
        <v>281</v>
      </c>
      <c r="B233" s="97" t="s">
        <v>2582</v>
      </c>
      <c r="C233" s="99"/>
      <c r="D233" s="99"/>
      <c r="E233" s="99"/>
      <c r="F233" s="98">
        <v>0.05</v>
      </c>
      <c r="G233" s="112"/>
    </row>
    <row r="234" spans="1:7">
      <c r="A234" s="103" t="s">
        <v>287</v>
      </c>
      <c r="B234" s="89" t="s">
        <v>2233</v>
      </c>
      <c r="C234" s="90">
        <v>0.13</v>
      </c>
      <c r="D234" s="90">
        <v>0.128</v>
      </c>
      <c r="E234" s="90">
        <v>0.142</v>
      </c>
      <c r="F234" s="90">
        <v>0.147</v>
      </c>
      <c r="G234" s="91">
        <v>0.14</v>
      </c>
    </row>
    <row r="235" spans="1:7">
      <c r="A235" s="104" t="s">
        <v>287</v>
      </c>
      <c r="B235" s="93" t="s">
        <v>2246</v>
      </c>
      <c r="C235" s="94">
        <v>0.136</v>
      </c>
      <c r="D235" s="94">
        <v>0.138</v>
      </c>
      <c r="E235" s="94">
        <v>0.145</v>
      </c>
      <c r="F235" s="94">
        <v>0.143</v>
      </c>
      <c r="G235" s="95">
        <v>0.141</v>
      </c>
    </row>
    <row r="236" spans="1:7">
      <c r="A236" s="104" t="s">
        <v>287</v>
      </c>
      <c r="B236" s="93" t="s">
        <v>2260</v>
      </c>
      <c r="C236" s="94">
        <v>0.15</v>
      </c>
      <c r="D236" s="94">
        <v>0.15</v>
      </c>
      <c r="E236" s="94">
        <v>0.15</v>
      </c>
      <c r="F236" s="94">
        <v>0.15</v>
      </c>
      <c r="G236" s="95">
        <v>0.15</v>
      </c>
    </row>
    <row r="237" spans="1:7">
      <c r="A237" s="104" t="s">
        <v>287</v>
      </c>
      <c r="B237" s="93" t="s">
        <v>2272</v>
      </c>
      <c r="C237" s="94">
        <v>0.15</v>
      </c>
      <c r="D237" s="94">
        <v>0.15</v>
      </c>
      <c r="E237" s="94">
        <v>0.15</v>
      </c>
      <c r="F237" s="94">
        <v>0.15</v>
      </c>
      <c r="G237" s="95">
        <v>0.15</v>
      </c>
    </row>
    <row r="238" spans="1:7">
      <c r="A238" s="104" t="s">
        <v>287</v>
      </c>
      <c r="B238" s="93" t="s">
        <v>2284</v>
      </c>
      <c r="C238" s="94">
        <v>0.149</v>
      </c>
      <c r="D238" s="94">
        <v>0.149</v>
      </c>
      <c r="E238" s="94">
        <v>0.15</v>
      </c>
      <c r="F238" s="94">
        <v>0.15</v>
      </c>
      <c r="G238" s="95">
        <v>0.15</v>
      </c>
    </row>
    <row r="239" spans="1:7">
      <c r="A239" s="104" t="s">
        <v>287</v>
      </c>
      <c r="B239" s="93" t="s">
        <v>2295</v>
      </c>
      <c r="C239" s="94">
        <v>0.15</v>
      </c>
      <c r="D239" s="94">
        <v>0.15</v>
      </c>
      <c r="E239" s="94">
        <v>0.15</v>
      </c>
      <c r="F239" s="94">
        <v>0.15</v>
      </c>
      <c r="G239" s="95">
        <v>0.15</v>
      </c>
    </row>
    <row r="240" spans="1:7">
      <c r="A240" s="104" t="s">
        <v>287</v>
      </c>
      <c r="B240" s="93" t="s">
        <v>2306</v>
      </c>
      <c r="C240" s="94">
        <v>0.15</v>
      </c>
      <c r="D240" s="94">
        <v>0.15</v>
      </c>
      <c r="E240" s="94">
        <v>0.15</v>
      </c>
      <c r="F240" s="94">
        <v>0.15</v>
      </c>
      <c r="G240" s="95">
        <v>0.15</v>
      </c>
    </row>
    <row r="241" spans="1:7">
      <c r="A241" s="104" t="s">
        <v>287</v>
      </c>
      <c r="B241" s="93" t="s">
        <v>2317</v>
      </c>
      <c r="C241" s="94">
        <v>0.141</v>
      </c>
      <c r="D241" s="94">
        <v>0.142</v>
      </c>
      <c r="E241" s="94">
        <v>0.149</v>
      </c>
      <c r="F241" s="94">
        <v>0.15</v>
      </c>
      <c r="G241" s="95">
        <v>0.144</v>
      </c>
    </row>
    <row r="242" spans="1:7">
      <c r="A242" s="104" t="s">
        <v>287</v>
      </c>
      <c r="B242" s="93" t="s">
        <v>2327</v>
      </c>
      <c r="C242" s="94">
        <v>0.141</v>
      </c>
      <c r="D242" s="94">
        <v>0.142</v>
      </c>
      <c r="E242" s="94">
        <v>0.148</v>
      </c>
      <c r="F242" s="94">
        <v>0.127</v>
      </c>
      <c r="G242" s="95">
        <v>0.144</v>
      </c>
    </row>
    <row r="243" spans="1:7">
      <c r="A243" s="104" t="s">
        <v>287</v>
      </c>
      <c r="B243" s="93" t="s">
        <v>2337</v>
      </c>
      <c r="C243" s="94">
        <v>0.147</v>
      </c>
      <c r="D243" s="94">
        <v>0.147</v>
      </c>
      <c r="E243" s="94">
        <v>0.15</v>
      </c>
      <c r="F243" s="94">
        <v>0.15</v>
      </c>
      <c r="G243" s="95">
        <v>0.149</v>
      </c>
    </row>
    <row r="244" spans="1:7">
      <c r="A244" s="104" t="s">
        <v>287</v>
      </c>
      <c r="B244" s="93" t="s">
        <v>2347</v>
      </c>
      <c r="C244" s="94">
        <v>0.15</v>
      </c>
      <c r="D244" s="94">
        <v>0.15</v>
      </c>
      <c r="E244" s="94">
        <v>0.15</v>
      </c>
      <c r="F244" s="94">
        <v>0.15</v>
      </c>
      <c r="G244" s="95">
        <v>0.15</v>
      </c>
    </row>
    <row r="245" spans="1:7">
      <c r="A245" s="104" t="s">
        <v>287</v>
      </c>
      <c r="B245" s="93" t="s">
        <v>2357</v>
      </c>
      <c r="C245" s="94">
        <v>0.142</v>
      </c>
      <c r="D245" s="94">
        <v>0.142</v>
      </c>
      <c r="E245" s="94">
        <v>0.15</v>
      </c>
      <c r="F245" s="94">
        <v>0.15</v>
      </c>
      <c r="G245" s="95">
        <v>0.145</v>
      </c>
    </row>
    <row r="246" spans="1:7">
      <c r="A246" s="104" t="s">
        <v>287</v>
      </c>
      <c r="B246" s="93" t="s">
        <v>2367</v>
      </c>
      <c r="C246" s="94">
        <v>0.142</v>
      </c>
      <c r="D246" s="94">
        <v>0.143</v>
      </c>
      <c r="E246" s="94">
        <v>0.15</v>
      </c>
      <c r="F246" s="94">
        <v>0.142</v>
      </c>
      <c r="G246" s="95">
        <v>0.144</v>
      </c>
    </row>
    <row r="247" spans="1:7">
      <c r="A247" s="104" t="s">
        <v>287</v>
      </c>
      <c r="B247" s="93" t="s">
        <v>2377</v>
      </c>
      <c r="C247" s="94">
        <v>0.149</v>
      </c>
      <c r="D247" s="94">
        <v>0.149</v>
      </c>
      <c r="E247" s="94">
        <v>0.15</v>
      </c>
      <c r="F247" s="94">
        <v>0.15</v>
      </c>
      <c r="G247" s="95">
        <v>0.15</v>
      </c>
    </row>
    <row r="248" spans="1:7">
      <c r="A248" s="104" t="s">
        <v>287</v>
      </c>
      <c r="B248" s="93" t="s">
        <v>2387</v>
      </c>
      <c r="C248" s="94">
        <v>0.144</v>
      </c>
      <c r="D248" s="94">
        <v>0.144</v>
      </c>
      <c r="E248" s="94">
        <v>0.149</v>
      </c>
      <c r="F248" s="94">
        <v>0.148</v>
      </c>
      <c r="G248" s="95">
        <v>0.146</v>
      </c>
    </row>
    <row r="249" spans="1:7">
      <c r="A249" s="104" t="s">
        <v>287</v>
      </c>
      <c r="B249" s="93" t="s">
        <v>2397</v>
      </c>
      <c r="C249" s="94">
        <v>0.14</v>
      </c>
      <c r="D249" s="94">
        <v>0.14</v>
      </c>
      <c r="E249" s="94">
        <v>0.147</v>
      </c>
      <c r="F249" s="94">
        <v>0.149</v>
      </c>
      <c r="G249" s="95">
        <v>0.142</v>
      </c>
    </row>
    <row r="250" spans="1:7">
      <c r="A250" s="104" t="s">
        <v>287</v>
      </c>
      <c r="B250" s="93" t="s">
        <v>2407</v>
      </c>
      <c r="C250" s="94">
        <v>0.144</v>
      </c>
      <c r="D250" s="94">
        <v>0.143</v>
      </c>
      <c r="E250" s="94">
        <v>0.149</v>
      </c>
      <c r="F250" s="94">
        <v>0.15</v>
      </c>
      <c r="G250" s="95">
        <v>0.146</v>
      </c>
    </row>
    <row r="251" spans="1:7">
      <c r="A251" s="104" t="s">
        <v>287</v>
      </c>
      <c r="B251" s="93" t="s">
        <v>2417</v>
      </c>
      <c r="C251" s="110"/>
      <c r="D251" s="105"/>
      <c r="E251" s="105"/>
      <c r="F251" s="94">
        <v>0.1</v>
      </c>
      <c r="G251" s="111"/>
    </row>
    <row r="252" spans="1:7">
      <c r="A252" s="104" t="s">
        <v>287</v>
      </c>
      <c r="B252" s="93" t="s">
        <v>2427</v>
      </c>
      <c r="C252" s="94">
        <v>0.144</v>
      </c>
      <c r="D252" s="94">
        <v>0.144</v>
      </c>
      <c r="E252" s="94">
        <v>0.15</v>
      </c>
      <c r="F252" s="94">
        <v>0.149</v>
      </c>
      <c r="G252" s="95">
        <v>0.146</v>
      </c>
    </row>
    <row r="253" spans="1:7">
      <c r="A253" s="104" t="s">
        <v>287</v>
      </c>
      <c r="B253" s="93" t="s">
        <v>2437</v>
      </c>
      <c r="C253" s="94">
        <v>0.142</v>
      </c>
      <c r="D253" s="94">
        <v>0.142</v>
      </c>
      <c r="E253" s="94">
        <v>0.146</v>
      </c>
      <c r="F253" s="94">
        <v>0.148</v>
      </c>
      <c r="G253" s="95">
        <v>0.145</v>
      </c>
    </row>
    <row r="254" spans="1:7">
      <c r="A254" s="104" t="s">
        <v>287</v>
      </c>
      <c r="B254" s="93" t="s">
        <v>2446</v>
      </c>
      <c r="C254" s="94">
        <v>0.15</v>
      </c>
      <c r="D254" s="94">
        <v>0.15</v>
      </c>
      <c r="E254" s="94">
        <v>0.15</v>
      </c>
      <c r="F254" s="94">
        <v>0.15</v>
      </c>
      <c r="G254" s="95">
        <v>0.15</v>
      </c>
    </row>
    <row r="255" spans="1:7">
      <c r="A255" s="104" t="s">
        <v>287</v>
      </c>
      <c r="B255" s="93" t="s">
        <v>2454</v>
      </c>
      <c r="C255" s="94">
        <v>0.143</v>
      </c>
      <c r="D255" s="94">
        <v>0.143</v>
      </c>
      <c r="E255" s="94">
        <v>0.15</v>
      </c>
      <c r="F255" s="94">
        <v>0.15</v>
      </c>
      <c r="G255" s="95">
        <v>0.145</v>
      </c>
    </row>
    <row r="256" spans="1:7">
      <c r="A256" s="104" t="s">
        <v>287</v>
      </c>
      <c r="B256" s="93" t="s">
        <v>2462</v>
      </c>
      <c r="C256" s="94">
        <v>0.15</v>
      </c>
      <c r="D256" s="94">
        <v>0.15</v>
      </c>
      <c r="E256" s="94">
        <v>0.15</v>
      </c>
      <c r="F256" s="94">
        <v>0.146</v>
      </c>
      <c r="G256" s="95">
        <v>0.15</v>
      </c>
    </row>
    <row r="257" spans="1:7">
      <c r="A257" s="104" t="s">
        <v>287</v>
      </c>
      <c r="B257" s="93" t="s">
        <v>2470</v>
      </c>
      <c r="C257" s="94">
        <v>0.142</v>
      </c>
      <c r="D257" s="94">
        <v>0.143</v>
      </c>
      <c r="E257" s="94">
        <v>0.148</v>
      </c>
      <c r="F257" s="94">
        <v>0.15</v>
      </c>
      <c r="G257" s="95">
        <v>0.145</v>
      </c>
    </row>
    <row r="258" spans="1:7">
      <c r="A258" s="104" t="s">
        <v>287</v>
      </c>
      <c r="B258" s="93" t="s">
        <v>2478</v>
      </c>
      <c r="C258" s="94">
        <v>0.143</v>
      </c>
      <c r="D258" s="94">
        <v>0.143</v>
      </c>
      <c r="E258" s="94">
        <v>0.15</v>
      </c>
      <c r="F258" s="94">
        <v>0.148</v>
      </c>
      <c r="G258" s="95">
        <v>0.146</v>
      </c>
    </row>
    <row r="259" spans="1:7">
      <c r="A259" s="104" t="s">
        <v>287</v>
      </c>
      <c r="B259" s="93" t="s">
        <v>2485</v>
      </c>
      <c r="C259" s="94">
        <v>0.144</v>
      </c>
      <c r="D259" s="94">
        <v>0.144</v>
      </c>
      <c r="E259" s="94">
        <v>0.149</v>
      </c>
      <c r="F259" s="94">
        <v>0.147</v>
      </c>
      <c r="G259" s="95">
        <v>0.146</v>
      </c>
    </row>
    <row r="260" spans="1:7">
      <c r="A260" s="104" t="s">
        <v>287</v>
      </c>
      <c r="B260" s="93" t="s">
        <v>2492</v>
      </c>
      <c r="C260" s="94">
        <v>0.109</v>
      </c>
      <c r="D260" s="94">
        <v>0.111</v>
      </c>
      <c r="E260" s="94">
        <v>0.131</v>
      </c>
      <c r="F260" s="94">
        <v>0.126</v>
      </c>
      <c r="G260" s="95">
        <v>0.119</v>
      </c>
    </row>
    <row r="261" spans="1:7">
      <c r="A261" s="104" t="s">
        <v>287</v>
      </c>
      <c r="B261" s="93" t="s">
        <v>2499</v>
      </c>
      <c r="C261" s="94">
        <v>0.1</v>
      </c>
      <c r="D261" s="94">
        <v>0.1</v>
      </c>
      <c r="E261" s="94">
        <v>0.118</v>
      </c>
      <c r="F261" s="94">
        <v>0.108</v>
      </c>
      <c r="G261" s="95">
        <v>0.107</v>
      </c>
    </row>
    <row r="262" spans="1:7">
      <c r="A262" s="104" t="s">
        <v>287</v>
      </c>
      <c r="B262" s="93" t="s">
        <v>2506</v>
      </c>
      <c r="C262" s="94">
        <v>0.1</v>
      </c>
      <c r="D262" s="94">
        <v>0.1</v>
      </c>
      <c r="E262" s="94">
        <v>0.1</v>
      </c>
      <c r="F262" s="94">
        <v>0.141</v>
      </c>
      <c r="G262" s="95">
        <v>0.1</v>
      </c>
    </row>
    <row r="263" spans="1:7">
      <c r="A263" s="104" t="s">
        <v>287</v>
      </c>
      <c r="B263" s="93" t="s">
        <v>2513</v>
      </c>
      <c r="C263" s="94">
        <v>0.148</v>
      </c>
      <c r="D263" s="94">
        <v>0.148</v>
      </c>
      <c r="E263" s="94">
        <v>0.15</v>
      </c>
      <c r="F263" s="94">
        <v>0.147</v>
      </c>
      <c r="G263" s="95">
        <v>0.15</v>
      </c>
    </row>
    <row r="264" spans="1:7">
      <c r="A264" s="104" t="s">
        <v>287</v>
      </c>
      <c r="B264" s="93" t="s">
        <v>2520</v>
      </c>
      <c r="C264" s="94">
        <v>0.143</v>
      </c>
      <c r="D264" s="94">
        <v>0.143</v>
      </c>
      <c r="E264" s="94">
        <v>0.15</v>
      </c>
      <c r="F264" s="94">
        <v>0.149</v>
      </c>
      <c r="G264" s="95">
        <v>0.146</v>
      </c>
    </row>
    <row r="265" spans="1:7">
      <c r="A265" s="104" t="s">
        <v>287</v>
      </c>
      <c r="B265" s="93" t="s">
        <v>2527</v>
      </c>
      <c r="C265" s="105"/>
      <c r="D265" s="105"/>
      <c r="E265" s="105"/>
      <c r="F265" s="94">
        <v>0.05</v>
      </c>
      <c r="G265" s="111"/>
    </row>
    <row r="266" spans="1:7">
      <c r="A266" s="104" t="s">
        <v>287</v>
      </c>
      <c r="B266" s="93" t="s">
        <v>2532</v>
      </c>
      <c r="C266" s="105"/>
      <c r="D266" s="105"/>
      <c r="E266" s="105"/>
      <c r="F266" s="94">
        <v>0.05</v>
      </c>
      <c r="G266" s="111"/>
    </row>
    <row r="267" spans="1:7">
      <c r="A267" s="104" t="s">
        <v>287</v>
      </c>
      <c r="B267" s="93" t="s">
        <v>2537</v>
      </c>
      <c r="C267" s="105"/>
      <c r="D267" s="105"/>
      <c r="E267" s="105"/>
      <c r="F267" s="94">
        <v>0.05</v>
      </c>
      <c r="G267" s="111"/>
    </row>
    <row r="268" spans="1:7">
      <c r="A268" s="104" t="s">
        <v>287</v>
      </c>
      <c r="B268" s="93" t="s">
        <v>2542</v>
      </c>
      <c r="C268" s="105"/>
      <c r="D268" s="105"/>
      <c r="E268" s="105"/>
      <c r="F268" s="94">
        <v>0.05</v>
      </c>
      <c r="G268" s="111"/>
    </row>
    <row r="269" spans="1:7">
      <c r="A269" s="104" t="s">
        <v>287</v>
      </c>
      <c r="B269" s="93" t="s">
        <v>2547</v>
      </c>
      <c r="C269" s="105"/>
      <c r="D269" s="105"/>
      <c r="E269" s="105"/>
      <c r="F269" s="94">
        <v>0.05</v>
      </c>
      <c r="G269" s="111"/>
    </row>
    <row r="270" spans="1:7">
      <c r="A270" s="104" t="s">
        <v>287</v>
      </c>
      <c r="B270" s="93" t="s">
        <v>2552</v>
      </c>
      <c r="C270" s="105"/>
      <c r="D270" s="105"/>
      <c r="E270" s="105"/>
      <c r="F270" s="94">
        <v>0.05</v>
      </c>
      <c r="G270" s="111"/>
    </row>
    <row r="271" spans="1:7">
      <c r="A271" s="104" t="s">
        <v>287</v>
      </c>
      <c r="B271" s="93" t="s">
        <v>2557</v>
      </c>
      <c r="C271" s="105"/>
      <c r="D271" s="105"/>
      <c r="E271" s="105"/>
      <c r="F271" s="94">
        <v>0.05</v>
      </c>
      <c r="G271" s="111"/>
    </row>
    <row r="272" spans="1:7">
      <c r="A272" s="104" t="s">
        <v>287</v>
      </c>
      <c r="B272" s="93" t="s">
        <v>2562</v>
      </c>
      <c r="C272" s="105"/>
      <c r="D272" s="105"/>
      <c r="E272" s="105"/>
      <c r="F272" s="94">
        <v>0.05</v>
      </c>
      <c r="G272" s="111"/>
    </row>
    <row r="273" spans="1:7">
      <c r="A273" s="104" t="s">
        <v>287</v>
      </c>
      <c r="B273" s="93" t="s">
        <v>2567</v>
      </c>
      <c r="C273" s="105"/>
      <c r="D273" s="105"/>
      <c r="E273" s="105"/>
      <c r="F273" s="94">
        <v>0.05</v>
      </c>
      <c r="G273" s="111"/>
    </row>
    <row r="274" spans="1:7">
      <c r="A274" s="104" t="s">
        <v>287</v>
      </c>
      <c r="B274" s="93" t="s">
        <v>2571</v>
      </c>
      <c r="C274" s="105"/>
      <c r="D274" s="105"/>
      <c r="E274" s="105"/>
      <c r="F274" s="94">
        <v>0.05</v>
      </c>
      <c r="G274" s="111"/>
    </row>
    <row r="275" spans="1:7">
      <c r="A275" s="104" t="s">
        <v>287</v>
      </c>
      <c r="B275" s="93" t="s">
        <v>2575</v>
      </c>
      <c r="C275" s="105"/>
      <c r="D275" s="105"/>
      <c r="E275" s="105"/>
      <c r="F275" s="94">
        <v>0.05</v>
      </c>
      <c r="G275" s="111"/>
    </row>
    <row r="276" ht="15.15" spans="1:7">
      <c r="A276" s="107" t="s">
        <v>287</v>
      </c>
      <c r="B276" s="97" t="s">
        <v>2579</v>
      </c>
      <c r="C276" s="99"/>
      <c r="D276" s="99"/>
      <c r="E276" s="99"/>
      <c r="F276" s="98">
        <v>0.05</v>
      </c>
      <c r="G276" s="112"/>
    </row>
    <row r="277" spans="1:7">
      <c r="A277" s="103" t="s">
        <v>291</v>
      </c>
      <c r="B277" s="89" t="s">
        <v>2234</v>
      </c>
      <c r="C277" s="90">
        <v>0.15</v>
      </c>
      <c r="D277" s="90">
        <v>0.15</v>
      </c>
      <c r="E277" s="90">
        <v>0.15</v>
      </c>
      <c r="F277" s="90">
        <v>0.15</v>
      </c>
      <c r="G277" s="91">
        <v>0.15</v>
      </c>
    </row>
    <row r="278" spans="1:7">
      <c r="A278" s="104" t="s">
        <v>291</v>
      </c>
      <c r="B278" s="93" t="s">
        <v>2247</v>
      </c>
      <c r="C278" s="94">
        <v>0.15</v>
      </c>
      <c r="D278" s="94">
        <v>0.15</v>
      </c>
      <c r="E278" s="94">
        <v>0.15</v>
      </c>
      <c r="F278" s="94">
        <v>0.15</v>
      </c>
      <c r="G278" s="95">
        <v>0.15</v>
      </c>
    </row>
    <row r="279" spans="1:7">
      <c r="A279" s="104" t="s">
        <v>291</v>
      </c>
      <c r="B279" s="93" t="s">
        <v>2261</v>
      </c>
      <c r="C279" s="94">
        <v>0.15</v>
      </c>
      <c r="D279" s="94">
        <v>0.15</v>
      </c>
      <c r="E279" s="94">
        <v>0.15</v>
      </c>
      <c r="F279" s="94">
        <v>0.15</v>
      </c>
      <c r="G279" s="95">
        <v>0.15</v>
      </c>
    </row>
    <row r="280" spans="1:7">
      <c r="A280" s="104" t="s">
        <v>291</v>
      </c>
      <c r="B280" s="93" t="s">
        <v>2273</v>
      </c>
      <c r="C280" s="94">
        <v>0.15</v>
      </c>
      <c r="D280" s="94">
        <v>0.15</v>
      </c>
      <c r="E280" s="94">
        <v>0.15</v>
      </c>
      <c r="F280" s="94">
        <v>0.15</v>
      </c>
      <c r="G280" s="95">
        <v>0.15</v>
      </c>
    </row>
    <row r="281" spans="1:7">
      <c r="A281" s="104" t="s">
        <v>291</v>
      </c>
      <c r="B281" s="93" t="s">
        <v>2285</v>
      </c>
      <c r="C281" s="94">
        <v>0.15</v>
      </c>
      <c r="D281" s="94">
        <v>0.15</v>
      </c>
      <c r="E281" s="94">
        <v>0.15</v>
      </c>
      <c r="F281" s="94">
        <v>0.15</v>
      </c>
      <c r="G281" s="95">
        <v>0.15</v>
      </c>
    </row>
    <row r="282" spans="1:7">
      <c r="A282" s="104" t="s">
        <v>291</v>
      </c>
      <c r="B282" s="93" t="s">
        <v>2296</v>
      </c>
      <c r="C282" s="94">
        <v>0.15</v>
      </c>
      <c r="D282" s="94">
        <v>0.15</v>
      </c>
      <c r="E282" s="94">
        <v>0.15</v>
      </c>
      <c r="F282" s="94">
        <v>0.145</v>
      </c>
      <c r="G282" s="95">
        <v>0.15</v>
      </c>
    </row>
    <row r="283" spans="1:7">
      <c r="A283" s="104" t="s">
        <v>291</v>
      </c>
      <c r="B283" s="93" t="s">
        <v>2307</v>
      </c>
      <c r="C283" s="94">
        <v>0.15</v>
      </c>
      <c r="D283" s="94">
        <v>0.15</v>
      </c>
      <c r="E283" s="94">
        <v>0.15</v>
      </c>
      <c r="F283" s="94">
        <v>0.142</v>
      </c>
      <c r="G283" s="95">
        <v>0.15</v>
      </c>
    </row>
    <row r="284" spans="1:7">
      <c r="A284" s="104" t="s">
        <v>291</v>
      </c>
      <c r="B284" s="93" t="s">
        <v>2318</v>
      </c>
      <c r="C284" s="94">
        <v>0.15</v>
      </c>
      <c r="D284" s="94">
        <v>0.15</v>
      </c>
      <c r="E284" s="94">
        <v>0.15</v>
      </c>
      <c r="F284" s="94">
        <v>0.15</v>
      </c>
      <c r="G284" s="95">
        <v>0.15</v>
      </c>
    </row>
    <row r="285" spans="1:7">
      <c r="A285" s="104" t="s">
        <v>291</v>
      </c>
      <c r="B285" s="93" t="s">
        <v>2328</v>
      </c>
      <c r="C285" s="94">
        <v>0.15</v>
      </c>
      <c r="D285" s="94">
        <v>0.15</v>
      </c>
      <c r="E285" s="94">
        <v>0.15</v>
      </c>
      <c r="F285" s="94">
        <v>0.15</v>
      </c>
      <c r="G285" s="95">
        <v>0.15</v>
      </c>
    </row>
    <row r="286" spans="1:7">
      <c r="A286" s="104" t="s">
        <v>291</v>
      </c>
      <c r="B286" s="93" t="s">
        <v>2338</v>
      </c>
      <c r="C286" s="94">
        <v>0.145</v>
      </c>
      <c r="D286" s="94">
        <v>0.145</v>
      </c>
      <c r="E286" s="94">
        <v>0.15</v>
      </c>
      <c r="F286" s="94">
        <v>0.141</v>
      </c>
      <c r="G286" s="95">
        <v>0.145</v>
      </c>
    </row>
    <row r="287" spans="1:7">
      <c r="A287" s="104" t="s">
        <v>291</v>
      </c>
      <c r="B287" s="93" t="s">
        <v>2348</v>
      </c>
      <c r="C287" s="94">
        <v>0.11</v>
      </c>
      <c r="D287" s="94">
        <v>0.111</v>
      </c>
      <c r="E287" s="94">
        <v>0.141</v>
      </c>
      <c r="F287" s="94">
        <v>0.11</v>
      </c>
      <c r="G287" s="95">
        <v>0.12</v>
      </c>
    </row>
    <row r="288" spans="1:7">
      <c r="A288" s="104" t="s">
        <v>291</v>
      </c>
      <c r="B288" s="93" t="s">
        <v>2358</v>
      </c>
      <c r="C288" s="94">
        <v>0.142</v>
      </c>
      <c r="D288" s="94">
        <v>0.143</v>
      </c>
      <c r="E288" s="94">
        <v>0.15</v>
      </c>
      <c r="F288" s="94">
        <v>0.142</v>
      </c>
      <c r="G288" s="95">
        <v>0.144</v>
      </c>
    </row>
    <row r="289" spans="1:7">
      <c r="A289" s="104" t="s">
        <v>291</v>
      </c>
      <c r="B289" s="93" t="s">
        <v>2368</v>
      </c>
      <c r="C289" s="94">
        <v>0.143</v>
      </c>
      <c r="D289" s="94">
        <v>0.143</v>
      </c>
      <c r="E289" s="94">
        <v>0.148</v>
      </c>
      <c r="F289" s="94">
        <v>0.144</v>
      </c>
      <c r="G289" s="95">
        <v>0.144</v>
      </c>
    </row>
    <row r="290" spans="1:7">
      <c r="A290" s="104" t="s">
        <v>291</v>
      </c>
      <c r="B290" s="93" t="s">
        <v>2378</v>
      </c>
      <c r="C290" s="94">
        <v>0.148</v>
      </c>
      <c r="D290" s="94">
        <v>0.149</v>
      </c>
      <c r="E290" s="94">
        <v>0.15</v>
      </c>
      <c r="F290" s="94">
        <v>0.127</v>
      </c>
      <c r="G290" s="95">
        <v>0.15</v>
      </c>
    </row>
    <row r="291" spans="1:7">
      <c r="A291" s="104" t="s">
        <v>291</v>
      </c>
      <c r="B291" s="93" t="s">
        <v>2388</v>
      </c>
      <c r="C291" s="94">
        <v>0.15</v>
      </c>
      <c r="D291" s="94">
        <v>0.15</v>
      </c>
      <c r="E291" s="94">
        <v>0.15</v>
      </c>
      <c r="F291" s="94">
        <v>0.149</v>
      </c>
      <c r="G291" s="95">
        <v>0.15</v>
      </c>
    </row>
    <row r="292" spans="1:7">
      <c r="A292" s="104" t="s">
        <v>291</v>
      </c>
      <c r="B292" s="93" t="s">
        <v>2398</v>
      </c>
      <c r="C292" s="94">
        <v>0.15</v>
      </c>
      <c r="D292" s="94">
        <v>0.15</v>
      </c>
      <c r="E292" s="94">
        <v>0.15</v>
      </c>
      <c r="F292" s="94">
        <v>0.144</v>
      </c>
      <c r="G292" s="95">
        <v>0.15</v>
      </c>
    </row>
    <row r="293" spans="1:7">
      <c r="A293" s="104" t="s">
        <v>291</v>
      </c>
      <c r="B293" s="93" t="s">
        <v>2408</v>
      </c>
      <c r="C293" s="94">
        <v>0.15</v>
      </c>
      <c r="D293" s="94">
        <v>0.15</v>
      </c>
      <c r="E293" s="94">
        <v>0.15</v>
      </c>
      <c r="F293" s="94">
        <v>0.145</v>
      </c>
      <c r="G293" s="95">
        <v>0.15</v>
      </c>
    </row>
    <row r="294" spans="1:7">
      <c r="A294" s="104" t="s">
        <v>291</v>
      </c>
      <c r="B294" s="93" t="s">
        <v>2418</v>
      </c>
      <c r="C294" s="94">
        <v>0.15</v>
      </c>
      <c r="D294" s="94">
        <v>0.15</v>
      </c>
      <c r="E294" s="94">
        <v>0.15</v>
      </c>
      <c r="F294" s="94">
        <v>0.149</v>
      </c>
      <c r="G294" s="95">
        <v>0.15</v>
      </c>
    </row>
    <row r="295" spans="1:7">
      <c r="A295" s="104" t="s">
        <v>291</v>
      </c>
      <c r="B295" s="93" t="s">
        <v>2428</v>
      </c>
      <c r="C295" s="94">
        <v>0.15</v>
      </c>
      <c r="D295" s="94">
        <v>0.15</v>
      </c>
      <c r="E295" s="94">
        <v>0.15</v>
      </c>
      <c r="F295" s="94">
        <v>0.148</v>
      </c>
      <c r="G295" s="95">
        <v>0.15</v>
      </c>
    </row>
    <row r="296" spans="1:7">
      <c r="A296" s="104" t="s">
        <v>291</v>
      </c>
      <c r="B296" s="93" t="s">
        <v>2438</v>
      </c>
      <c r="C296" s="94">
        <v>0.15</v>
      </c>
      <c r="D296" s="94">
        <v>0.15</v>
      </c>
      <c r="E296" s="94">
        <v>0.15</v>
      </c>
      <c r="F296" s="94">
        <v>0.144</v>
      </c>
      <c r="G296" s="95">
        <v>0.15</v>
      </c>
    </row>
    <row r="297" spans="1:7">
      <c r="A297" s="104" t="s">
        <v>291</v>
      </c>
      <c r="B297" s="93" t="s">
        <v>2447</v>
      </c>
      <c r="C297" s="94">
        <v>0.15</v>
      </c>
      <c r="D297" s="94">
        <v>0.15</v>
      </c>
      <c r="E297" s="94">
        <v>0.15</v>
      </c>
      <c r="F297" s="94">
        <v>0.145</v>
      </c>
      <c r="G297" s="95">
        <v>0.15</v>
      </c>
    </row>
    <row r="298" spans="1:7">
      <c r="A298" s="104" t="s">
        <v>291</v>
      </c>
      <c r="B298" s="93" t="s">
        <v>2455</v>
      </c>
      <c r="C298" s="94">
        <v>0.15</v>
      </c>
      <c r="D298" s="94">
        <v>0.15</v>
      </c>
      <c r="E298" s="94">
        <v>0.15</v>
      </c>
      <c r="F298" s="94">
        <v>0.15</v>
      </c>
      <c r="G298" s="95">
        <v>0.15</v>
      </c>
    </row>
    <row r="299" spans="1:7">
      <c r="A299" s="104" t="s">
        <v>291</v>
      </c>
      <c r="B299" s="113" t="s">
        <v>2463</v>
      </c>
      <c r="C299" s="94">
        <v>0.15</v>
      </c>
      <c r="D299" s="94">
        <v>0.15</v>
      </c>
      <c r="E299" s="94">
        <v>0.15</v>
      </c>
      <c r="F299" s="94">
        <v>0.145</v>
      </c>
      <c r="G299" s="95">
        <v>0.15</v>
      </c>
    </row>
    <row r="300" spans="1:7">
      <c r="A300" s="104" t="s">
        <v>291</v>
      </c>
      <c r="B300" s="113" t="s">
        <v>2471</v>
      </c>
      <c r="C300" s="94">
        <v>0.15</v>
      </c>
      <c r="D300" s="94">
        <v>0.15</v>
      </c>
      <c r="E300" s="94">
        <v>0.15</v>
      </c>
      <c r="F300" s="94">
        <v>0.146</v>
      </c>
      <c r="G300" s="95">
        <v>0.15</v>
      </c>
    </row>
    <row r="301" spans="1:7">
      <c r="A301" s="104" t="s">
        <v>291</v>
      </c>
      <c r="B301" s="113" t="s">
        <v>2479</v>
      </c>
      <c r="C301" s="94">
        <v>0.126</v>
      </c>
      <c r="D301" s="94">
        <v>0.124</v>
      </c>
      <c r="E301" s="94">
        <v>0.141</v>
      </c>
      <c r="F301" s="94">
        <v>0.144</v>
      </c>
      <c r="G301" s="95">
        <v>0.13</v>
      </c>
    </row>
    <row r="302" spans="1:7">
      <c r="A302" s="104" t="s">
        <v>291</v>
      </c>
      <c r="B302" s="93" t="s">
        <v>2486</v>
      </c>
      <c r="C302" s="94">
        <v>0.15</v>
      </c>
      <c r="D302" s="94">
        <v>0.15</v>
      </c>
      <c r="E302" s="94">
        <v>0.15</v>
      </c>
      <c r="F302" s="94">
        <v>0.147</v>
      </c>
      <c r="G302" s="95">
        <v>0.15</v>
      </c>
    </row>
    <row r="303" spans="1:7">
      <c r="A303" s="104" t="s">
        <v>291</v>
      </c>
      <c r="B303" s="93" t="s">
        <v>2493</v>
      </c>
      <c r="C303" s="94">
        <v>0.15</v>
      </c>
      <c r="D303" s="94">
        <v>0.15</v>
      </c>
      <c r="E303" s="94">
        <v>0.15</v>
      </c>
      <c r="F303" s="94">
        <v>0.142</v>
      </c>
      <c r="G303" s="95">
        <v>0.15</v>
      </c>
    </row>
    <row r="304" spans="1:7">
      <c r="A304" s="104" t="s">
        <v>291</v>
      </c>
      <c r="B304" s="93" t="s">
        <v>2500</v>
      </c>
      <c r="C304" s="94">
        <v>0.15</v>
      </c>
      <c r="D304" s="94">
        <v>0.15</v>
      </c>
      <c r="E304" s="94">
        <v>0.15</v>
      </c>
      <c r="F304" s="94">
        <v>0.145</v>
      </c>
      <c r="G304" s="95">
        <v>0.15</v>
      </c>
    </row>
    <row r="305" spans="1:7">
      <c r="A305" s="104" t="s">
        <v>291</v>
      </c>
      <c r="B305" s="93" t="s">
        <v>2507</v>
      </c>
      <c r="C305" s="94">
        <v>0.15</v>
      </c>
      <c r="D305" s="94">
        <v>0.15</v>
      </c>
      <c r="E305" s="94">
        <v>0.15</v>
      </c>
      <c r="F305" s="94">
        <v>0.111</v>
      </c>
      <c r="G305" s="95">
        <v>0.15</v>
      </c>
    </row>
    <row r="306" spans="1:7">
      <c r="A306" s="104" t="s">
        <v>291</v>
      </c>
      <c r="B306" s="93" t="s">
        <v>2514</v>
      </c>
      <c r="C306" s="94">
        <v>0.15</v>
      </c>
      <c r="D306" s="94">
        <v>0.15</v>
      </c>
      <c r="E306" s="94">
        <v>0.15</v>
      </c>
      <c r="F306" s="94">
        <v>0.126</v>
      </c>
      <c r="G306" s="95">
        <v>0.15</v>
      </c>
    </row>
    <row r="307" spans="1:7">
      <c r="A307" s="104" t="s">
        <v>291</v>
      </c>
      <c r="B307" s="93" t="s">
        <v>2521</v>
      </c>
      <c r="C307" s="94">
        <v>0.15</v>
      </c>
      <c r="D307" s="94">
        <v>0.15</v>
      </c>
      <c r="E307" s="94">
        <v>0.15</v>
      </c>
      <c r="F307" s="94">
        <v>0.12</v>
      </c>
      <c r="G307" s="95">
        <v>0.15</v>
      </c>
    </row>
    <row r="308" spans="1:7">
      <c r="A308" s="104" t="s">
        <v>291</v>
      </c>
      <c r="B308" s="93" t="s">
        <v>2528</v>
      </c>
      <c r="C308" s="94">
        <v>0.15</v>
      </c>
      <c r="D308" s="94">
        <v>0.15</v>
      </c>
      <c r="E308" s="94">
        <v>0.15</v>
      </c>
      <c r="F308" s="94">
        <v>0.13</v>
      </c>
      <c r="G308" s="95">
        <v>0.15</v>
      </c>
    </row>
    <row r="309" spans="1:7">
      <c r="A309" s="104" t="s">
        <v>291</v>
      </c>
      <c r="B309" s="93" t="s">
        <v>2533</v>
      </c>
      <c r="C309" s="94">
        <v>0.15</v>
      </c>
      <c r="D309" s="94">
        <v>0.15</v>
      </c>
      <c r="E309" s="94">
        <v>0.15</v>
      </c>
      <c r="F309" s="94">
        <v>0.141</v>
      </c>
      <c r="G309" s="95">
        <v>0.15</v>
      </c>
    </row>
    <row r="310" spans="1:7">
      <c r="A310" s="104" t="s">
        <v>291</v>
      </c>
      <c r="B310" s="93" t="s">
        <v>2538</v>
      </c>
      <c r="C310" s="94">
        <v>0.15</v>
      </c>
      <c r="D310" s="94">
        <v>0.15</v>
      </c>
      <c r="E310" s="94">
        <v>0.15</v>
      </c>
      <c r="F310" s="94">
        <v>0.15</v>
      </c>
      <c r="G310" s="95">
        <v>0.15</v>
      </c>
    </row>
    <row r="311" spans="1:7">
      <c r="A311" s="104" t="s">
        <v>291</v>
      </c>
      <c r="B311" s="93" t="s">
        <v>2543</v>
      </c>
      <c r="C311" s="94">
        <v>0.132</v>
      </c>
      <c r="D311" s="94">
        <v>0.133</v>
      </c>
      <c r="E311" s="94">
        <v>0.145</v>
      </c>
      <c r="F311" s="94">
        <v>0.142</v>
      </c>
      <c r="G311" s="95">
        <v>0.14</v>
      </c>
    </row>
    <row r="312" spans="1:7">
      <c r="A312" s="104" t="s">
        <v>291</v>
      </c>
      <c r="B312" s="93" t="s">
        <v>2548</v>
      </c>
      <c r="C312" s="94">
        <v>0.138</v>
      </c>
      <c r="D312" s="94">
        <v>0.14</v>
      </c>
      <c r="E312" s="94">
        <v>0.146</v>
      </c>
      <c r="F312" s="94">
        <v>0.149</v>
      </c>
      <c r="G312" s="95">
        <v>0.142</v>
      </c>
    </row>
    <row r="313" spans="1:7">
      <c r="A313" s="104" t="s">
        <v>291</v>
      </c>
      <c r="B313" s="93" t="s">
        <v>2553</v>
      </c>
      <c r="C313" s="94">
        <v>0.125</v>
      </c>
      <c r="D313" s="94">
        <v>0.127</v>
      </c>
      <c r="E313" s="94">
        <v>0.144</v>
      </c>
      <c r="F313" s="94">
        <v>0.115</v>
      </c>
      <c r="G313" s="95">
        <v>0.136</v>
      </c>
    </row>
    <row r="314" spans="1:7">
      <c r="A314" s="104" t="s">
        <v>291</v>
      </c>
      <c r="B314" s="93" t="s">
        <v>2558</v>
      </c>
      <c r="C314" s="110"/>
      <c r="D314" s="110"/>
      <c r="E314" s="110"/>
      <c r="F314" s="94">
        <v>0.05</v>
      </c>
      <c r="G314" s="111"/>
    </row>
    <row r="315" spans="1:7">
      <c r="A315" s="104" t="s">
        <v>291</v>
      </c>
      <c r="B315" s="93" t="s">
        <v>2563</v>
      </c>
      <c r="C315" s="110"/>
      <c r="D315" s="110"/>
      <c r="E315" s="110"/>
      <c r="F315" s="94">
        <v>0.05</v>
      </c>
      <c r="G315" s="111"/>
    </row>
    <row r="316" spans="1:7">
      <c r="A316" s="104" t="s">
        <v>291</v>
      </c>
      <c r="B316" s="93" t="s">
        <v>2568</v>
      </c>
      <c r="C316" s="105"/>
      <c r="D316" s="105"/>
      <c r="E316" s="105"/>
      <c r="F316" s="94">
        <v>0.05</v>
      </c>
      <c r="G316" s="111"/>
    </row>
    <row r="317" spans="1:7">
      <c r="A317" s="104" t="s">
        <v>291</v>
      </c>
      <c r="B317" s="93" t="s">
        <v>2572</v>
      </c>
      <c r="C317" s="105"/>
      <c r="D317" s="105"/>
      <c r="E317" s="105"/>
      <c r="F317" s="94">
        <v>0.05</v>
      </c>
      <c r="G317" s="111"/>
    </row>
    <row r="318" spans="1:7">
      <c r="A318" s="104" t="s">
        <v>291</v>
      </c>
      <c r="B318" s="93" t="s">
        <v>2576</v>
      </c>
      <c r="C318" s="105"/>
      <c r="D318" s="105"/>
      <c r="E318" s="105"/>
      <c r="F318" s="94">
        <v>0.05</v>
      </c>
      <c r="G318" s="111"/>
    </row>
    <row r="319" spans="1:7">
      <c r="A319" s="104" t="s">
        <v>291</v>
      </c>
      <c r="B319" s="93" t="s">
        <v>2580</v>
      </c>
      <c r="C319" s="105"/>
      <c r="D319" s="105"/>
      <c r="E319" s="105"/>
      <c r="F319" s="94">
        <v>0.05</v>
      </c>
      <c r="G319" s="111"/>
    </row>
    <row r="320" spans="1:7">
      <c r="A320" s="104" t="s">
        <v>291</v>
      </c>
      <c r="B320" s="93" t="s">
        <v>2583</v>
      </c>
      <c r="C320" s="105"/>
      <c r="D320" s="105"/>
      <c r="E320" s="105"/>
      <c r="F320" s="94">
        <v>0.05</v>
      </c>
      <c r="G320" s="111"/>
    </row>
    <row r="321" spans="1:7">
      <c r="A321" s="104" t="s">
        <v>291</v>
      </c>
      <c r="B321" s="93" t="s">
        <v>2585</v>
      </c>
      <c r="C321" s="105"/>
      <c r="D321" s="105"/>
      <c r="E321" s="105"/>
      <c r="F321" s="94">
        <v>0.05</v>
      </c>
      <c r="G321" s="111"/>
    </row>
    <row r="322" spans="1:7">
      <c r="A322" s="104" t="s">
        <v>291</v>
      </c>
      <c r="B322" s="93" t="s">
        <v>2587</v>
      </c>
      <c r="C322" s="105"/>
      <c r="D322" s="105"/>
      <c r="E322" s="105"/>
      <c r="F322" s="94">
        <v>0.05</v>
      </c>
      <c r="G322" s="111"/>
    </row>
    <row r="323" spans="1:7">
      <c r="A323" s="104" t="s">
        <v>291</v>
      </c>
      <c r="B323" s="93" t="s">
        <v>2589</v>
      </c>
      <c r="C323" s="105"/>
      <c r="D323" s="105"/>
      <c r="E323" s="105"/>
      <c r="F323" s="94">
        <v>0.05</v>
      </c>
      <c r="G323" s="111"/>
    </row>
    <row r="324" spans="1:7">
      <c r="A324" s="104" t="s">
        <v>291</v>
      </c>
      <c r="B324" s="93" t="s">
        <v>2591</v>
      </c>
      <c r="C324" s="105"/>
      <c r="D324" s="105"/>
      <c r="E324" s="105"/>
      <c r="F324" s="94">
        <v>0.05</v>
      </c>
      <c r="G324" s="111"/>
    </row>
    <row r="325" spans="1:7">
      <c r="A325" s="104" t="s">
        <v>291</v>
      </c>
      <c r="B325" s="93" t="s">
        <v>2593</v>
      </c>
      <c r="C325" s="105"/>
      <c r="D325" s="105"/>
      <c r="E325" s="105"/>
      <c r="F325" s="94">
        <v>0.05</v>
      </c>
      <c r="G325" s="111"/>
    </row>
    <row r="326" ht="15.15" spans="1:7">
      <c r="A326" s="107" t="s">
        <v>291</v>
      </c>
      <c r="B326" s="97" t="s">
        <v>2595</v>
      </c>
      <c r="C326" s="99"/>
      <c r="D326" s="99"/>
      <c r="E326" s="99"/>
      <c r="F326" s="98">
        <v>0.05</v>
      </c>
      <c r="G326" s="112"/>
    </row>
    <row r="327" spans="1:7">
      <c r="A327" s="103" t="s">
        <v>294</v>
      </c>
      <c r="B327" s="89" t="s">
        <v>2235</v>
      </c>
      <c r="C327" s="90">
        <v>0.15</v>
      </c>
      <c r="D327" s="90">
        <v>0.15</v>
      </c>
      <c r="E327" s="90">
        <v>0.15</v>
      </c>
      <c r="F327" s="90">
        <v>0.15</v>
      </c>
      <c r="G327" s="91">
        <v>0.15</v>
      </c>
    </row>
    <row r="328" spans="1:7">
      <c r="A328" s="104" t="s">
        <v>294</v>
      </c>
      <c r="B328" s="93" t="s">
        <v>2248</v>
      </c>
      <c r="C328" s="94">
        <v>0.15</v>
      </c>
      <c r="D328" s="94">
        <v>0.15</v>
      </c>
      <c r="E328" s="94">
        <v>0.15</v>
      </c>
      <c r="F328" s="94">
        <v>0.126</v>
      </c>
      <c r="G328" s="95">
        <v>0.15</v>
      </c>
    </row>
    <row r="329" spans="1:7">
      <c r="A329" s="104" t="s">
        <v>294</v>
      </c>
      <c r="B329" s="93" t="s">
        <v>2262</v>
      </c>
      <c r="C329" s="94">
        <v>0.15</v>
      </c>
      <c r="D329" s="94">
        <v>0.15</v>
      </c>
      <c r="E329" s="94">
        <v>0.15</v>
      </c>
      <c r="F329" s="94">
        <v>0.15</v>
      </c>
      <c r="G329" s="95">
        <v>0.15</v>
      </c>
    </row>
    <row r="330" spans="1:7">
      <c r="A330" s="104" t="s">
        <v>294</v>
      </c>
      <c r="B330" s="93" t="s">
        <v>2274</v>
      </c>
      <c r="C330" s="94">
        <v>0.15</v>
      </c>
      <c r="D330" s="94">
        <v>0.15</v>
      </c>
      <c r="E330" s="94">
        <v>0.15</v>
      </c>
      <c r="F330" s="94">
        <v>0.15</v>
      </c>
      <c r="G330" s="95">
        <v>0.15</v>
      </c>
    </row>
    <row r="331" spans="1:7">
      <c r="A331" s="104" t="s">
        <v>294</v>
      </c>
      <c r="B331" s="93" t="s">
        <v>2286</v>
      </c>
      <c r="C331" s="94">
        <v>0.15</v>
      </c>
      <c r="D331" s="94">
        <v>0.15</v>
      </c>
      <c r="E331" s="94">
        <v>0.15</v>
      </c>
      <c r="F331" s="94">
        <v>0.15</v>
      </c>
      <c r="G331" s="95">
        <v>0.15</v>
      </c>
    </row>
    <row r="332" spans="1:7">
      <c r="A332" s="104" t="s">
        <v>294</v>
      </c>
      <c r="B332" s="93" t="s">
        <v>2297</v>
      </c>
      <c r="C332" s="94">
        <v>0.15</v>
      </c>
      <c r="D332" s="94">
        <v>0.15</v>
      </c>
      <c r="E332" s="94">
        <v>0.15</v>
      </c>
      <c r="F332" s="94">
        <v>0.15</v>
      </c>
      <c r="G332" s="95">
        <v>0.15</v>
      </c>
    </row>
    <row r="333" spans="1:7">
      <c r="A333" s="104" t="s">
        <v>294</v>
      </c>
      <c r="B333" s="93" t="s">
        <v>2308</v>
      </c>
      <c r="C333" s="94">
        <v>0.149</v>
      </c>
      <c r="D333" s="94">
        <v>0.149</v>
      </c>
      <c r="E333" s="94">
        <v>0.15</v>
      </c>
      <c r="F333" s="94">
        <v>0.116</v>
      </c>
      <c r="G333" s="95">
        <v>0.15</v>
      </c>
    </row>
    <row r="334" spans="1:7">
      <c r="A334" s="104" t="s">
        <v>294</v>
      </c>
      <c r="B334" s="93" t="s">
        <v>2319</v>
      </c>
      <c r="C334" s="94">
        <v>0.15</v>
      </c>
      <c r="D334" s="94">
        <v>0.15</v>
      </c>
      <c r="E334" s="94">
        <v>0.15</v>
      </c>
      <c r="F334" s="94">
        <v>0.13</v>
      </c>
      <c r="G334" s="95">
        <v>0.15</v>
      </c>
    </row>
    <row r="335" spans="1:7">
      <c r="A335" s="104" t="s">
        <v>294</v>
      </c>
      <c r="B335" s="93" t="s">
        <v>2329</v>
      </c>
      <c r="C335" s="94">
        <v>0.15</v>
      </c>
      <c r="D335" s="94">
        <v>0.15</v>
      </c>
      <c r="E335" s="94">
        <v>0.15</v>
      </c>
      <c r="F335" s="94">
        <v>0.144</v>
      </c>
      <c r="G335" s="95">
        <v>0.15</v>
      </c>
    </row>
    <row r="336" spans="1:7">
      <c r="A336" s="104" t="s">
        <v>294</v>
      </c>
      <c r="B336" s="93" t="s">
        <v>2339</v>
      </c>
      <c r="C336" s="94">
        <v>0.15</v>
      </c>
      <c r="D336" s="94">
        <v>0.15</v>
      </c>
      <c r="E336" s="94">
        <v>0.15</v>
      </c>
      <c r="F336" s="94">
        <v>0.142</v>
      </c>
      <c r="G336" s="95">
        <v>0.15</v>
      </c>
    </row>
    <row r="337" spans="1:7">
      <c r="A337" s="104" t="s">
        <v>294</v>
      </c>
      <c r="B337" s="93" t="s">
        <v>2349</v>
      </c>
      <c r="C337" s="94">
        <v>0.15</v>
      </c>
      <c r="D337" s="94">
        <v>0.15</v>
      </c>
      <c r="E337" s="94">
        <v>0.15</v>
      </c>
      <c r="F337" s="94">
        <v>0.145</v>
      </c>
      <c r="G337" s="95">
        <v>0.15</v>
      </c>
    </row>
    <row r="338" spans="1:7">
      <c r="A338" s="104" t="s">
        <v>294</v>
      </c>
      <c r="B338" s="93" t="s">
        <v>2359</v>
      </c>
      <c r="C338" s="94">
        <v>0.15</v>
      </c>
      <c r="D338" s="94">
        <v>0.15</v>
      </c>
      <c r="E338" s="94">
        <v>0.15</v>
      </c>
      <c r="F338" s="94">
        <v>0.15</v>
      </c>
      <c r="G338" s="95">
        <v>0.15</v>
      </c>
    </row>
    <row r="339" spans="1:7">
      <c r="A339" s="104" t="s">
        <v>294</v>
      </c>
      <c r="B339" s="93" t="s">
        <v>2369</v>
      </c>
      <c r="C339" s="94">
        <v>0.15</v>
      </c>
      <c r="D339" s="94">
        <v>0.15</v>
      </c>
      <c r="E339" s="94">
        <v>0.15</v>
      </c>
      <c r="F339" s="94">
        <v>0.147</v>
      </c>
      <c r="G339" s="95">
        <v>0.15</v>
      </c>
    </row>
    <row r="340" spans="1:7">
      <c r="A340" s="104" t="s">
        <v>294</v>
      </c>
      <c r="B340" s="93" t="s">
        <v>2379</v>
      </c>
      <c r="C340" s="94">
        <v>0.146</v>
      </c>
      <c r="D340" s="94">
        <v>0.146</v>
      </c>
      <c r="E340" s="94">
        <v>0.15</v>
      </c>
      <c r="F340" s="94">
        <v>0.141</v>
      </c>
      <c r="G340" s="95">
        <v>0.147</v>
      </c>
    </row>
    <row r="341" spans="1:7">
      <c r="A341" s="104" t="s">
        <v>294</v>
      </c>
      <c r="B341" s="93" t="s">
        <v>2389</v>
      </c>
      <c r="C341" s="94">
        <v>0.126</v>
      </c>
      <c r="D341" s="94">
        <v>0.124</v>
      </c>
      <c r="E341" s="94">
        <v>0.141</v>
      </c>
      <c r="F341" s="94">
        <v>0.144</v>
      </c>
      <c r="G341" s="95">
        <v>0.13</v>
      </c>
    </row>
    <row r="342" spans="1:7">
      <c r="A342" s="104" t="s">
        <v>294</v>
      </c>
      <c r="B342" s="93" t="s">
        <v>2399</v>
      </c>
      <c r="C342" s="94">
        <v>0.15</v>
      </c>
      <c r="D342" s="94">
        <v>0.15</v>
      </c>
      <c r="E342" s="94">
        <v>0.15</v>
      </c>
      <c r="F342" s="94">
        <v>0.144</v>
      </c>
      <c r="G342" s="95">
        <v>0.15</v>
      </c>
    </row>
    <row r="343" spans="1:7">
      <c r="A343" s="104" t="s">
        <v>294</v>
      </c>
      <c r="B343" s="93" t="s">
        <v>2409</v>
      </c>
      <c r="C343" s="94">
        <v>0.15</v>
      </c>
      <c r="D343" s="94">
        <v>0.15</v>
      </c>
      <c r="E343" s="94">
        <v>0.15</v>
      </c>
      <c r="F343" s="94">
        <v>0.128</v>
      </c>
      <c r="G343" s="95">
        <v>0.15</v>
      </c>
    </row>
    <row r="344" spans="1:7">
      <c r="A344" s="104" t="s">
        <v>294</v>
      </c>
      <c r="B344" s="93" t="s">
        <v>2419</v>
      </c>
      <c r="C344" s="94">
        <v>0.15</v>
      </c>
      <c r="D344" s="94">
        <v>0.15</v>
      </c>
      <c r="E344" s="94">
        <v>0.15</v>
      </c>
      <c r="F344" s="94">
        <v>0.148</v>
      </c>
      <c r="G344" s="95">
        <v>0.15</v>
      </c>
    </row>
    <row r="345" spans="1:7">
      <c r="A345" s="104" t="s">
        <v>294</v>
      </c>
      <c r="B345" s="93" t="s">
        <v>2429</v>
      </c>
      <c r="C345" s="94">
        <v>0.15</v>
      </c>
      <c r="D345" s="94">
        <v>0.15</v>
      </c>
      <c r="E345" s="94">
        <v>0.15</v>
      </c>
      <c r="F345" s="94">
        <v>0.138</v>
      </c>
      <c r="G345" s="95">
        <v>0.15</v>
      </c>
    </row>
    <row r="346" spans="1:7">
      <c r="A346" s="104" t="s">
        <v>294</v>
      </c>
      <c r="B346" s="93" t="s">
        <v>2439</v>
      </c>
      <c r="C346" s="94">
        <v>0.15</v>
      </c>
      <c r="D346" s="94">
        <v>0.15</v>
      </c>
      <c r="E346" s="94">
        <v>0.15</v>
      </c>
      <c r="F346" s="94">
        <v>0.144</v>
      </c>
      <c r="G346" s="95">
        <v>0.15</v>
      </c>
    </row>
    <row r="347" spans="1:7">
      <c r="A347" s="104" t="s">
        <v>294</v>
      </c>
      <c r="B347" s="93" t="s">
        <v>2448</v>
      </c>
      <c r="C347" s="94">
        <v>0.15</v>
      </c>
      <c r="D347" s="94">
        <v>0.15</v>
      </c>
      <c r="E347" s="94">
        <v>0.15</v>
      </c>
      <c r="F347" s="94">
        <v>0.146</v>
      </c>
      <c r="G347" s="95">
        <v>0.15</v>
      </c>
    </row>
    <row r="348" spans="1:7">
      <c r="A348" s="104" t="s">
        <v>294</v>
      </c>
      <c r="B348" s="93" t="s">
        <v>2456</v>
      </c>
      <c r="C348" s="94">
        <v>0.15</v>
      </c>
      <c r="D348" s="94">
        <v>0.15</v>
      </c>
      <c r="E348" s="94">
        <v>0.15</v>
      </c>
      <c r="F348" s="94">
        <v>0.144</v>
      </c>
      <c r="G348" s="95">
        <v>0.15</v>
      </c>
    </row>
    <row r="349" spans="1:7">
      <c r="A349" s="104" t="s">
        <v>294</v>
      </c>
      <c r="B349" s="93" t="s">
        <v>2464</v>
      </c>
      <c r="C349" s="94">
        <v>0.15</v>
      </c>
      <c r="D349" s="94">
        <v>0.15</v>
      </c>
      <c r="E349" s="94">
        <v>0.15</v>
      </c>
      <c r="F349" s="94">
        <v>0.15</v>
      </c>
      <c r="G349" s="95">
        <v>0.15</v>
      </c>
    </row>
    <row r="350" spans="1:7">
      <c r="A350" s="104" t="s">
        <v>294</v>
      </c>
      <c r="B350" s="93" t="s">
        <v>2472</v>
      </c>
      <c r="C350" s="94">
        <v>0.15</v>
      </c>
      <c r="D350" s="94">
        <v>0.15</v>
      </c>
      <c r="E350" s="94">
        <v>0.15</v>
      </c>
      <c r="F350" s="94">
        <v>0.147</v>
      </c>
      <c r="G350" s="95">
        <v>0.15</v>
      </c>
    </row>
    <row r="351" spans="1:7">
      <c r="A351" s="104" t="s">
        <v>294</v>
      </c>
      <c r="B351" s="93" t="s">
        <v>2480</v>
      </c>
      <c r="C351" s="94">
        <v>0.15</v>
      </c>
      <c r="D351" s="94">
        <v>0.15</v>
      </c>
      <c r="E351" s="94">
        <v>0.15</v>
      </c>
      <c r="F351" s="94">
        <v>0.13</v>
      </c>
      <c r="G351" s="95">
        <v>0.15</v>
      </c>
    </row>
    <row r="352" spans="1:7">
      <c r="A352" s="104" t="s">
        <v>294</v>
      </c>
      <c r="B352" s="93" t="s">
        <v>2487</v>
      </c>
      <c r="C352" s="94">
        <v>0.15</v>
      </c>
      <c r="D352" s="94">
        <v>0.15</v>
      </c>
      <c r="E352" s="94">
        <v>0.15</v>
      </c>
      <c r="F352" s="94">
        <v>0.146</v>
      </c>
      <c r="G352" s="95">
        <v>0.15</v>
      </c>
    </row>
    <row r="353" spans="1:7">
      <c r="A353" s="104" t="s">
        <v>294</v>
      </c>
      <c r="B353" s="93" t="s">
        <v>2494</v>
      </c>
      <c r="C353" s="94">
        <v>0.15</v>
      </c>
      <c r="D353" s="94">
        <v>0.15</v>
      </c>
      <c r="E353" s="94">
        <v>0.15</v>
      </c>
      <c r="F353" s="94">
        <v>0.145</v>
      </c>
      <c r="G353" s="95">
        <v>0.15</v>
      </c>
    </row>
    <row r="354" spans="1:7">
      <c r="A354" s="104" t="s">
        <v>294</v>
      </c>
      <c r="B354" s="93" t="s">
        <v>2501</v>
      </c>
      <c r="C354" s="94">
        <v>0.15</v>
      </c>
      <c r="D354" s="94">
        <v>0.15</v>
      </c>
      <c r="E354" s="94">
        <v>0.15</v>
      </c>
      <c r="F354" s="94">
        <v>0.141</v>
      </c>
      <c r="G354" s="95">
        <v>0.15</v>
      </c>
    </row>
    <row r="355" spans="1:7">
      <c r="A355" s="104" t="s">
        <v>294</v>
      </c>
      <c r="B355" s="93" t="s">
        <v>2508</v>
      </c>
      <c r="C355" s="94">
        <v>0.15</v>
      </c>
      <c r="D355" s="94">
        <v>0.15</v>
      </c>
      <c r="E355" s="94">
        <v>0.15</v>
      </c>
      <c r="F355" s="94">
        <v>0.15</v>
      </c>
      <c r="G355" s="95">
        <v>0.15</v>
      </c>
    </row>
    <row r="356" spans="1:7">
      <c r="A356" s="104" t="s">
        <v>294</v>
      </c>
      <c r="B356" s="93" t="s">
        <v>2515</v>
      </c>
      <c r="C356" s="94">
        <v>0.15</v>
      </c>
      <c r="D356" s="94">
        <v>0.15</v>
      </c>
      <c r="E356" s="94">
        <v>0.15</v>
      </c>
      <c r="F356" s="94">
        <v>0.15</v>
      </c>
      <c r="G356" s="95">
        <v>0.15</v>
      </c>
    </row>
    <row r="357" ht="15.15" spans="1:7">
      <c r="A357" s="107" t="s">
        <v>294</v>
      </c>
      <c r="B357" s="97" t="s">
        <v>2522</v>
      </c>
      <c r="C357" s="98">
        <v>0.126</v>
      </c>
      <c r="D357" s="98">
        <v>0.127</v>
      </c>
      <c r="E357" s="98">
        <v>0.143</v>
      </c>
      <c r="F357" s="98">
        <v>0.125</v>
      </c>
      <c r="G357" s="100">
        <v>0.129</v>
      </c>
    </row>
    <row r="358" spans="1:7">
      <c r="A358" s="103" t="s">
        <v>297</v>
      </c>
      <c r="B358" s="89" t="s">
        <v>2236</v>
      </c>
      <c r="C358" s="90">
        <v>0.15</v>
      </c>
      <c r="D358" s="90">
        <v>0.15</v>
      </c>
      <c r="E358" s="90">
        <v>0.15</v>
      </c>
      <c r="F358" s="90">
        <v>0.15</v>
      </c>
      <c r="G358" s="91">
        <v>0.15</v>
      </c>
    </row>
    <row r="359" spans="1:7">
      <c r="A359" s="104" t="s">
        <v>297</v>
      </c>
      <c r="B359" s="93" t="s">
        <v>2249</v>
      </c>
      <c r="C359" s="94">
        <v>0.1</v>
      </c>
      <c r="D359" s="94">
        <v>0.1</v>
      </c>
      <c r="E359" s="94">
        <v>0.1</v>
      </c>
      <c r="F359" s="94">
        <v>0.1</v>
      </c>
      <c r="G359" s="95">
        <v>0.1</v>
      </c>
    </row>
    <row r="360" spans="1:7">
      <c r="A360" s="104" t="s">
        <v>297</v>
      </c>
      <c r="B360" s="93" t="s">
        <v>2263</v>
      </c>
      <c r="C360" s="94">
        <v>0.15</v>
      </c>
      <c r="D360" s="94">
        <v>0.15</v>
      </c>
      <c r="E360" s="94">
        <v>0.15</v>
      </c>
      <c r="F360" s="94">
        <v>0.149</v>
      </c>
      <c r="G360" s="95">
        <v>0.15</v>
      </c>
    </row>
    <row r="361" spans="1:7">
      <c r="A361" s="104" t="s">
        <v>297</v>
      </c>
      <c r="B361" s="93" t="s">
        <v>2275</v>
      </c>
      <c r="C361" s="94">
        <v>0.15</v>
      </c>
      <c r="D361" s="94">
        <v>0.15</v>
      </c>
      <c r="E361" s="94">
        <v>0.15</v>
      </c>
      <c r="F361" s="94">
        <v>0.115</v>
      </c>
      <c r="G361" s="95">
        <v>0.15</v>
      </c>
    </row>
    <row r="362" spans="1:7">
      <c r="A362" s="104" t="s">
        <v>297</v>
      </c>
      <c r="B362" s="93" t="s">
        <v>2287</v>
      </c>
      <c r="C362" s="94">
        <v>0.15</v>
      </c>
      <c r="D362" s="94">
        <v>0.15</v>
      </c>
      <c r="E362" s="94">
        <v>0.15</v>
      </c>
      <c r="F362" s="94">
        <v>0.106</v>
      </c>
      <c r="G362" s="95">
        <v>0.15</v>
      </c>
    </row>
    <row r="363" spans="1:7">
      <c r="A363" s="104" t="s">
        <v>297</v>
      </c>
      <c r="B363" s="93" t="s">
        <v>2298</v>
      </c>
      <c r="C363" s="94">
        <v>0.15</v>
      </c>
      <c r="D363" s="94">
        <v>0.15</v>
      </c>
      <c r="E363" s="94">
        <v>0.15</v>
      </c>
      <c r="F363" s="94">
        <v>0.147</v>
      </c>
      <c r="G363" s="95">
        <v>0.15</v>
      </c>
    </row>
    <row r="364" spans="1:7">
      <c r="A364" s="104" t="s">
        <v>297</v>
      </c>
      <c r="B364" s="93" t="s">
        <v>2309</v>
      </c>
      <c r="C364" s="94">
        <v>0.15</v>
      </c>
      <c r="D364" s="94">
        <v>0.15</v>
      </c>
      <c r="E364" s="94">
        <v>0.15</v>
      </c>
      <c r="F364" s="94">
        <v>0.148</v>
      </c>
      <c r="G364" s="95">
        <v>0.15</v>
      </c>
    </row>
    <row r="365" spans="1:7">
      <c r="A365" s="104" t="s">
        <v>297</v>
      </c>
      <c r="B365" s="93" t="s">
        <v>2320</v>
      </c>
      <c r="C365" s="94">
        <v>0.15</v>
      </c>
      <c r="D365" s="94">
        <v>0.15</v>
      </c>
      <c r="E365" s="94">
        <v>0.15</v>
      </c>
      <c r="F365" s="94">
        <v>0.15</v>
      </c>
      <c r="G365" s="95">
        <v>0.15</v>
      </c>
    </row>
    <row r="366" spans="1:7">
      <c r="A366" s="104" t="s">
        <v>297</v>
      </c>
      <c r="B366" s="93" t="s">
        <v>2330</v>
      </c>
      <c r="C366" s="94">
        <v>0.15</v>
      </c>
      <c r="D366" s="94">
        <v>0.15</v>
      </c>
      <c r="E366" s="94">
        <v>0.15</v>
      </c>
      <c r="F366" s="94">
        <v>0.15</v>
      </c>
      <c r="G366" s="95">
        <v>0.15</v>
      </c>
    </row>
    <row r="367" spans="1:7">
      <c r="A367" s="104" t="s">
        <v>297</v>
      </c>
      <c r="B367" s="93" t="s">
        <v>2340</v>
      </c>
      <c r="C367" s="94">
        <v>0.15</v>
      </c>
      <c r="D367" s="94">
        <v>0.15</v>
      </c>
      <c r="E367" s="94">
        <v>0.15</v>
      </c>
      <c r="F367" s="94">
        <v>0.147</v>
      </c>
      <c r="G367" s="95">
        <v>0.15</v>
      </c>
    </row>
    <row r="368" spans="1:7">
      <c r="A368" s="104" t="s">
        <v>297</v>
      </c>
      <c r="B368" s="93" t="s">
        <v>2350</v>
      </c>
      <c r="C368" s="94">
        <v>0.15</v>
      </c>
      <c r="D368" s="94">
        <v>0.15</v>
      </c>
      <c r="E368" s="94">
        <v>0.15</v>
      </c>
      <c r="F368" s="94">
        <v>0.136</v>
      </c>
      <c r="G368" s="95">
        <v>0.15</v>
      </c>
    </row>
    <row r="369" spans="1:7">
      <c r="A369" s="104" t="s">
        <v>297</v>
      </c>
      <c r="B369" s="93" t="s">
        <v>2360</v>
      </c>
      <c r="C369" s="94">
        <v>0.15</v>
      </c>
      <c r="D369" s="94">
        <v>0.15</v>
      </c>
      <c r="E369" s="94">
        <v>0.15</v>
      </c>
      <c r="F369" s="94">
        <v>0.144</v>
      </c>
      <c r="G369" s="95">
        <v>0.15</v>
      </c>
    </row>
    <row r="370" spans="1:7">
      <c r="A370" s="104" t="s">
        <v>297</v>
      </c>
      <c r="B370" s="93" t="s">
        <v>2370</v>
      </c>
      <c r="C370" s="94">
        <v>0.15</v>
      </c>
      <c r="D370" s="94">
        <v>0.15</v>
      </c>
      <c r="E370" s="94">
        <v>0.15</v>
      </c>
      <c r="F370" s="94">
        <v>0.146</v>
      </c>
      <c r="G370" s="95">
        <v>0.15</v>
      </c>
    </row>
    <row r="371" spans="1:7">
      <c r="A371" s="104" t="s">
        <v>297</v>
      </c>
      <c r="B371" s="93" t="s">
        <v>2380</v>
      </c>
      <c r="C371" s="94">
        <v>0.15</v>
      </c>
      <c r="D371" s="94">
        <v>0.15</v>
      </c>
      <c r="E371" s="94">
        <v>0.15</v>
      </c>
      <c r="F371" s="94">
        <v>0.12</v>
      </c>
      <c r="G371" s="95">
        <v>0.15</v>
      </c>
    </row>
    <row r="372" spans="1:7">
      <c r="A372" s="104" t="s">
        <v>297</v>
      </c>
      <c r="B372" s="93" t="s">
        <v>2390</v>
      </c>
      <c r="C372" s="94">
        <v>0.15</v>
      </c>
      <c r="D372" s="94">
        <v>0.15</v>
      </c>
      <c r="E372" s="94">
        <v>0.15</v>
      </c>
      <c r="F372" s="94">
        <v>0.143</v>
      </c>
      <c r="G372" s="95">
        <v>0.15</v>
      </c>
    </row>
    <row r="373" spans="1:7">
      <c r="A373" s="104" t="s">
        <v>297</v>
      </c>
      <c r="B373" s="93" t="s">
        <v>2400</v>
      </c>
      <c r="C373" s="94">
        <v>0.15</v>
      </c>
      <c r="D373" s="94">
        <v>0.15</v>
      </c>
      <c r="E373" s="94">
        <v>0.15</v>
      </c>
      <c r="F373" s="94">
        <v>0.146</v>
      </c>
      <c r="G373" s="95">
        <v>0.15</v>
      </c>
    </row>
    <row r="374" spans="1:7">
      <c r="A374" s="104" t="s">
        <v>297</v>
      </c>
      <c r="B374" s="93" t="s">
        <v>2410</v>
      </c>
      <c r="C374" s="94">
        <v>0.15</v>
      </c>
      <c r="D374" s="94">
        <v>0.15</v>
      </c>
      <c r="E374" s="94">
        <v>0.15</v>
      </c>
      <c r="F374" s="94">
        <v>0.144</v>
      </c>
      <c r="G374" s="95">
        <v>0.15</v>
      </c>
    </row>
    <row r="375" spans="1:7">
      <c r="A375" s="104" t="s">
        <v>297</v>
      </c>
      <c r="B375" s="93" t="s">
        <v>2420</v>
      </c>
      <c r="C375" s="94">
        <v>0.15</v>
      </c>
      <c r="D375" s="94">
        <v>0.15</v>
      </c>
      <c r="E375" s="94">
        <v>0.15</v>
      </c>
      <c r="F375" s="94">
        <v>0.13</v>
      </c>
      <c r="G375" s="95">
        <v>0.15</v>
      </c>
    </row>
    <row r="376" spans="1:7">
      <c r="A376" s="104" t="s">
        <v>297</v>
      </c>
      <c r="B376" s="93" t="s">
        <v>2430</v>
      </c>
      <c r="C376" s="94">
        <v>0.15</v>
      </c>
      <c r="D376" s="94">
        <v>0.15</v>
      </c>
      <c r="E376" s="94">
        <v>0.15</v>
      </c>
      <c r="F376" s="94">
        <v>0.142</v>
      </c>
      <c r="G376" s="95">
        <v>0.15</v>
      </c>
    </row>
    <row r="377" ht="15.15" spans="1:7">
      <c r="A377" s="107" t="s">
        <v>297</v>
      </c>
      <c r="B377" s="97" t="s">
        <v>2440</v>
      </c>
      <c r="C377" s="98">
        <v>0.15</v>
      </c>
      <c r="D377" s="98">
        <v>0.15</v>
      </c>
      <c r="E377" s="98">
        <v>0.15</v>
      </c>
      <c r="F377" s="98">
        <v>0.14</v>
      </c>
      <c r="G377" s="100">
        <v>0.15</v>
      </c>
    </row>
    <row r="378" spans="1:7">
      <c r="A378" s="103" t="s">
        <v>300</v>
      </c>
      <c r="B378" s="89" t="s">
        <v>2237</v>
      </c>
      <c r="C378" s="90">
        <v>0.15</v>
      </c>
      <c r="D378" s="90">
        <v>0.15</v>
      </c>
      <c r="E378" s="90">
        <v>0.15</v>
      </c>
      <c r="F378" s="90">
        <v>0.107</v>
      </c>
      <c r="G378" s="91">
        <v>0.15</v>
      </c>
    </row>
    <row r="379" spans="1:7">
      <c r="A379" s="104" t="s">
        <v>300</v>
      </c>
      <c r="B379" s="93" t="s">
        <v>2250</v>
      </c>
      <c r="C379" s="94">
        <v>0.15</v>
      </c>
      <c r="D379" s="94">
        <v>0.15</v>
      </c>
      <c r="E379" s="94">
        <v>0.15</v>
      </c>
      <c r="F379" s="94">
        <v>0.115</v>
      </c>
      <c r="G379" s="95">
        <v>0.149</v>
      </c>
    </row>
    <row r="380" spans="1:7">
      <c r="A380" s="104" t="s">
        <v>300</v>
      </c>
      <c r="B380" s="93" t="s">
        <v>2264</v>
      </c>
      <c r="C380" s="94">
        <v>0.15</v>
      </c>
      <c r="D380" s="94">
        <v>0.15</v>
      </c>
      <c r="E380" s="94">
        <v>0.15</v>
      </c>
      <c r="F380" s="94">
        <v>0.1</v>
      </c>
      <c r="G380" s="95">
        <v>0.148</v>
      </c>
    </row>
    <row r="381" spans="1:7">
      <c r="A381" s="104" t="s">
        <v>300</v>
      </c>
      <c r="B381" s="93" t="s">
        <v>2276</v>
      </c>
      <c r="C381" s="94">
        <v>0.15</v>
      </c>
      <c r="D381" s="94">
        <v>0.15</v>
      </c>
      <c r="E381" s="94">
        <v>0.15</v>
      </c>
      <c r="F381" s="94">
        <v>0.126</v>
      </c>
      <c r="G381" s="95">
        <v>0.15</v>
      </c>
    </row>
    <row r="382" spans="1:7">
      <c r="A382" s="104" t="s">
        <v>300</v>
      </c>
      <c r="B382" s="93" t="s">
        <v>2288</v>
      </c>
      <c r="C382" s="94">
        <v>0.15</v>
      </c>
      <c r="D382" s="94">
        <v>0.15</v>
      </c>
      <c r="E382" s="94">
        <v>0.15</v>
      </c>
      <c r="F382" s="94">
        <v>0.15</v>
      </c>
      <c r="G382" s="95">
        <v>0.15</v>
      </c>
    </row>
    <row r="383" spans="1:7">
      <c r="A383" s="104" t="s">
        <v>300</v>
      </c>
      <c r="B383" s="93" t="s">
        <v>2299</v>
      </c>
      <c r="C383" s="94">
        <v>0.15</v>
      </c>
      <c r="D383" s="94">
        <v>0.15</v>
      </c>
      <c r="E383" s="94">
        <v>0.15</v>
      </c>
      <c r="F383" s="94">
        <v>0.147</v>
      </c>
      <c r="G383" s="95">
        <v>0.15</v>
      </c>
    </row>
    <row r="384" ht="15.15" spans="1:7">
      <c r="A384" s="114" t="s">
        <v>300</v>
      </c>
      <c r="B384" s="115" t="s">
        <v>2310</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2614</v>
      </c>
      <c r="C1" s="18">
        <f>项目基本情况!D3</f>
        <v>44783</v>
      </c>
      <c r="D1" s="17" t="s">
        <v>2615</v>
      </c>
      <c r="E1" s="19">
        <f>'数据-取费表'!B22</f>
        <v>0</v>
      </c>
      <c r="F1" s="17" t="s">
        <v>2616</v>
      </c>
      <c r="G1" s="20" t="e">
        <f ca="1">INDIRECT("d"&amp;$K$1)/100</f>
        <v>#VALUE!</v>
      </c>
      <c r="H1" s="17" t="s">
        <v>2617</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2616</v>
      </c>
      <c r="E2" s="21"/>
      <c r="F2" s="21" t="s">
        <v>2618</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2619</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2620</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2621</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2622</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2623</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2624</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2625</v>
      </c>
      <c r="C10" s="43"/>
      <c r="D10" s="43"/>
      <c r="E10" s="43"/>
      <c r="F10" s="43"/>
      <c r="G10" s="43"/>
      <c r="H10" s="43"/>
      <c r="I10" s="13"/>
      <c r="J10" s="13"/>
      <c r="K10" s="43"/>
      <c r="L10" s="44" t="s">
        <v>2626</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2627</v>
      </c>
      <c r="C11" s="47" t="s">
        <v>2628</v>
      </c>
      <c r="D11" s="48" t="s">
        <v>2629</v>
      </c>
      <c r="E11" s="49"/>
      <c r="F11" s="48" t="s">
        <v>2630</v>
      </c>
      <c r="G11" s="50"/>
      <c r="H11" s="49"/>
      <c r="I11" s="48" t="s">
        <v>2631</v>
      </c>
      <c r="J11" s="49"/>
      <c r="K11" s="45"/>
      <c r="L11" s="46" t="s">
        <v>2627</v>
      </c>
      <c r="M11" s="47" t="s">
        <v>2628</v>
      </c>
      <c r="N11" s="46" t="s">
        <v>2632</v>
      </c>
      <c r="O11" s="48" t="s">
        <v>2633</v>
      </c>
      <c r="P11" s="50"/>
      <c r="Q11" s="50"/>
      <c r="R11" s="50"/>
      <c r="S11" s="50"/>
      <c r="T11" s="49"/>
      <c r="U11" s="48" t="s">
        <v>2634</v>
      </c>
      <c r="V11" s="50"/>
      <c r="W11" s="49"/>
      <c r="X11" s="46" t="s">
        <v>2635</v>
      </c>
      <c r="Y11" s="46" t="s">
        <v>2636</v>
      </c>
      <c r="Z11" s="46" t="s">
        <v>2637</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2638</v>
      </c>
      <c r="E12" s="54" t="s">
        <v>2620</v>
      </c>
      <c r="F12" s="54" t="s">
        <v>2621</v>
      </c>
      <c r="G12" s="54" t="s">
        <v>2622</v>
      </c>
      <c r="H12" s="54" t="s">
        <v>2623</v>
      </c>
      <c r="I12" s="69" t="s">
        <v>2639</v>
      </c>
      <c r="J12" s="69" t="s">
        <v>2639</v>
      </c>
      <c r="K12" s="51"/>
      <c r="L12" s="52"/>
      <c r="M12" s="53"/>
      <c r="N12" s="52"/>
      <c r="O12" s="69" t="s">
        <v>2640</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2641</v>
      </c>
      <c r="C13" s="57">
        <v>44581</v>
      </c>
      <c r="D13" s="58">
        <v>3.7</v>
      </c>
      <c r="E13" s="58">
        <f>D13</f>
        <v>3.7</v>
      </c>
      <c r="F13" s="58">
        <f>D13</f>
        <v>3.7</v>
      </c>
      <c r="G13" s="58">
        <f>D13</f>
        <v>3.7</v>
      </c>
      <c r="H13" s="58">
        <v>4.6</v>
      </c>
      <c r="I13" s="58"/>
      <c r="J13" s="58"/>
      <c r="K13" s="55"/>
      <c r="L13" s="56" t="s">
        <v>2641</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2642</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2643</v>
      </c>
      <c r="Y42" s="59" t="s">
        <v>2643</v>
      </c>
      <c r="Z42" s="59" t="s">
        <v>2643</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2643</v>
      </c>
      <c r="Y43" s="59" t="s">
        <v>2643</v>
      </c>
      <c r="Z43" s="59" t="s">
        <v>2643</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2643</v>
      </c>
      <c r="Y44" s="59" t="s">
        <v>2643</v>
      </c>
      <c r="Z44" s="59" t="s">
        <v>2643</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2643</v>
      </c>
      <c r="Y45" s="59" t="s">
        <v>2643</v>
      </c>
      <c r="Z45" s="59" t="s">
        <v>2643</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2643</v>
      </c>
      <c r="Y46" s="59" t="s">
        <v>2643</v>
      </c>
      <c r="Z46" s="59" t="s">
        <v>2643</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2643</v>
      </c>
      <c r="Y47" s="59" t="s">
        <v>2643</v>
      </c>
      <c r="Z47" s="59" t="s">
        <v>2643</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2643</v>
      </c>
      <c r="Y48" s="59" t="s">
        <v>2643</v>
      </c>
      <c r="Z48" s="59" t="s">
        <v>2643</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2643</v>
      </c>
      <c r="Y49" s="59" t="s">
        <v>2643</v>
      </c>
      <c r="Z49" s="59" t="s">
        <v>2643</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2643</v>
      </c>
      <c r="Y50" s="59" t="s">
        <v>2643</v>
      </c>
      <c r="Z50" s="59" t="s">
        <v>2643</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2643</v>
      </c>
      <c r="V51" s="59" t="s">
        <v>2643</v>
      </c>
      <c r="W51" s="59" t="s">
        <v>2643</v>
      </c>
      <c r="X51" s="59" t="s">
        <v>2643</v>
      </c>
      <c r="Y51" s="59" t="s">
        <v>2643</v>
      </c>
      <c r="Z51" s="59" t="s">
        <v>2643</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2643</v>
      </c>
      <c r="J62" s="59" t="s">
        <v>2643</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2644</v>
      </c>
      <c r="B1" s="2"/>
      <c r="C1" s="2"/>
      <c r="D1" s="2"/>
      <c r="E1" s="2"/>
      <c r="F1" s="3"/>
    </row>
    <row r="2" spans="1:6">
      <c r="A2" s="4" t="s">
        <v>2645</v>
      </c>
      <c r="B2" s="5"/>
      <c r="C2" s="5"/>
      <c r="D2" s="5"/>
      <c r="E2" s="5"/>
      <c r="F2" s="5"/>
    </row>
    <row r="3" spans="1:6">
      <c r="A3" s="4" t="s">
        <v>2646</v>
      </c>
      <c r="B3" s="5"/>
      <c r="C3" s="5"/>
      <c r="D3" s="5"/>
      <c r="E3" s="5"/>
      <c r="F3" s="6" t="s">
        <v>2647</v>
      </c>
    </row>
    <row r="4" spans="1:6">
      <c r="A4" s="7" t="s">
        <v>2648</v>
      </c>
      <c r="B4" s="7" t="s">
        <v>1561</v>
      </c>
      <c r="C4" s="7" t="s">
        <v>1761</v>
      </c>
      <c r="D4" s="7" t="s">
        <v>2649</v>
      </c>
      <c r="E4" s="7" t="s">
        <v>1763</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8"/>
      <c r="C23" s="1558"/>
      <c r="D23" s="1558"/>
    </row>
    <row r="24" spans="1:4">
      <c r="A24" s="3153"/>
      <c r="B24" s="1558"/>
      <c r="C24" s="1558"/>
      <c r="D24" s="1558"/>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44783</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2022-08-10T05:44:11Z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8051E126B7114C699C27A5E29CD1F11E</vt:lpwstr>
  </property>
  <property fmtid="{D5CDD505-2E9C-101B-9397-08002B2CF9AE}" pid="3" name="KSOProductBuildVer">
    <vt:lpwstr>2052-11.1.0.11636</vt:lpwstr>
  </property>
</Properties>
</file>