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及销售案例" sheetId="68" r:id="rId41"/>
    <sheet name="比较法-住宅、综合 (高)" sheetId="69" r:id="rId42"/>
  </sheets>
  <definedNames>
    <definedName name="_xlnm._FilterDatabase" localSheetId="20" hidden="1">'比较法-工业'!$A$1:$L$45</definedName>
    <definedName name="_xlnm._FilterDatabase" localSheetId="19" hidden="1">'比较法-住宅、综合'!$A$1:$L$50</definedName>
    <definedName name="_xlnm._FilterDatabase" localSheetId="41" hidden="1">'比较法-住宅、综合 (高)'!$A$1:$L$50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41">'比较法-住宅、综合 (高)'!$A$1:$K$67,'比较法-住宅、综合 (高)'!$A$71:$N$134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'比较法-住宅、综合 (高)'!$A$75:$M$75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'比较法-住宅、综合 (高)'!$B$108:$M$108</definedName>
    <definedName name="套综道路等级">'比较法-住宅、综合'!$B$108:$M$108</definedName>
    <definedName name="套综工程地质条件" localSheetId="41">'比较法-住宅、综合 (高)'!$B$127:$M$127</definedName>
    <definedName name="套综工程地质条件">'比较法-住宅、综合'!$B$127:$M$127</definedName>
    <definedName name="套综交易情况" localSheetId="41">'比较法-住宅、综合 (高)'!$A$75:$M$75</definedName>
    <definedName name="套综交易情况">'比较法-住宅、综合'!$A$75:$M$75</definedName>
    <definedName name="套综临街宽度及深度" localSheetId="41">'比较法-住宅、综合 (高)'!$B$123:$M$123</definedName>
    <definedName name="套综临街宽度及深度">'比较法-住宅、综合'!$B$123:$M$123</definedName>
    <definedName name="套综土地级别" localSheetId="41">'比较法-住宅、综合 (高)'!$B$110:$M$110</definedName>
    <definedName name="套综土地级别">'比较法-住宅、综合'!$B$110:$M$110</definedName>
    <definedName name="套综用途" localSheetId="41">'比较法-住宅、综合 (高)'!$B$77:$M$77</definedName>
    <definedName name="套综用途">'比较法-住宅、综合'!$B$77:$M$77</definedName>
    <definedName name="套综宗地内开发程度" localSheetId="41">'比较法-住宅、综合 (高)'!$B$125:$M$125</definedName>
    <definedName name="套综宗地内开发程度">'比较法-住宅、综合'!$B$125:$M$125</definedName>
    <definedName name="套综宗地形状" localSheetId="41">'比较法-住宅、综合 (高)'!$B$121:$M$121</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69" l="1"/>
  <c r="V48" i="69" s="1"/>
  <c r="G48" i="69"/>
  <c r="E48" i="69"/>
  <c r="R48" i="69" s="1"/>
  <c r="I40" i="69"/>
  <c r="G40" i="69"/>
  <c r="E40" i="69"/>
  <c r="I9" i="69"/>
  <c r="G9" i="69"/>
  <c r="E9" i="69"/>
  <c r="I7" i="69"/>
  <c r="G7" i="69"/>
  <c r="E7" i="69"/>
  <c r="B133" i="69"/>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B73" i="69"/>
  <c r="H67" i="69"/>
  <c r="I67" i="69" s="1"/>
  <c r="C67" i="69" s="1"/>
  <c r="E67" i="69"/>
  <c r="H66" i="69"/>
  <c r="I66" i="69" s="1"/>
  <c r="C66" i="69" s="1"/>
  <c r="E66" i="69"/>
  <c r="H65" i="69"/>
  <c r="I65" i="69" s="1"/>
  <c r="C65" i="69" s="1"/>
  <c r="E65" i="69"/>
  <c r="H64" i="69"/>
  <c r="I64" i="69" s="1"/>
  <c r="C64" i="69" s="1"/>
  <c r="E64" i="69"/>
  <c r="H63" i="69"/>
  <c r="I63" i="69" s="1"/>
  <c r="C63" i="69" s="1"/>
  <c r="E63" i="69"/>
  <c r="H62" i="69"/>
  <c r="I62" i="69" s="1"/>
  <c r="C62" i="69"/>
  <c r="I61" i="69"/>
  <c r="C61" i="69" s="1"/>
  <c r="H61" i="69"/>
  <c r="H60" i="69"/>
  <c r="I60" i="69" s="1"/>
  <c r="C60" i="69" s="1"/>
  <c r="I59" i="69"/>
  <c r="C59" i="69" s="1"/>
  <c r="H59" i="69"/>
  <c r="E58" i="69"/>
  <c r="E68" i="69" s="1"/>
  <c r="J57" i="69"/>
  <c r="I55" i="69"/>
  <c r="J55" i="69" s="1"/>
  <c r="P50" i="69"/>
  <c r="P49" i="69"/>
  <c r="K49" i="69"/>
  <c r="P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H40" i="69"/>
  <c r="F40" i="69"/>
  <c r="C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Q29" i="69"/>
  <c r="Z29" i="69" s="1"/>
  <c r="J29" i="69"/>
  <c r="W29" i="69" s="1"/>
  <c r="H29" i="69"/>
  <c r="AB29" i="69" s="1"/>
  <c r="F29" i="69"/>
  <c r="AA29" i="69" s="1"/>
  <c r="C29" i="69"/>
  <c r="Q27" i="69"/>
  <c r="Z27" i="69" s="1"/>
  <c r="J27" i="69"/>
  <c r="AC27" i="69" s="1"/>
  <c r="H27" i="69"/>
  <c r="AB27" i="69" s="1"/>
  <c r="F27" i="69"/>
  <c r="AA27" i="69" s="1"/>
  <c r="C27" i="69"/>
  <c r="Q25" i="69"/>
  <c r="Z25" i="69" s="1"/>
  <c r="J25" i="69"/>
  <c r="AC25" i="69" s="1"/>
  <c r="H25" i="69"/>
  <c r="AB25" i="69" s="1"/>
  <c r="F25" i="69"/>
  <c r="AA25" i="69" s="1"/>
  <c r="C25" i="69"/>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C13" i="69"/>
  <c r="Q12" i="69"/>
  <c r="Z12" i="69" s="1"/>
  <c r="J12" i="69"/>
  <c r="AC12" i="69" s="1"/>
  <c r="H12" i="69"/>
  <c r="AB12" i="69" s="1"/>
  <c r="F12" i="69"/>
  <c r="AA12" i="69" s="1"/>
  <c r="Q11" i="69"/>
  <c r="Z11" i="69" s="1"/>
  <c r="J11" i="69"/>
  <c r="AC11" i="69" s="1"/>
  <c r="H11" i="69"/>
  <c r="AB11" i="69" s="1"/>
  <c r="F11" i="69"/>
  <c r="AA11" i="69" s="1"/>
  <c r="W10" i="69"/>
  <c r="S10" i="69"/>
  <c r="J10" i="69"/>
  <c r="AC10" i="69" s="1"/>
  <c r="H10" i="69"/>
  <c r="U10" i="69" s="1"/>
  <c r="F10" i="69"/>
  <c r="AA10" i="69" s="1"/>
  <c r="C9" i="69"/>
  <c r="C70" i="69" s="1"/>
  <c r="J13" i="69" l="1"/>
  <c r="AC13" i="69" s="1"/>
  <c r="AC29" i="69"/>
  <c r="G55" i="69"/>
  <c r="H55" i="69" s="1"/>
  <c r="D70" i="69"/>
  <c r="C72" i="69"/>
  <c r="S11" i="69"/>
  <c r="W11" i="69"/>
  <c r="U12" i="69"/>
  <c r="H13" i="69"/>
  <c r="S14" i="69"/>
  <c r="W14" i="69"/>
  <c r="U15" i="69"/>
  <c r="S16" i="69"/>
  <c r="W16" i="69"/>
  <c r="S17" i="69"/>
  <c r="W17" i="69"/>
  <c r="S19" i="69"/>
  <c r="W19" i="69"/>
  <c r="S21" i="69"/>
  <c r="W21" i="69"/>
  <c r="S23" i="69"/>
  <c r="W23" i="69"/>
  <c r="S25" i="69"/>
  <c r="W25" i="69"/>
  <c r="S27" i="69"/>
  <c r="W27" i="69"/>
  <c r="S29" i="69"/>
  <c r="W31" i="69"/>
  <c r="AA40" i="69"/>
  <c r="S40" i="69"/>
  <c r="AC40" i="69"/>
  <c r="W40" i="69"/>
  <c r="AB10" i="69"/>
  <c r="U11" i="69"/>
  <c r="S12" i="69"/>
  <c r="W12" i="69"/>
  <c r="F13" i="69"/>
  <c r="U14" i="69"/>
  <c r="S15" i="69"/>
  <c r="W15" i="69"/>
  <c r="U16" i="69"/>
  <c r="U17" i="69"/>
  <c r="U19" i="69"/>
  <c r="U21" i="69"/>
  <c r="U23" i="69"/>
  <c r="U25" i="69"/>
  <c r="U27" i="69"/>
  <c r="U29" i="69"/>
  <c r="S31" i="69"/>
  <c r="AB40" i="69"/>
  <c r="U40" i="69"/>
  <c r="U33" i="69"/>
  <c r="S34" i="69"/>
  <c r="W34" i="69"/>
  <c r="U36" i="69"/>
  <c r="S37" i="69"/>
  <c r="W37" i="69"/>
  <c r="U38" i="69"/>
  <c r="S39" i="69"/>
  <c r="W39" i="69"/>
  <c r="S41" i="69"/>
  <c r="W41" i="69"/>
  <c r="U42" i="69"/>
  <c r="S43" i="69"/>
  <c r="W43" i="69"/>
  <c r="U44" i="69"/>
  <c r="S45" i="69"/>
  <c r="W45" i="69"/>
  <c r="U46" i="69"/>
  <c r="S47" i="69"/>
  <c r="W47" i="69"/>
  <c r="T48" i="69"/>
  <c r="E55" i="69"/>
  <c r="F55" i="69" s="1"/>
  <c r="U31" i="69"/>
  <c r="S33" i="69"/>
  <c r="W33" i="69"/>
  <c r="U34" i="69"/>
  <c r="S36" i="69"/>
  <c r="W36" i="69"/>
  <c r="U37" i="69"/>
  <c r="S38" i="69"/>
  <c r="W38" i="69"/>
  <c r="U39" i="69"/>
  <c r="U41" i="69"/>
  <c r="S42" i="69"/>
  <c r="W42" i="69"/>
  <c r="U43" i="69"/>
  <c r="S44" i="69"/>
  <c r="W44" i="69"/>
  <c r="U45" i="69"/>
  <c r="S46" i="69"/>
  <c r="W46" i="69"/>
  <c r="U47" i="69"/>
  <c r="L19" i="1"/>
  <c r="K18" i="1"/>
  <c r="K17" i="1"/>
  <c r="I48" i="39"/>
  <c r="G48" i="39"/>
  <c r="E48" i="39"/>
  <c r="I40" i="39"/>
  <c r="G40" i="39"/>
  <c r="E40" i="39"/>
  <c r="E9" i="39"/>
  <c r="I9" i="39"/>
  <c r="G9" i="39"/>
  <c r="I7" i="39"/>
  <c r="G7" i="39"/>
  <c r="E7" i="39"/>
  <c r="W13" i="69" l="1"/>
  <c r="AA13" i="69"/>
  <c r="S13" i="69"/>
  <c r="AB13" i="69"/>
  <c r="U13" i="69"/>
  <c r="D72" i="69"/>
  <c r="E70" i="69"/>
  <c r="N7" i="1"/>
  <c r="J7" i="1"/>
  <c r="I7" i="1"/>
  <c r="H7" i="1"/>
  <c r="I13" i="3"/>
  <c r="A3" i="3"/>
  <c r="F70" i="69" l="1"/>
  <c r="E72" i="69"/>
  <c r="I7" i="21"/>
  <c r="G7" i="21"/>
  <c r="E7" i="21"/>
  <c r="I5" i="21"/>
  <c r="G5" i="21"/>
  <c r="E5" i="21"/>
  <c r="F19" i="6"/>
  <c r="F72" i="69" l="1"/>
  <c r="G70" i="69"/>
  <c r="AH5" i="59"/>
  <c r="AG5" i="59"/>
  <c r="AE5" i="59"/>
  <c r="AF5" i="59" s="1"/>
  <c r="AD5" i="59"/>
  <c r="Q5" i="59"/>
  <c r="P5" i="59"/>
  <c r="O5" i="59"/>
  <c r="N5" i="59"/>
  <c r="H70" i="69" l="1"/>
  <c r="G72" i="69"/>
  <c r="C16" i="11"/>
  <c r="C15" i="11"/>
  <c r="C14" i="11"/>
  <c r="C9" i="11"/>
  <c r="C8" i="11"/>
  <c r="H72" i="69" l="1"/>
  <c r="I70" i="69"/>
  <c r="K36" i="36"/>
  <c r="K38" i="35"/>
  <c r="K42" i="37"/>
  <c r="K49" i="34"/>
  <c r="J70" i="69" l="1"/>
  <c r="I72" i="69"/>
  <c r="K48" i="33"/>
  <c r="K48" i="21"/>
  <c r="J72" i="69" l="1"/>
  <c r="K70" i="69"/>
  <c r="K44" i="40"/>
  <c r="K49" i="39"/>
  <c r="E77" i="9"/>
  <c r="F77" i="9"/>
  <c r="L70" i="69" l="1"/>
  <c r="K72" i="69"/>
  <c r="AH6" i="59"/>
  <c r="AG6" i="59"/>
  <c r="AE6" i="59"/>
  <c r="AF6" i="59" s="1"/>
  <c r="AD6" i="59"/>
  <c r="Q6" i="59"/>
  <c r="AB5" i="59" s="1"/>
  <c r="P6" i="59"/>
  <c r="AA5" i="59" s="1"/>
  <c r="O6" i="59"/>
  <c r="Y5" i="59" s="1"/>
  <c r="Z5" i="59" s="1"/>
  <c r="N6" i="59"/>
  <c r="X5" i="59" s="1"/>
  <c r="L72" i="69" l="1"/>
  <c r="M70" i="69"/>
  <c r="A21" i="31"/>
  <c r="N70" i="69" l="1"/>
  <c r="N72" i="69" s="1"/>
  <c r="M72" i="69"/>
  <c r="C109" i="9"/>
  <c r="J9" i="69" l="1"/>
  <c r="F9" i="69"/>
  <c r="H9" i="69"/>
  <c r="V8" i="59"/>
  <c r="U8" i="59"/>
  <c r="T8" i="59"/>
  <c r="S8" i="59"/>
  <c r="S9" i="69" l="1"/>
  <c r="AA9" i="69"/>
  <c r="R49" i="69" s="1"/>
  <c r="AB9" i="69"/>
  <c r="T49" i="69" s="1"/>
  <c r="G49" i="69" s="1"/>
  <c r="U9" i="69"/>
  <c r="W9" i="69"/>
  <c r="AC9" i="69"/>
  <c r="V49" i="69" s="1"/>
  <c r="I49" i="69" s="1"/>
  <c r="AH7" i="59"/>
  <c r="AG7" i="59"/>
  <c r="AE7" i="59"/>
  <c r="AF7" i="59" s="1"/>
  <c r="AD7" i="59"/>
  <c r="Q7" i="59"/>
  <c r="AB6" i="59" s="1"/>
  <c r="P7" i="59"/>
  <c r="AA6" i="59" s="1"/>
  <c r="O7" i="59"/>
  <c r="Y6" i="59" s="1"/>
  <c r="Z6" i="59" s="1"/>
  <c r="N7" i="59"/>
  <c r="X6" i="59" s="1"/>
  <c r="I53" i="69" l="1"/>
  <c r="J53" i="69" s="1"/>
  <c r="R50" i="69"/>
  <c r="E49" i="69"/>
  <c r="G54" i="69"/>
  <c r="H54" i="69" s="1"/>
  <c r="G53" i="69"/>
  <c r="H53" i="69" s="1"/>
  <c r="Q9" i="59"/>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c r="P75" i="15"/>
  <c r="Q74" i="44"/>
  <c r="Q61" i="44"/>
  <c r="Q60" i="44"/>
  <c r="Q53" i="44"/>
  <c r="J51" i="44"/>
  <c r="J52" i="44"/>
  <c r="M48" i="44"/>
  <c r="A16" i="55"/>
  <c r="A15" i="55"/>
  <c r="B66" i="63" s="1"/>
  <c r="A14"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c r="H10" i="39"/>
  <c r="AB10" i="39" s="1"/>
  <c r="H11" i="39"/>
  <c r="AB11" i="39" s="1"/>
  <c r="H36" i="39"/>
  <c r="AB36" i="39"/>
  <c r="H42" i="39"/>
  <c r="AB42" i="39"/>
  <c r="J10" i="39"/>
  <c r="AC10" i="39" s="1"/>
  <c r="J11" i="39"/>
  <c r="AC11" i="39" s="1"/>
  <c r="J36" i="39"/>
  <c r="AC36"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C10" i="12" s="1"/>
  <c r="C6" i="12" s="1"/>
  <c r="C24" i="12" s="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s="1"/>
  <c r="J9" i="21"/>
  <c r="AC9" i="21"/>
  <c r="H8" i="21"/>
  <c r="AB8" i="21" s="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F28" i="15"/>
  <c r="A18" i="64"/>
  <c r="B74" i="63"/>
  <c r="C53" i="10"/>
  <c r="A25" i="64" s="1"/>
  <c r="A18" i="51"/>
  <c r="B14" i="63" s="1"/>
  <c r="BA16" i="3"/>
  <c r="BA17" i="3"/>
  <c r="AZ17" i="3"/>
  <c r="F3" i="35"/>
  <c r="K1" i="43"/>
  <c r="K1" i="12"/>
  <c r="G1" i="44"/>
  <c r="I4" i="6"/>
  <c r="G3" i="46"/>
  <c r="AZ15" i="3"/>
  <c r="BK5" i="3"/>
  <c r="BO5" i="3"/>
  <c r="BP5" i="3"/>
  <c r="BN5" i="3"/>
  <c r="BL18" i="3"/>
  <c r="AZ18" i="3"/>
  <c r="BC5" i="3"/>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c r="B46" i="50"/>
  <c r="B4" i="63"/>
  <c r="C46" i="36"/>
  <c r="D46" i="36" s="1"/>
  <c r="C48" i="35"/>
  <c r="D48" i="35" s="1"/>
  <c r="E48" i="35" s="1"/>
  <c r="F48" i="35" s="1"/>
  <c r="C52" i="37"/>
  <c r="D52" i="37" s="1"/>
  <c r="O19" i="46"/>
  <c r="H86" i="46"/>
  <c r="H82" i="46"/>
  <c r="H10" i="48"/>
  <c r="H87" i="46"/>
  <c r="H85" i="46"/>
  <c r="H83" i="46"/>
  <c r="K10" i="1"/>
  <c r="M10" i="1" s="1"/>
  <c r="O10" i="1" s="1"/>
  <c r="P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s="1"/>
  <c r="E5" i="6"/>
  <c r="D12" i="11" s="1"/>
  <c r="C12" i="11" s="1"/>
  <c r="E149" i="3"/>
  <c r="E249" i="3"/>
  <c r="E549" i="3"/>
  <c r="E460" i="3"/>
  <c r="I3" i="6"/>
  <c r="E463" i="3"/>
  <c r="E292" i="3"/>
  <c r="E426" i="3"/>
  <c r="E60" i="3"/>
  <c r="E75" i="3"/>
  <c r="E178" i="3"/>
  <c r="J6" i="3"/>
  <c r="E500" i="3"/>
  <c r="E48" i="3"/>
  <c r="E97" i="3"/>
  <c r="E438" i="3"/>
  <c r="AE6" i="3"/>
  <c r="E455"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s="1"/>
  <c r="AZ16" i="3"/>
  <c r="A9" i="64"/>
  <c r="A9" i="51"/>
  <c r="B9" i="63" s="1"/>
  <c r="E4" i="4"/>
  <c r="C4" i="4"/>
  <c r="G66" i="36"/>
  <c r="J18" i="36"/>
  <c r="AE8" i="1"/>
  <c r="AE7" i="1"/>
  <c r="AE6" i="1"/>
  <c r="W18" i="36"/>
  <c r="AC18" i="36"/>
  <c r="AG6" i="1"/>
  <c r="L20" i="6"/>
  <c r="B21" i="55"/>
  <c r="B72" i="63" s="1"/>
  <c r="B20" i="55"/>
  <c r="B70" i="63" s="1"/>
  <c r="S7" i="1"/>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D70" i="39"/>
  <c r="E70" i="39" s="1"/>
  <c r="E72" i="39" s="1"/>
  <c r="C72" i="39"/>
  <c r="D58" i="33"/>
  <c r="C67" i="40"/>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H22" i="46"/>
  <c r="Y11" i="46"/>
  <c r="Y13" i="46" s="1"/>
  <c r="H101" i="46"/>
  <c r="H102" i="46" s="1"/>
  <c r="G22" i="46"/>
  <c r="J22" i="46"/>
  <c r="F101" i="46"/>
  <c r="F106" i="46" s="1"/>
  <c r="D101" i="46"/>
  <c r="D106" i="46" s="1"/>
  <c r="E14" i="6"/>
  <c r="E61" i="40" s="1"/>
  <c r="E13" i="6"/>
  <c r="E60" i="40" s="1"/>
  <c r="E10" i="6"/>
  <c r="AP7" i="1"/>
  <c r="G13" i="1"/>
  <c r="D59" i="34"/>
  <c r="E59" i="34" s="1"/>
  <c r="F59" i="34" s="1"/>
  <c r="H70" i="46"/>
  <c r="H73" i="46"/>
  <c r="H50" i="46"/>
  <c r="H48" i="46"/>
  <c r="F35" i="46"/>
  <c r="I17" i="46"/>
  <c r="G17" i="46" s="1"/>
  <c r="C16" i="46" s="1"/>
  <c r="H63" i="46"/>
  <c r="I101" i="46"/>
  <c r="I104" i="46" s="1"/>
  <c r="M101" i="46"/>
  <c r="M104" i="46" s="1"/>
  <c r="N101" i="46"/>
  <c r="N105" i="46" s="1"/>
  <c r="AC11" i="46"/>
  <c r="AC13" i="46" s="1"/>
  <c r="AD11" i="46"/>
  <c r="AD13" i="46" s="1"/>
  <c r="AJ11" i="46"/>
  <c r="AJ13" i="46" s="1"/>
  <c r="H64" i="46"/>
  <c r="H66" i="46"/>
  <c r="D100" i="46"/>
  <c r="F109" i="46"/>
  <c r="H62" i="46"/>
  <c r="AF12" i="46"/>
  <c r="K100" i="46"/>
  <c r="AB12" i="46"/>
  <c r="AJ12" i="46"/>
  <c r="F102" i="46"/>
  <c r="C101" i="46"/>
  <c r="C109" i="46" s="1"/>
  <c r="G101" i="46"/>
  <c r="J101" i="46"/>
  <c r="J106" i="46" s="1"/>
  <c r="B113" i="46"/>
  <c r="N104" i="45"/>
  <c r="L101" i="46"/>
  <c r="L105" i="46" s="1"/>
  <c r="F22" i="46"/>
  <c r="E101" i="46"/>
  <c r="E106" i="46" s="1"/>
  <c r="Z7" i="46"/>
  <c r="K101" i="46"/>
  <c r="K103"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3" i="59"/>
  <c r="C12" i="59"/>
  <c r="T12" i="59"/>
  <c r="B13" i="59"/>
  <c r="B12" i="59"/>
  <c r="S12" i="59"/>
  <c r="D13" i="59"/>
  <c r="E65" i="40"/>
  <c r="F65" i="40" s="1"/>
  <c r="G65" i="40" s="1"/>
  <c r="G67" i="40" s="1"/>
  <c r="D72" i="39"/>
  <c r="V12" i="59"/>
  <c r="D12" i="59"/>
  <c r="D107" i="46"/>
  <c r="D103" i="46"/>
  <c r="N104" i="46"/>
  <c r="K107" i="46"/>
  <c r="K102" i="46"/>
  <c r="K104" i="46"/>
  <c r="E104" i="46"/>
  <c r="E105" i="46"/>
  <c r="E102" i="46"/>
  <c r="L102" i="46"/>
  <c r="L104"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E109" i="46"/>
  <c r="C7" i="46"/>
  <c r="F70" i="39"/>
  <c r="F72" i="39" s="1"/>
  <c r="E67" i="40"/>
  <c r="D11" i="59"/>
  <c r="D10" i="59"/>
  <c r="G20" i="46"/>
  <c r="E41" i="46"/>
  <c r="C41" i="46"/>
  <c r="F67" i="40"/>
  <c r="G70" i="39"/>
  <c r="G72" i="39" s="1"/>
  <c r="H65" i="40"/>
  <c r="H67" i="40" s="1"/>
  <c r="F38" i="44"/>
  <c r="F9" i="67"/>
  <c r="F18" i="44"/>
  <c r="F13" i="15"/>
  <c r="J3" i="65"/>
  <c r="E9" i="67"/>
  <c r="M10" i="44"/>
  <c r="F37" i="44"/>
  <c r="I5" i="65"/>
  <c r="M8" i="15"/>
  <c r="F7" i="15"/>
  <c r="F6" i="15"/>
  <c r="L47" i="15"/>
  <c r="J7" i="65"/>
  <c r="E13" i="67"/>
  <c r="F43" i="15"/>
  <c r="F39" i="44"/>
  <c r="B10" i="67"/>
  <c r="F40" i="15"/>
  <c r="F13" i="67"/>
  <c r="F26" i="15"/>
  <c r="B9" i="67"/>
  <c r="J6" i="65"/>
  <c r="M28" i="44"/>
  <c r="F14" i="67"/>
  <c r="N3" i="65"/>
  <c r="N7" i="65"/>
  <c r="I3" i="65"/>
  <c r="M11" i="44"/>
  <c r="F9" i="44"/>
  <c r="F38" i="15"/>
  <c r="F11" i="44"/>
  <c r="B8" i="67"/>
  <c r="N4" i="65"/>
  <c r="J4" i="65"/>
  <c r="C19" i="44"/>
  <c r="N5" i="65"/>
  <c r="N6" i="65"/>
  <c r="F9" i="15"/>
  <c r="F10" i="44"/>
  <c r="M24" i="44"/>
  <c r="M6" i="15"/>
  <c r="M23" i="15"/>
  <c r="M27" i="15"/>
  <c r="F8" i="67"/>
  <c r="L48" i="15"/>
  <c r="J17" i="44"/>
  <c r="F45" i="44"/>
  <c r="F35" i="15"/>
  <c r="F37" i="15"/>
  <c r="F8" i="15"/>
  <c r="F12" i="67"/>
  <c r="I6" i="65"/>
  <c r="M30" i="44"/>
  <c r="E8" i="67"/>
  <c r="F8" i="44"/>
  <c r="E10" i="67"/>
  <c r="M28" i="15"/>
  <c r="E14" i="67"/>
  <c r="J5" i="65"/>
  <c r="J15" i="15"/>
  <c r="F42" i="15"/>
  <c r="M9" i="15"/>
  <c r="F11" i="67"/>
  <c r="M26" i="44"/>
  <c r="B11" i="67"/>
  <c r="M23" i="44"/>
  <c r="J36" i="15"/>
  <c r="L49" i="44"/>
  <c r="F46" i="44"/>
  <c r="M26" i="15"/>
  <c r="M24" i="15"/>
  <c r="I7" i="65"/>
  <c r="B14" i="67"/>
  <c r="F28" i="44"/>
  <c r="E11" i="67"/>
  <c r="M25" i="44"/>
  <c r="M31" i="44"/>
  <c r="M22" i="15"/>
  <c r="F43" i="44"/>
  <c r="M21" i="15"/>
  <c r="M29" i="44"/>
  <c r="F10" i="67"/>
  <c r="B12" i="67"/>
  <c r="F40" i="44"/>
  <c r="F36" i="15"/>
  <c r="M29" i="15"/>
  <c r="L48" i="44"/>
  <c r="E12" i="67"/>
  <c r="I4" i="65"/>
  <c r="F16" i="15"/>
  <c r="B13" i="67"/>
  <c r="F15" i="44"/>
  <c r="M8" i="44"/>
  <c r="F41" i="15"/>
  <c r="C5" i="46" l="1"/>
  <c r="D5" i="46"/>
  <c r="E54" i="69"/>
  <c r="F54" i="69" s="1"/>
  <c r="E53" i="69"/>
  <c r="F53" i="69" s="1"/>
  <c r="C50" i="69"/>
  <c r="C49" i="69"/>
  <c r="I54" i="69"/>
  <c r="J54" i="69" s="1"/>
  <c r="C18" i="9"/>
  <c r="M43" i="9" s="1"/>
  <c r="J107" i="46"/>
  <c r="I105" i="46"/>
  <c r="N109" i="46"/>
  <c r="K15" i="1"/>
  <c r="L19" i="6"/>
  <c r="AZ5" i="3"/>
  <c r="AY6" i="3" s="1"/>
  <c r="C103" i="46"/>
  <c r="N103" i="46"/>
  <c r="D109" i="46"/>
  <c r="H104" i="46"/>
  <c r="H105" i="46"/>
  <c r="H107" i="46"/>
  <c r="E58" i="39"/>
  <c r="F27" i="6"/>
  <c r="F31" i="6" s="1"/>
  <c r="E36" i="3"/>
  <c r="E492" i="3"/>
  <c r="E295" i="3"/>
  <c r="E89" i="3"/>
  <c r="E201" i="3"/>
  <c r="E170" i="3"/>
  <c r="E274" i="3"/>
  <c r="E32" i="3"/>
  <c r="E547" i="3"/>
  <c r="E447" i="3"/>
  <c r="E33" i="3"/>
  <c r="Q6" i="3"/>
  <c r="E119"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J103" i="46"/>
  <c r="E66" i="39"/>
  <c r="F103" i="46"/>
  <c r="H16" i="1"/>
  <c r="E53" i="40"/>
  <c r="M18" i="15"/>
  <c r="D96" i="9"/>
  <c r="F30" i="44"/>
  <c r="M20" i="44"/>
  <c r="F70" i="9"/>
  <c r="F72" i="9"/>
  <c r="F66" i="9"/>
  <c r="P72" i="9" s="1"/>
  <c r="L106" i="46"/>
  <c r="E107" i="46"/>
  <c r="E103" i="46"/>
  <c r="K105" i="46"/>
  <c r="K106" i="46"/>
  <c r="I107" i="46"/>
  <c r="N102" i="46"/>
  <c r="N106" i="46"/>
  <c r="I103" i="46"/>
  <c r="N107" i="46"/>
  <c r="D104" i="46"/>
  <c r="D105" i="46"/>
  <c r="H106" i="46"/>
  <c r="D102" i="46"/>
  <c r="H109" i="46"/>
  <c r="H103" i="46"/>
  <c r="F105" i="46"/>
  <c r="F104" i="46"/>
  <c r="F107" i="46"/>
  <c r="G6" i="1"/>
  <c r="D38" i="4"/>
  <c r="C39" i="4" s="1"/>
  <c r="C106" i="46"/>
  <c r="C104" i="46"/>
  <c r="J102" i="46"/>
  <c r="E65" i="39"/>
  <c r="F33" i="12"/>
  <c r="L27" i="6"/>
  <c r="E3" i="6"/>
  <c r="E6" i="6" s="1"/>
  <c r="E179" i="3"/>
  <c r="E141" i="3"/>
  <c r="E357" i="3"/>
  <c r="E28" i="3"/>
  <c r="E317" i="3"/>
  <c r="E80" i="3"/>
  <c r="E478" i="3"/>
  <c r="E415" i="3"/>
  <c r="E399" i="3"/>
  <c r="E367" i="3"/>
  <c r="E205" i="3"/>
  <c r="E441" i="3"/>
  <c r="E223" i="3"/>
  <c r="E30" i="3"/>
  <c r="E374" i="3"/>
  <c r="E404" i="3"/>
  <c r="E100" i="3"/>
  <c r="E165" i="3"/>
  <c r="E428" i="3"/>
  <c r="E304" i="3"/>
  <c r="E237" i="3"/>
  <c r="E131" i="3"/>
  <c r="E561" i="3"/>
  <c r="E283" i="3"/>
  <c r="E23" i="3"/>
  <c r="E535" i="3"/>
  <c r="AN6" i="3"/>
  <c r="E41" i="3"/>
  <c r="E280" i="3"/>
  <c r="E471" i="3"/>
  <c r="E59" i="3"/>
  <c r="E418" i="3"/>
  <c r="E270" i="3"/>
  <c r="E408" i="3"/>
  <c r="E464" i="3"/>
  <c r="E92" i="3"/>
  <c r="E157" i="3"/>
  <c r="E238" i="3"/>
  <c r="E209" i="3"/>
  <c r="E414" i="3"/>
  <c r="E161" i="3"/>
  <c r="E44" i="3"/>
  <c r="E450" i="3"/>
  <c r="E202" i="3"/>
  <c r="E297" i="3"/>
  <c r="E411" i="3"/>
  <c r="E395" i="3"/>
  <c r="E250"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L16" i="4"/>
  <c r="K17" i="4" s="1"/>
  <c r="A22" i="51" s="1"/>
  <c r="B16" i="63" s="1"/>
  <c r="C29" i="12"/>
  <c r="C27" i="43"/>
  <c r="C95" i="9"/>
  <c r="C92" i="9" s="1"/>
  <c r="C25" i="12"/>
  <c r="C31" i="43"/>
  <c r="E52" i="37"/>
  <c r="F52" i="37" s="1"/>
  <c r="G52" i="37" s="1"/>
  <c r="H52" i="37" s="1"/>
  <c r="I52" i="37" s="1"/>
  <c r="J52" i="37" s="1"/>
  <c r="K52" i="37" s="1"/>
  <c r="L52" i="37" s="1"/>
  <c r="M52" i="37" s="1"/>
  <c r="N52" i="37" s="1"/>
  <c r="O52" i="37" s="1"/>
  <c r="I65" i="40"/>
  <c r="H70" i="39"/>
  <c r="C28" i="15"/>
  <c r="C30" i="44"/>
  <c r="D18" i="9"/>
  <c r="M44" i="9" s="1"/>
  <c r="A30" i="51"/>
  <c r="B22" i="63" s="1"/>
  <c r="A30" i="64"/>
  <c r="D23" i="15"/>
  <c r="W8" i="21"/>
  <c r="I102" i="46"/>
  <c r="I109" i="46"/>
  <c r="G30" i="6"/>
  <c r="G31" i="6" s="1"/>
  <c r="E28" i="6"/>
  <c r="M107" i="46"/>
  <c r="M103" i="46"/>
  <c r="M109" i="46"/>
  <c r="M106" i="46"/>
  <c r="M102" i="46"/>
  <c r="M105" i="46"/>
  <c r="E15" i="6"/>
  <c r="E12" i="6"/>
  <c r="E59" i="40" s="1"/>
  <c r="E11" i="6"/>
  <c r="E63" i="39" s="1"/>
  <c r="D16" i="43"/>
  <c r="C16" i="43" s="1"/>
  <c r="D16" i="12"/>
  <c r="H6" i="3"/>
  <c r="D21" i="12"/>
  <c r="C21" i="12" s="1"/>
  <c r="O9" i="1"/>
  <c r="P9" i="1" s="1"/>
  <c r="O8" i="1"/>
  <c r="P8" i="1" s="1"/>
  <c r="O12" i="1"/>
  <c r="P12" i="1" s="1"/>
  <c r="O11" i="1"/>
  <c r="P11" i="1" s="1"/>
  <c r="O13" i="1"/>
  <c r="P13" i="1" s="1"/>
  <c r="D113" i="46"/>
  <c r="J109" i="46"/>
  <c r="C105" i="46"/>
  <c r="C102" i="46"/>
  <c r="C107" i="46"/>
  <c r="J105" i="46"/>
  <c r="J104" i="46"/>
  <c r="E58" i="40"/>
  <c r="A3" i="55"/>
  <c r="B56" i="63" s="1"/>
  <c r="AP16" i="1"/>
  <c r="F22" i="11" s="1"/>
  <c r="G16" i="1"/>
  <c r="H12" i="40" s="1"/>
  <c r="U12" i="40" s="1"/>
  <c r="F7" i="37"/>
  <c r="AB12" i="40"/>
  <c r="G48" i="35"/>
  <c r="F12" i="39"/>
  <c r="G59" i="34"/>
  <c r="H59" i="34" s="1"/>
  <c r="I59" i="34" s="1"/>
  <c r="J59" i="34" s="1"/>
  <c r="K59" i="34" s="1"/>
  <c r="L59" i="34" s="1"/>
  <c r="M59" i="34" s="1"/>
  <c r="N59" i="34" s="1"/>
  <c r="O59" i="34" s="1"/>
  <c r="E46" i="36"/>
  <c r="F46" i="36" s="1"/>
  <c r="G46" i="36" s="1"/>
  <c r="H46" i="36" s="1"/>
  <c r="I46" i="36" s="1"/>
  <c r="J46" i="36" s="1"/>
  <c r="K46" i="36" s="1"/>
  <c r="L46" i="36" s="1"/>
  <c r="M46" i="36" s="1"/>
  <c r="N46" i="36" s="1"/>
  <c r="O46" i="36" s="1"/>
  <c r="H7" i="36"/>
  <c r="E58" i="33"/>
  <c r="F58" i="21"/>
  <c r="F7" i="34"/>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8" i="44"/>
  <c r="C17" i="15"/>
  <c r="E2" i="65"/>
  <c r="C16" i="15"/>
  <c r="E3" i="65"/>
  <c r="B62" i="69" l="1"/>
  <c r="F62" i="69" s="1"/>
  <c r="B60" i="69"/>
  <c r="F60" i="69" s="1"/>
  <c r="B67" i="69"/>
  <c r="F67" i="69" s="1"/>
  <c r="B65" i="69"/>
  <c r="F65" i="69" s="1"/>
  <c r="B63" i="69"/>
  <c r="F63" i="69" s="1"/>
  <c r="B61" i="69"/>
  <c r="F61" i="69" s="1"/>
  <c r="B59" i="69"/>
  <c r="F59" i="69" s="1"/>
  <c r="B58" i="69"/>
  <c r="F58" i="69" s="1"/>
  <c r="B66" i="69"/>
  <c r="F66" i="69" s="1"/>
  <c r="B64" i="69"/>
  <c r="F64" i="69" s="1"/>
  <c r="D46" i="9"/>
  <c r="L38" i="9"/>
  <c r="B14" i="66" s="1"/>
  <c r="B1" i="66" s="1"/>
  <c r="K20" i="6"/>
  <c r="M20" i="6" s="1"/>
  <c r="I20" i="6" s="1"/>
  <c r="S20" i="6" s="1"/>
  <c r="E27" i="6"/>
  <c r="AY549" i="3"/>
  <c r="AY87" i="3"/>
  <c r="AY109" i="3"/>
  <c r="AY142" i="3"/>
  <c r="AY537" i="3"/>
  <c r="AY144" i="3"/>
  <c r="AY136" i="3"/>
  <c r="AY232" i="3"/>
  <c r="AY448" i="3"/>
  <c r="AY49" i="3"/>
  <c r="AY381" i="3"/>
  <c r="AY324" i="3"/>
  <c r="AY476" i="3"/>
  <c r="AY39" i="3"/>
  <c r="AY116" i="3"/>
  <c r="AY258" i="3"/>
  <c r="AY366" i="3"/>
  <c r="AY315" i="3"/>
  <c r="AY548" i="3"/>
  <c r="AY168" i="3"/>
  <c r="AY256" i="3"/>
  <c r="AY464" i="3"/>
  <c r="AY81" i="3"/>
  <c r="AY295" i="3"/>
  <c r="AY530" i="3"/>
  <c r="AY97" i="3"/>
  <c r="AY198" i="3"/>
  <c r="AY77" i="3"/>
  <c r="AY73" i="3"/>
  <c r="AY57" i="3"/>
  <c r="AY262" i="3"/>
  <c r="AY349" i="3"/>
  <c r="AY397" i="3"/>
  <c r="AY149" i="3"/>
  <c r="AY379" i="3"/>
  <c r="AY326" i="3"/>
  <c r="AY463" i="3"/>
  <c r="AY178" i="3"/>
  <c r="AY135" i="3"/>
  <c r="AY294" i="3"/>
  <c r="AY372" i="3"/>
  <c r="AY550" i="3"/>
  <c r="AY62" i="3"/>
  <c r="AY269" i="3"/>
  <c r="AY376" i="3"/>
  <c r="AY389" i="3"/>
  <c r="AY155" i="3"/>
  <c r="AY302" i="3"/>
  <c r="C21" i="4"/>
  <c r="D44" i="9"/>
  <c r="D45" i="9"/>
  <c r="AY214" i="3"/>
  <c r="AY146" i="3"/>
  <c r="AY170" i="3"/>
  <c r="AY422" i="3"/>
  <c r="AY427" i="3"/>
  <c r="AY361" i="3"/>
  <c r="AY383" i="3"/>
  <c r="AY291" i="3"/>
  <c r="AY217" i="3"/>
  <c r="AY106" i="3"/>
  <c r="AY98" i="3"/>
  <c r="AY74" i="3"/>
  <c r="AY53" i="3"/>
  <c r="AY104" i="3"/>
  <c r="AY529" i="3"/>
  <c r="AY129" i="3"/>
  <c r="AY26" i="3"/>
  <c r="AY88" i="3"/>
  <c r="AY69" i="3"/>
  <c r="J7" i="37"/>
  <c r="W7" i="37" s="1"/>
  <c r="C34" i="12"/>
  <c r="D33" i="12" s="1"/>
  <c r="S5" i="46"/>
  <c r="S3" i="46"/>
  <c r="S6" i="46"/>
  <c r="S2" i="46"/>
  <c r="S7" i="46"/>
  <c r="S4" i="46"/>
  <c r="E64" i="39"/>
  <c r="AC6" i="3"/>
  <c r="E16"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86" i="3"/>
  <c r="AY67" i="3"/>
  <c r="AY159" i="3"/>
  <c r="AY105" i="3"/>
  <c r="AY47" i="3"/>
  <c r="AY31" i="3"/>
  <c r="AY234" i="3"/>
  <c r="AY317" i="3"/>
  <c r="AY402" i="3"/>
  <c r="AY181" i="3"/>
  <c r="AY343" i="3"/>
  <c r="AY65" i="3"/>
  <c r="AY265" i="3"/>
  <c r="AY350" i="3"/>
  <c r="AY50" i="3"/>
  <c r="AY346" i="3"/>
  <c r="AY161"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415" i="3"/>
  <c r="BP6" i="3"/>
  <c r="AY247" i="3"/>
  <c r="AY399" i="3"/>
  <c r="AY503" i="3"/>
  <c r="AY553" i="3"/>
  <c r="AY20" i="3"/>
  <c r="AY199" i="3"/>
  <c r="AY208" i="3"/>
  <c r="AY480" i="3"/>
  <c r="AY78" i="3"/>
  <c r="AY174" i="3"/>
  <c r="AY299" i="3"/>
  <c r="AY80" i="3"/>
  <c r="AY179" i="3"/>
  <c r="AY126" i="3"/>
  <c r="AY209" i="3"/>
  <c r="AY55" i="3"/>
  <c r="AY560" i="3"/>
  <c r="AY310" i="3"/>
  <c r="AY226"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527" i="3"/>
  <c r="AY461" i="3"/>
  <c r="AY519" i="3"/>
  <c r="AY66" i="3"/>
  <c r="AY325" i="3"/>
  <c r="AY186"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8" i="3"/>
  <c r="AY100" i="3"/>
  <c r="AY118" i="3"/>
  <c r="AY416" i="3"/>
  <c r="AY250" i="3"/>
  <c r="AY141" i="3"/>
  <c r="AY459" i="3"/>
  <c r="AY400"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152" i="3"/>
  <c r="AY489" i="3"/>
  <c r="AY546" i="3"/>
  <c r="AY242" i="3"/>
  <c r="AY417" i="3"/>
  <c r="AY287"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H7" i="34"/>
  <c r="AB7" i="34" s="1"/>
  <c r="T49" i="34" s="1"/>
  <c r="G49" i="34" s="1"/>
  <c r="I67" i="40"/>
  <c r="J65" i="40"/>
  <c r="H7" i="37"/>
  <c r="I70" i="39"/>
  <c r="H72" i="39"/>
  <c r="AC7" i="37"/>
  <c r="V42" i="37" s="1"/>
  <c r="I42" i="37" s="1"/>
  <c r="I46" i="37" s="1"/>
  <c r="J46" i="37" s="1"/>
  <c r="H20" i="6"/>
  <c r="K25" i="6"/>
  <c r="M25" i="6" s="1"/>
  <c r="I25" i="6" s="1"/>
  <c r="K22" i="6"/>
  <c r="M22" i="6" s="1"/>
  <c r="I22" i="6" s="1"/>
  <c r="K19" i="6"/>
  <c r="S6" i="1" s="1"/>
  <c r="S16" i="1" s="1"/>
  <c r="K23" i="6"/>
  <c r="M23" i="6" s="1"/>
  <c r="I23" i="6" s="1"/>
  <c r="E62" i="40"/>
  <c r="E67" i="39"/>
  <c r="E68" i="39" s="1"/>
  <c r="E30" i="6"/>
  <c r="E31" i="6" s="1"/>
  <c r="K14" i="1"/>
  <c r="D19" i="12"/>
  <c r="C19" i="12" s="1"/>
  <c r="C16" i="12"/>
  <c r="C6" i="66"/>
  <c r="C7" i="66"/>
  <c r="C8" i="66"/>
  <c r="H12" i="39"/>
  <c r="AB12" i="39" s="1"/>
  <c r="O5" i="54"/>
  <c r="B45" i="63" s="1"/>
  <c r="D13" i="11"/>
  <c r="C13" i="11" s="1"/>
  <c r="D22" i="12"/>
  <c r="C22" i="12" s="1"/>
  <c r="C20" i="12" s="1"/>
  <c r="D6" i="6"/>
  <c r="M19" i="6"/>
  <c r="J12" i="39"/>
  <c r="W12" i="39" s="1"/>
  <c r="F12" i="40"/>
  <c r="AA12" i="40" s="1"/>
  <c r="J12" i="40"/>
  <c r="AC12" i="40" s="1"/>
  <c r="AA7" i="34"/>
  <c r="R49" i="34" s="1"/>
  <c r="S7" i="34"/>
  <c r="J7" i="36"/>
  <c r="F7" i="36"/>
  <c r="J7" i="34"/>
  <c r="AA7" i="37"/>
  <c r="R42" i="37" s="1"/>
  <c r="S7" i="37"/>
  <c r="U7" i="34"/>
  <c r="J7" i="21"/>
  <c r="G58" i="21"/>
  <c r="H58" i="21" s="1"/>
  <c r="I58" i="21" s="1"/>
  <c r="J58" i="21" s="1"/>
  <c r="K58" i="21" s="1"/>
  <c r="L58" i="21" s="1"/>
  <c r="M58" i="21" s="1"/>
  <c r="N58" i="21" s="1"/>
  <c r="O58" i="21" s="1"/>
  <c r="F7" i="21"/>
  <c r="F58" i="33"/>
  <c r="G58" i="33" s="1"/>
  <c r="H58" i="33" s="1"/>
  <c r="I58" i="33" s="1"/>
  <c r="J58" i="33" s="1"/>
  <c r="K58" i="33" s="1"/>
  <c r="L58" i="33" s="1"/>
  <c r="M58" i="33" s="1"/>
  <c r="N58" i="33" s="1"/>
  <c r="O58" i="33" s="1"/>
  <c r="AB7" i="36"/>
  <c r="T36" i="36" s="1"/>
  <c r="G36" i="36" s="1"/>
  <c r="U7" i="36"/>
  <c r="S12" i="39"/>
  <c r="AA12" i="39"/>
  <c r="H48" i="35"/>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68" i="69" l="1"/>
  <c r="B2" i="69" s="1"/>
  <c r="K24" i="6"/>
  <c r="M24" i="6" s="1"/>
  <c r="I24" i="6" s="1"/>
  <c r="K26" i="6"/>
  <c r="M26" i="6" s="1"/>
  <c r="I26" i="6" s="1"/>
  <c r="K21" i="6"/>
  <c r="M21" i="6" s="1"/>
  <c r="I21" i="6" s="1"/>
  <c r="S21" i="6" s="1"/>
  <c r="AC12" i="39"/>
  <c r="C22" i="4"/>
  <c r="F45" i="9"/>
  <c r="E44" i="9"/>
  <c r="E46" i="9"/>
  <c r="E63" i="40"/>
  <c r="E45" i="9"/>
  <c r="F44" i="9"/>
  <c r="K38" i="9"/>
  <c r="C14" i="66" s="1"/>
  <c r="B2" i="66" s="1"/>
  <c r="F46" i="9"/>
  <c r="D25" i="6"/>
  <c r="D8" i="6"/>
  <c r="D11" i="6"/>
  <c r="D15" i="6"/>
  <c r="D13" i="6"/>
  <c r="D20" i="6"/>
  <c r="R20" i="6" s="1"/>
  <c r="R7" i="1" s="1"/>
  <c r="D22" i="6"/>
  <c r="D29" i="6"/>
  <c r="D14" i="6"/>
  <c r="D12" i="6"/>
  <c r="D19" i="6"/>
  <c r="D28" i="6"/>
  <c r="D30" i="6" s="1"/>
  <c r="D26" i="6"/>
  <c r="D5" i="6"/>
  <c r="D21" i="6"/>
  <c r="D23" i="6"/>
  <c r="D24" i="6"/>
  <c r="D9" i="6"/>
  <c r="D10" i="6"/>
  <c r="H21" i="6"/>
  <c r="U12" i="39"/>
  <c r="U7" i="37"/>
  <c r="AB7" i="37"/>
  <c r="T42" i="37" s="1"/>
  <c r="G42" i="37" s="1"/>
  <c r="F7" i="33"/>
  <c r="AA7" i="33" s="1"/>
  <c r="R48" i="33" s="1"/>
  <c r="I72" i="39"/>
  <c r="J70" i="39"/>
  <c r="K65" i="40"/>
  <c r="J67" i="40"/>
  <c r="W12" i="40"/>
  <c r="K27" i="6"/>
  <c r="M14" i="1"/>
  <c r="K16" i="1"/>
  <c r="S25" i="6"/>
  <c r="H25" i="6"/>
  <c r="R25" i="6" s="1"/>
  <c r="S23" i="6"/>
  <c r="H23" i="6"/>
  <c r="S22" i="6"/>
  <c r="H22" i="6"/>
  <c r="R22" i="6" s="1"/>
  <c r="I19" i="6"/>
  <c r="S12" i="40"/>
  <c r="J7" i="33"/>
  <c r="G53" i="34"/>
  <c r="H53" i="34" s="1"/>
  <c r="G54" i="34"/>
  <c r="H54" i="34" s="1"/>
  <c r="AC7" i="34"/>
  <c r="V49" i="34" s="1"/>
  <c r="I49" i="34" s="1"/>
  <c r="W7" i="34"/>
  <c r="W7" i="36"/>
  <c r="AC7" i="36"/>
  <c r="V36" i="36" s="1"/>
  <c r="I36" i="36" s="1"/>
  <c r="R50" i="34"/>
  <c r="E49" i="34"/>
  <c r="I48" i="35"/>
  <c r="J48" i="35" s="1"/>
  <c r="K48" i="35" s="1"/>
  <c r="L48" i="35" s="1"/>
  <c r="M48" i="35" s="1"/>
  <c r="N48" i="35" s="1"/>
  <c r="O48" i="35" s="1"/>
  <c r="H7" i="35"/>
  <c r="G40" i="36"/>
  <c r="H40" i="36" s="1"/>
  <c r="G41" i="36"/>
  <c r="H41" i="36" s="1"/>
  <c r="S7" i="33"/>
  <c r="S7" i="21"/>
  <c r="AA7" i="21"/>
  <c r="R48" i="21" s="1"/>
  <c r="AC7" i="21"/>
  <c r="V48" i="21" s="1"/>
  <c r="I48" i="21" s="1"/>
  <c r="W7" i="21"/>
  <c r="R43" i="37"/>
  <c r="E42" i="37"/>
  <c r="AA7" i="36"/>
  <c r="R36" i="36" s="1"/>
  <c r="S7" i="36"/>
  <c r="H7" i="33"/>
  <c r="H7" i="2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B4" i="69" l="1"/>
  <c r="B5" i="69"/>
  <c r="B3" i="69"/>
  <c r="M27" i="6"/>
  <c r="H26" i="6"/>
  <c r="R26" i="6" s="1"/>
  <c r="S26" i="6"/>
  <c r="S24" i="6"/>
  <c r="H24" i="6"/>
  <c r="R24" i="6" s="1"/>
  <c r="R23" i="6"/>
  <c r="R21" i="6"/>
  <c r="C40" i="39"/>
  <c r="D27" i="6"/>
  <c r="D31" i="6" s="1"/>
  <c r="D7" i="66"/>
  <c r="D6" i="66"/>
  <c r="D8" i="66"/>
  <c r="D16" i="6"/>
  <c r="A20" i="51"/>
  <c r="B15" i="63" s="1"/>
  <c r="A6" i="51"/>
  <c r="B7" i="63" s="1"/>
  <c r="N5" i="54"/>
  <c r="B43" i="63" s="1"/>
  <c r="A6" i="64"/>
  <c r="A20" i="64"/>
  <c r="L65" i="40"/>
  <c r="K67" i="40"/>
  <c r="J72" i="39"/>
  <c r="K70" i="39"/>
  <c r="G46" i="37"/>
  <c r="H46" i="37" s="1"/>
  <c r="G47" i="37"/>
  <c r="H47" i="37" s="1"/>
  <c r="G33" i="46"/>
  <c r="I33" i="46" s="1"/>
  <c r="E35" i="46"/>
  <c r="T12" i="1"/>
  <c r="T13" i="1"/>
  <c r="T7" i="1"/>
  <c r="T9" i="1"/>
  <c r="T10" i="1"/>
  <c r="T8" i="1"/>
  <c r="T11" i="1"/>
  <c r="T6" i="1"/>
  <c r="O14" i="1"/>
  <c r="I27" i="6"/>
  <c r="H19" i="6"/>
  <c r="S19" i="6"/>
  <c r="AB7" i="21"/>
  <c r="T48" i="21" s="1"/>
  <c r="G48" i="21" s="1"/>
  <c r="U7" i="21"/>
  <c r="E47" i="37"/>
  <c r="F47" i="37" s="1"/>
  <c r="E46" i="37"/>
  <c r="F46" i="37" s="1"/>
  <c r="I47" i="37"/>
  <c r="J47" i="37" s="1"/>
  <c r="R49" i="21"/>
  <c r="E48" i="21"/>
  <c r="U7" i="35"/>
  <c r="AB7" i="35"/>
  <c r="T38" i="35" s="1"/>
  <c r="G38" i="35" s="1"/>
  <c r="E53" i="34"/>
  <c r="F53" i="34" s="1"/>
  <c r="E54" i="34"/>
  <c r="F54" i="34" s="1"/>
  <c r="I40" i="36"/>
  <c r="J40" i="36" s="1"/>
  <c r="AC7" i="33"/>
  <c r="V48" i="33" s="1"/>
  <c r="I48" i="33" s="1"/>
  <c r="W7" i="33"/>
  <c r="E37" i="46"/>
  <c r="G39" i="46"/>
  <c r="I39" i="46" s="1"/>
  <c r="E36" i="46"/>
  <c r="U7" i="33"/>
  <c r="AB7" i="33"/>
  <c r="T48" i="33" s="1"/>
  <c r="G48" i="33" s="1"/>
  <c r="R37" i="36"/>
  <c r="E36" i="36"/>
  <c r="C43" i="37"/>
  <c r="B3" i="37" s="1"/>
  <c r="B2" i="37" s="1"/>
  <c r="C42" i="37"/>
  <c r="I52" i="21"/>
  <c r="J52" i="21" s="1"/>
  <c r="I53" i="21"/>
  <c r="J53" i="21" s="1"/>
  <c r="R49" i="33"/>
  <c r="E48" i="33"/>
  <c r="C50" i="34"/>
  <c r="B3" i="34" s="1"/>
  <c r="B2" i="34" s="1"/>
  <c r="C49" i="34"/>
  <c r="I53" i="34"/>
  <c r="J53" i="34" s="1"/>
  <c r="I54" i="34"/>
  <c r="J54" i="34" s="1"/>
  <c r="F7" i="35"/>
  <c r="J7" i="35"/>
  <c r="E29" i="46"/>
  <c r="C27" i="46"/>
  <c r="C65" i="15"/>
  <c r="C59" i="15"/>
  <c r="B5" i="11"/>
  <c r="B3" i="11"/>
  <c r="B4" i="11"/>
  <c r="C27" i="12"/>
  <c r="D26" i="12" s="1"/>
  <c r="C32" i="12" s="1"/>
  <c r="D30" i="12" s="1"/>
  <c r="J26" i="15"/>
  <c r="J29" i="15" s="1"/>
  <c r="J24" i="15"/>
  <c r="C38" i="15"/>
  <c r="Q58" i="44"/>
  <c r="Q67" i="44"/>
  <c r="Q49" i="44"/>
  <c r="Q55" i="44" s="1"/>
  <c r="C14" i="15"/>
  <c r="C16" i="44"/>
  <c r="F7" i="67"/>
  <c r="S27" i="6" l="1"/>
  <c r="L6" i="1"/>
  <c r="I6" i="6"/>
  <c r="C13" i="39" s="1"/>
  <c r="I5" i="6"/>
  <c r="F40" i="39"/>
  <c r="J40" i="39"/>
  <c r="H40" i="39"/>
  <c r="K72" i="39"/>
  <c r="L70" i="39"/>
  <c r="L67" i="40"/>
  <c r="M65" i="40"/>
  <c r="C18" i="15"/>
  <c r="C15" i="15"/>
  <c r="C17" i="44"/>
  <c r="C20" i="44"/>
  <c r="P14" i="1"/>
  <c r="T16" i="1"/>
  <c r="R19" i="6"/>
  <c r="H27" i="6"/>
  <c r="AC7" i="35"/>
  <c r="V38" i="35" s="1"/>
  <c r="I38" i="35" s="1"/>
  <c r="W7" i="35"/>
  <c r="E52" i="33"/>
  <c r="F52" i="33" s="1"/>
  <c r="E53" i="33"/>
  <c r="F53" i="33" s="1"/>
  <c r="E40" i="36"/>
  <c r="F40" i="36" s="1"/>
  <c r="E41" i="36"/>
  <c r="F41" i="36" s="1"/>
  <c r="G52" i="33"/>
  <c r="H52" i="33" s="1"/>
  <c r="G53" i="33"/>
  <c r="H53" i="33" s="1"/>
  <c r="I52" i="33"/>
  <c r="J52" i="33" s="1"/>
  <c r="I53" i="33"/>
  <c r="J53" i="33" s="1"/>
  <c r="I41" i="36"/>
  <c r="J41" i="36" s="1"/>
  <c r="C49" i="21"/>
  <c r="B3" i="21" s="1"/>
  <c r="B2" i="21" s="1"/>
  <c r="C48" i="21"/>
  <c r="S7" i="35"/>
  <c r="AA7" i="35"/>
  <c r="R38" i="35" s="1"/>
  <c r="C48" i="33"/>
  <c r="C49" i="33"/>
  <c r="B3" i="33" s="1"/>
  <c r="B2" i="33" s="1"/>
  <c r="C36" i="36"/>
  <c r="C37" i="36"/>
  <c r="B3" i="36" s="1"/>
  <c r="B2" i="36" s="1"/>
  <c r="G42" i="35"/>
  <c r="H42" i="35" s="1"/>
  <c r="G43" i="35"/>
  <c r="H43" i="35" s="1"/>
  <c r="E53" i="21"/>
  <c r="F53" i="21" s="1"/>
  <c r="E52" i="21"/>
  <c r="F52" i="21" s="1"/>
  <c r="G52" i="21"/>
  <c r="H52" i="21" s="1"/>
  <c r="G53" i="21"/>
  <c r="H53" i="21" s="1"/>
  <c r="E4" i="67"/>
  <c r="C26" i="46"/>
  <c r="B2" i="46" s="1"/>
  <c r="D77" i="9"/>
  <c r="N75" i="9" s="1"/>
  <c r="B7" i="67"/>
  <c r="E7" i="67"/>
  <c r="M6" i="1" l="1"/>
  <c r="O6" i="1" s="1"/>
  <c r="L7" i="1"/>
  <c r="M7" i="1" s="1"/>
  <c r="H13" i="39"/>
  <c r="J13" i="39"/>
  <c r="F13" i="39"/>
  <c r="AB40" i="39"/>
  <c r="U40" i="39"/>
  <c r="AA40" i="39"/>
  <c r="S40" i="39"/>
  <c r="AC40" i="39"/>
  <c r="W40" i="39"/>
  <c r="N65" i="40"/>
  <c r="N67" i="40" s="1"/>
  <c r="J9" i="40" s="1"/>
  <c r="M67" i="40"/>
  <c r="H9" i="40" s="1"/>
  <c r="M70" i="39"/>
  <c r="L72" i="39"/>
  <c r="C19" i="15"/>
  <c r="C20" i="15" s="1"/>
  <c r="R27" i="6"/>
  <c r="R6" i="1"/>
  <c r="R16" i="1" s="1"/>
  <c r="C21" i="44"/>
  <c r="C22" i="44" s="1"/>
  <c r="C25" i="44" s="1"/>
  <c r="R39" i="35"/>
  <c r="E38" i="35"/>
  <c r="I43" i="35" s="1"/>
  <c r="J43" i="35" s="1"/>
  <c r="I42" i="35"/>
  <c r="J42" i="35" s="1"/>
  <c r="E3" i="67"/>
  <c r="B2" i="67"/>
  <c r="D4" i="46"/>
  <c r="B3" i="46"/>
  <c r="B4" i="46"/>
  <c r="M16" i="1" l="1"/>
  <c r="C15" i="43"/>
  <c r="P6" i="1"/>
  <c r="O7" i="1"/>
  <c r="O16" i="1" s="1"/>
  <c r="N16" i="1"/>
  <c r="C29" i="43" s="1"/>
  <c r="L16" i="1"/>
  <c r="C13" i="43"/>
  <c r="AC13" i="39"/>
  <c r="W13" i="39"/>
  <c r="AA13" i="39"/>
  <c r="S13" i="39"/>
  <c r="AB13" i="39"/>
  <c r="U13" i="39"/>
  <c r="U9" i="40"/>
  <c r="AB9" i="40"/>
  <c r="T44" i="40" s="1"/>
  <c r="G44" i="40" s="1"/>
  <c r="F9" i="40"/>
  <c r="M72" i="39"/>
  <c r="N70" i="39"/>
  <c r="N72" i="39" s="1"/>
  <c r="F9" i="39" s="1"/>
  <c r="AC9" i="40"/>
  <c r="V44" i="40" s="1"/>
  <c r="I44" i="40" s="1"/>
  <c r="I48" i="40" s="1"/>
  <c r="J48" i="40" s="1"/>
  <c r="W9" i="40"/>
  <c r="C23" i="15"/>
  <c r="C26" i="15"/>
  <c r="C28" i="44"/>
  <c r="C31" i="44" s="1"/>
  <c r="E43" i="35"/>
  <c r="F43" i="35" s="1"/>
  <c r="E42" i="35"/>
  <c r="F42" i="35" s="1"/>
  <c r="C38" i="35"/>
  <c r="C39" i="35"/>
  <c r="B3" i="35" s="1"/>
  <c r="B2" i="35" s="1"/>
  <c r="B3" i="67"/>
  <c r="B4" i="67"/>
  <c r="P7" i="1" l="1"/>
  <c r="P16" i="1" s="1"/>
  <c r="C13" i="12" s="1"/>
  <c r="C17" i="12" s="1"/>
  <c r="C17" i="43"/>
  <c r="C14" i="43"/>
  <c r="S9" i="39"/>
  <c r="AA9" i="39"/>
  <c r="R49" i="39" s="1"/>
  <c r="J9" i="39"/>
  <c r="H9" i="39"/>
  <c r="G49" i="40"/>
  <c r="H49" i="40" s="1"/>
  <c r="G48" i="40"/>
  <c r="H48" i="40" s="1"/>
  <c r="S9" i="40"/>
  <c r="AA9" i="40"/>
  <c r="R44" i="40" s="1"/>
  <c r="C29" i="15"/>
  <c r="J14" i="15" s="1"/>
  <c r="J22" i="15" s="1"/>
  <c r="C15" i="44"/>
  <c r="Q51" i="44"/>
  <c r="J21" i="44"/>
  <c r="J19" i="44" s="1"/>
  <c r="C35" i="44"/>
  <c r="C33" i="44" s="1"/>
  <c r="C38" i="44"/>
  <c r="J16" i="44"/>
  <c r="C14" i="12" l="1"/>
  <c r="C15" i="12"/>
  <c r="C18" i="12" s="1"/>
  <c r="C18" i="43"/>
  <c r="C19" i="43" s="1"/>
  <c r="C25" i="43" s="1"/>
  <c r="C24" i="43" s="1"/>
  <c r="R45" i="40"/>
  <c r="E44" i="40"/>
  <c r="U9" i="39"/>
  <c r="AB9" i="39"/>
  <c r="T49" i="39" s="1"/>
  <c r="G49" i="39" s="1"/>
  <c r="E49" i="39"/>
  <c r="W9" i="39"/>
  <c r="AC9" i="39"/>
  <c r="V49" i="39" s="1"/>
  <c r="I49" i="39" s="1"/>
  <c r="J13" i="15"/>
  <c r="J23" i="15" s="1"/>
  <c r="C13" i="15"/>
  <c r="C37" i="15" s="1"/>
  <c r="C36" i="15"/>
  <c r="Q50" i="15"/>
  <c r="J59" i="15"/>
  <c r="J60" i="15" s="1"/>
  <c r="Q49" i="15" s="1"/>
  <c r="C56" i="15"/>
  <c r="C63" i="15" s="1"/>
  <c r="J19" i="15"/>
  <c r="J17" i="15" s="1"/>
  <c r="C33" i="15"/>
  <c r="C31" i="15" s="1"/>
  <c r="J24" i="44"/>
  <c r="J15" i="44"/>
  <c r="J25" i="44" s="1"/>
  <c r="Q72" i="44"/>
  <c r="C39" i="44"/>
  <c r="C32" i="44" s="1"/>
  <c r="C42" i="44" s="1"/>
  <c r="C43" i="44"/>
  <c r="J35" i="15" l="1"/>
  <c r="C22" i="43"/>
  <c r="C21" i="43" s="1"/>
  <c r="C28" i="43" s="1"/>
  <c r="C30" i="43" s="1"/>
  <c r="C32" i="43" s="1"/>
  <c r="B2" i="43" s="1"/>
  <c r="C23" i="12"/>
  <c r="C35" i="12" s="1"/>
  <c r="C33" i="12" s="1"/>
  <c r="I53" i="39"/>
  <c r="J53" i="39" s="1"/>
  <c r="I54" i="39"/>
  <c r="J54" i="39" s="1"/>
  <c r="R50" i="39"/>
  <c r="G53" i="39"/>
  <c r="H53" i="39" s="1"/>
  <c r="G54" i="39"/>
  <c r="H54" i="39" s="1"/>
  <c r="I49" i="40"/>
  <c r="J49" i="40" s="1"/>
  <c r="E49" i="40"/>
  <c r="F49" i="40" s="1"/>
  <c r="E48" i="40"/>
  <c r="F48" i="40" s="1"/>
  <c r="E54" i="39"/>
  <c r="F54" i="39" s="1"/>
  <c r="E53" i="39"/>
  <c r="F53" i="39" s="1"/>
  <c r="C45" i="40"/>
  <c r="C44" i="40"/>
  <c r="C55" i="15"/>
  <c r="C64" i="15" s="1"/>
  <c r="C60" i="15"/>
  <c r="C58" i="15" s="1"/>
  <c r="J16" i="15"/>
  <c r="J25" i="15" s="1"/>
  <c r="C30" i="15"/>
  <c r="C39" i="15" s="1"/>
  <c r="C40" i="15" s="1"/>
  <c r="L46" i="15"/>
  <c r="Q71" i="15"/>
  <c r="Q71" i="44"/>
  <c r="Q70" i="44" s="1"/>
  <c r="C44" i="44"/>
  <c r="C45" i="44" s="1"/>
  <c r="J18" i="44"/>
  <c r="J27" i="44" s="1"/>
  <c r="L51" i="15"/>
  <c r="C28" i="12" l="1"/>
  <c r="C26" i="12" s="1"/>
  <c r="C31" i="12" s="1"/>
  <c r="C30" i="12" s="1"/>
  <c r="C36" i="12" s="1"/>
  <c r="B2" i="12" s="1"/>
  <c r="B3" i="12" s="1"/>
  <c r="B4" i="43"/>
  <c r="B3" i="43"/>
  <c r="B5" i="43"/>
  <c r="B55" i="40"/>
  <c r="F55" i="40" s="1"/>
  <c r="B57" i="40"/>
  <c r="F57" i="40" s="1"/>
  <c r="B61" i="40"/>
  <c r="F61" i="40" s="1"/>
  <c r="B62" i="40"/>
  <c r="F62" i="40" s="1"/>
  <c r="F63" i="40"/>
  <c r="B2" i="40" s="1"/>
  <c r="B58" i="40"/>
  <c r="F58" i="40" s="1"/>
  <c r="B56" i="40"/>
  <c r="F56" i="40" s="1"/>
  <c r="B59" i="40"/>
  <c r="F59" i="40" s="1"/>
  <c r="B53" i="40"/>
  <c r="F53" i="40" s="1"/>
  <c r="B60" i="40"/>
  <c r="F60" i="40" s="1"/>
  <c r="B54" i="40"/>
  <c r="F54" i="40" s="1"/>
  <c r="C49" i="39"/>
  <c r="C50" i="39"/>
  <c r="C57" i="15"/>
  <c r="C66" i="15" s="1"/>
  <c r="C67" i="15" s="1"/>
  <c r="C70" i="15" s="1"/>
  <c r="J39" i="15"/>
  <c r="J40" i="15" s="1"/>
  <c r="Q68" i="15"/>
  <c r="L57" i="15"/>
  <c r="L60" i="15" s="1"/>
  <c r="Q70" i="15"/>
  <c r="Q69" i="15" s="1"/>
  <c r="Q57" i="15"/>
  <c r="B2" i="15"/>
  <c r="B3" i="15" s="1"/>
  <c r="Q48" i="15"/>
  <c r="Q54" i="15" s="1"/>
  <c r="Q66" i="15"/>
  <c r="C43" i="15"/>
  <c r="J42" i="15"/>
  <c r="J43" i="15" s="1"/>
  <c r="L52" i="44"/>
  <c r="B2" i="44"/>
  <c r="C19" i="9"/>
  <c r="C20" i="9"/>
  <c r="L43" i="9" l="1"/>
  <c r="B4" i="12"/>
  <c r="B5" i="12"/>
  <c r="B65" i="39"/>
  <c r="F65" i="39" s="1"/>
  <c r="B60" i="39"/>
  <c r="F60" i="39" s="1"/>
  <c r="B63" i="39"/>
  <c r="F63" i="39" s="1"/>
  <c r="B67" i="39"/>
  <c r="F67" i="39" s="1"/>
  <c r="B58" i="39"/>
  <c r="F58" i="39" s="1"/>
  <c r="B61" i="39"/>
  <c r="F61" i="39" s="1"/>
  <c r="B59" i="39"/>
  <c r="F59" i="39" s="1"/>
  <c r="B66" i="39"/>
  <c r="F66" i="39" s="1"/>
  <c r="B62" i="39"/>
  <c r="F62" i="39" s="1"/>
  <c r="B64" i="39"/>
  <c r="F64" i="39" s="1"/>
  <c r="B5" i="40"/>
  <c r="B4" i="40"/>
  <c r="B3" i="40"/>
  <c r="C46" i="15"/>
  <c r="Q67" i="15"/>
  <c r="Q76" i="15" s="1"/>
  <c r="Q58" i="15"/>
  <c r="Q63" i="15" s="1"/>
  <c r="Q69" i="44"/>
  <c r="L58" i="44"/>
  <c r="L61" i="44" s="1"/>
  <c r="B3" i="44"/>
  <c r="B4" i="44"/>
  <c r="B5" i="44"/>
  <c r="C21" i="9"/>
  <c r="F68" i="39" l="1"/>
  <c r="B2" i="39" s="1"/>
  <c r="Q59" i="44"/>
  <c r="Q64" i="44" s="1"/>
  <c r="Q68" i="44"/>
  <c r="Q77" i="44" s="1"/>
  <c r="D19" i="9"/>
  <c r="L44" i="9" l="1"/>
  <c r="G19" i="9"/>
  <c r="D22" i="9"/>
  <c r="B4" i="39"/>
  <c r="B5" i="39"/>
  <c r="B3" i="39"/>
  <c r="D20" i="9"/>
  <c r="D21" i="9"/>
  <c r="G20" i="9" l="1"/>
  <c r="G21" i="9"/>
  <c r="G22" i="9"/>
  <c r="C32" i="9"/>
  <c r="N43" i="9"/>
  <c r="O43" i="9" l="1"/>
  <c r="O38" i="9"/>
  <c r="C34" i="9"/>
  <c r="C35" i="9"/>
  <c r="F42" i="9" s="1"/>
  <c r="C42" i="9"/>
  <c r="C33" i="9"/>
  <c r="K26" i="9" l="1"/>
  <c r="K25" i="9"/>
  <c r="D42" i="9"/>
  <c r="Q5" i="54" s="1"/>
  <c r="B47" i="63" s="1"/>
  <c r="N38" i="9"/>
  <c r="K28" i="9" s="1"/>
  <c r="D14" i="66"/>
  <c r="R5" i="54"/>
  <c r="B48" i="63" s="1"/>
  <c r="N68" i="9"/>
  <c r="D63" i="9"/>
  <c r="E42" i="9"/>
  <c r="P5" i="54" s="1"/>
  <c r="B46" i="63" s="1"/>
  <c r="M38" i="9"/>
  <c r="K27" i="9" s="1"/>
  <c r="B5" i="66" l="1"/>
  <c r="E14" i="66"/>
  <c r="F14" i="66"/>
  <c r="D73" i="9"/>
  <c r="N73" i="9" s="1"/>
  <c r="C103" i="9"/>
  <c r="C111" i="9"/>
  <c r="C104" i="9" s="1"/>
  <c r="D70" i="9"/>
  <c r="C96" i="9"/>
  <c r="C91" i="9" s="1"/>
  <c r="C90" i="9"/>
  <c r="C82" i="9"/>
  <c r="C81" i="9" s="1"/>
  <c r="C85" i="9" s="1"/>
  <c r="C86" i="9" s="1"/>
  <c r="D72" i="9" s="1"/>
  <c r="D71" i="9"/>
  <c r="D66" i="9" s="1"/>
  <c r="N72" i="9" s="1"/>
  <c r="C97" i="9" l="1"/>
  <c r="C98" i="9" s="1"/>
  <c r="E98" i="9" s="1"/>
  <c r="E99" i="9" s="1"/>
  <c r="C113" i="9"/>
  <c r="C114" i="9" s="1"/>
  <c r="E114" i="9" s="1"/>
  <c r="E115" i="9" s="1"/>
  <c r="D5" i="66"/>
  <c r="C5" i="66"/>
  <c r="C115" i="9" l="1"/>
  <c r="D76" i="9" s="1"/>
  <c r="D74" i="9" s="1"/>
  <c r="N74" i="9" s="1"/>
  <c r="O77" i="9" s="1"/>
  <c r="C99" i="9"/>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<sst xmlns="http://schemas.openxmlformats.org/spreadsheetml/2006/main" count="7662" uniqueCount="3218">
  <si>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</si>
  <si>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</si>
  <si>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</si>
  <si>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</si>
  <si>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</si>
  <si>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</si>
  <si>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</si>
  <si>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</si>
  <si>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</si>
  <si>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</si>
  <si>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</si>
  <si>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</si>
  <si>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</si>
  <si>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</si>
  <si>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</si>
  <si>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</si>
  <si>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</si>
  <si>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</si>
  <si>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</si>
  <si>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</si>
  <si>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</si>
  <si>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</si>
  <si>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</si>
  <si>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</si>
  <si>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</si>
  <si>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</si>
  <si>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</si>
  <si>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</si>
  <si>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</si>
  <si>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</si>
  <si>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</si>
  <si>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</si>
  <si>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</si>
  <si>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</si>
  <si>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</si>
  <si>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</si>
  <si>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</si>
  <si>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</si>
  <si>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</si>
  <si>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</si>
  <si>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</si>
  <si>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</si>
  <si>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</si>
  <si>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</si>
  <si>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</si>
  <si>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</si>
  <si>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</si>
  <si>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</si>
  <si>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</si>
  <si>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</si>
  <si>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</si>
  <si>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</si>
  <si>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</si>
  <si>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</si>
  <si>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</si>
  <si>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</si>
  <si>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</si>
  <si>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</si>
  <si>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</si>
  <si>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</si>
  <si>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</si>
  <si>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</si>
  <si>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</si>
  <si>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</si>
  <si>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</si>
  <si>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</si>
  <si>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</si>
  <si>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</si>
  <si>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</si>
  <si>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</si>
  <si>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</si>
  <si>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</si>
  <si>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</si>
  <si>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</si>
  <si>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</si>
  <si>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</si>
  <si>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</si>
  <si>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</si>
  <si>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</si>
  <si>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</si>
  <si>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</si>
  <si>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</si>
  <si>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</si>
  <si>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</si>
  <si>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</si>
  <si>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</si>
  <si>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</si>
  <si>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</si>
  <si>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</si>
  <si>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</si>
  <si>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</si>
  <si>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</si>
  <si>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</si>
  <si>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</si>
  <si>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</si>
  <si>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</si>
  <si>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</si>
  <si>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</si>
  <si>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</si>
  <si>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</si>
  <si>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</si>
  <si>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</si>
  <si>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</si>
  <si>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</si>
  <si>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</si>
  <si>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</si>
  <si>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</si>
  <si>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</si>
  <si>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</si>
  <si>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</si>
  <si>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</si>
  <si>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</si>
  <si>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</si>
  <si>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</si>
  <si>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</si>
  <si>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</si>
  <si>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</si>
  <si>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</si>
  <si>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</si>
  <si>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</si>
  <si>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</si>
  <si>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</si>
  <si>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</si>
  <si>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</si>
  <si>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</si>
  <si>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</si>
  <si>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</si>
  <si>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</si>
  <si>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</si>
  <si>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</si>
  <si>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</si>
  <si>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</si>
  <si>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</si>
  <si>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</si>
  <si>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</si>
  <si>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</si>
  <si>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</si>
  <si>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</si>
  <si>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</si>
  <si>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</si>
  <si>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</si>
  <si>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</si>
  <si>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</si>
  <si>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</si>
  <si>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</si>
  <si>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</si>
  <si>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</si>
  <si>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</si>
  <si>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</si>
  <si>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</si>
  <si>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</si>
  <si>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</si>
  <si>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</si>
  <si>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</si>
  <si>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</si>
  <si>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</si>
  <si>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</si>
  <si>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</si>
  <si>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</si>
  <si>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</si>
  <si>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</si>
  <si>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</si>
  <si>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</si>
  <si>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</si>
  <si>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</si>
  <si>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</si>
  <si>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</si>
  <si>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</si>
  <si>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</si>
  <si>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</si>
  <si>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</si>
  <si>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</si>
  <si>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</si>
  <si>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</si>
  <si>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</si>
  <si>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</si>
  <si>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</si>
  <si>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</si>
  <si>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</si>
  <si>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</si>
  <si>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</si>
  <si>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</si>
  <si>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</si>
  <si>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</si>
  <si>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</si>
  <si>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</si>
  <si>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</si>
  <si>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</si>
  <si>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</si>
  <si>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</si>
  <si>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</si>
  <si>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</si>
  <si>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</si>
  <si>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</si>
  <si>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</si>
  <si>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</si>
  <si>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</si>
  <si>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</si>
  <si>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</si>
  <si>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</si>
  <si>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</si>
  <si>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</si>
  <si>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</si>
  <si>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</si>
  <si>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</si>
  <si>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</si>
  <si>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</si>
  <si>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</si>
  <si>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</si>
  <si>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</si>
  <si>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</si>
  <si>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</si>
  <si>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</si>
  <si>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</si>
  <si>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</si>
  <si>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</si>
  <si>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</si>
  <si>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</si>
  <si>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</si>
  <si>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</si>
  <si>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</si>
  <si>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</si>
  <si>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</si>
  <si>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</si>
  <si>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</si>
  <si>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</si>
  <si>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</si>
  <si>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</si>
  <si>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</si>
  <si>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</si>
  <si>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</si>
  <si>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</si>
  <si>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</si>
  <si>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</si>
  <si>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</si>
  <si>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</si>
  <si>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</si>
  <si>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</si>
  <si>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</si>
  <si>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</si>
  <si>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</si>
  <si>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</si>
  <si>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</si>
  <si>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</si>
  <si>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</si>
  <si>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</si>
  <si>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</si>
  <si>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</si>
  <si>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</si>
  <si>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</si>
  <si>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</si>
  <si>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</si>
  <si>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</si>
  <si>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</si>
  <si>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</si>
  <si>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</si>
  <si>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</si>
  <si>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</si>
  <si>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</si>
  <si>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</si>
  <si>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</si>
  <si>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</si>
  <si>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</si>
  <si>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</si>
  <si>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</si>
  <si>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</si>
  <si>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</si>
  <si>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</si>
  <si>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</si>
  <si>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</si>
  <si>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</si>
  <si>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</si>
  <si>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</si>
  <si>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</si>
  <si>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</si>
  <si>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</si>
  <si>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</si>
  <si>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</si>
  <si>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</si>
  <si>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</si>
  <si>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</si>
  <si>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</si>
  <si>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</si>
  <si>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</si>
  <si>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</si>
  <si>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</si>
  <si>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</si>
  <si>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</si>
  <si>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</si>
  <si>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</si>
  <si>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</si>
  <si>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</si>
  <si>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</si>
  <si>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</si>
  <si>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</si>
  <si>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</si>
  <si>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</si>
  <si>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</si>
  <si>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</si>
  <si>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</si>
  <si>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</si>
  <si>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</si>
  <si>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</si>
  <si>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</si>
  <si>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</si>
  <si>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</si>
  <si>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</si>
  <si>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</si>
  <si>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</si>
  <si>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</si>
  <si>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</si>
  <si>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</si>
  <si>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</si>
  <si>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</si>
  <si>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</si>
  <si>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</si>
  <si>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</si>
  <si>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</si>
  <si>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</si>
  <si>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</si>
  <si>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</si>
  <si>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</si>
  <si>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</si>
  <si>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</si>
  <si>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</si>
  <si>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</si>
  <si>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</si>
  <si>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</si>
  <si>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</si>
  <si>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</si>
  <si>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</si>
  <si>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</si>
  <si>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</si>
  <si>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</si>
  <si>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</si>
  <si>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</si>
  <si>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</si>
  <si>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</si>
  <si>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</si>
  <si>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</si>
  <si>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</si>
  <si>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</si>
  <si>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</si>
  <si>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</si>
  <si>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</si>
  <si>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</si>
  <si>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</si>
  <si>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</si>
  <si>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</si>
  <si>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</si>
  <si>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</si>
  <si>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</si>
  <si>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</si>
  <si>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</si>
  <si>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</si>
  <si>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</si>
  <si>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</si>
  <si>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</si>
  <si>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</si>
  <si>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</si>
  <si>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</si>
  <si>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</si>
  <si>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</si>
  <si>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</si>
  <si>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</si>
  <si>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</si>
  <si>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</si>
  <si>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</si>
  <si>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</si>
  <si>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</si>
  <si>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</si>
  <si>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</si>
  <si>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</si>
  <si>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</si>
  <si>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</si>
  <si>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</si>
  <si>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</si>
  <si>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</si>
  <si>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</si>
  <si>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</si>
  <si>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</si>
  <si>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</si>
  <si>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</si>
  <si>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</si>
  <si>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</si>
  <si>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</si>
  <si>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</si>
  <si>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</si>
  <si>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</si>
  <si>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</si>
  <si>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</si>
  <si>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</si>
  <si>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</si>
  <si>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</si>
  <si>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</si>
  <si>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</si>
  <si>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</si>
  <si>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</si>
  <si>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</si>
  <si>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</si>
  <si>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</si>
  <si>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</si>
  <si>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</si>
  <si>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</si>
  <si>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</si>
  <si>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</si>
  <si>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</si>
  <si>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</si>
  <si>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</si>
  <si>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</si>
  <si>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</si>
  <si>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</si>
  <si>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</si>
  <si>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</si>
  <si>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</si>
  <si>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</si>
  <si>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</si>
  <si>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</si>
  <si>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</si>
  <si>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</si>
  <si>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</si>
  <si>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</si>
  <si>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</si>
  <si>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</si>
  <si>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</si>
  <si>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</si>
  <si>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</si>
  <si>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</si>
  <si>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</si>
  <si>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</si>
  <si>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</si>
  <si>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</si>
  <si>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</si>
  <si>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</si>
  <si>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</si>
  <si>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</si>
  <si>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</si>
  <si>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</si>
  <si>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</si>
  <si>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</si>
  <si>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</si>
  <si>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</si>
  <si>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</si>
  <si>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</si>
  <si>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</si>
  <si>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</si>
  <si>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</si>
  <si>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</si>
  <si>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</si>
  <si>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</si>
  <si>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</si>
  <si>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</si>
  <si>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</si>
  <si>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</si>
  <si>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</si>
  <si>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</si>
  <si>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</si>
  <si>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</si>
  <si>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</si>
  <si>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</si>
  <si>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</si>
  <si>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</si>
  <si>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</si>
  <si>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</si>
  <si>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</si>
  <si>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</si>
  <si>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</si>
  <si>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</si>
  <si>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</si>
  <si>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</si>
  <si>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</si>
  <si>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</si>
  <si>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</si>
  <si>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</si>
  <si>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</si>
  <si>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</si>
  <si>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</si>
  <si>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</si>
  <si>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</si>
  <si>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</si>
  <si>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</si>
  <si>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</si>
  <si>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</si>
  <si>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</si>
  <si>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</si>
  <si>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</si>
  <si>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</si>
  <si>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</si>
  <si>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</si>
  <si>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</si>
  <si>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</si>
  <si>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</si>
  <si>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</si>
  <si>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</si>
  <si>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</si>
  <si>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</si>
  <si>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</si>
  <si>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</si>
  <si>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</si>
  <si>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</si>
  <si>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</si>
  <si>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</si>
  <si>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</si>
  <si>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</si>
  <si>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</si>
  <si>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</si>
  <si>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</si>
  <si>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</si>
  <si>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</si>
  <si>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</si>
  <si>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</si>
  <si>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</si>
  <si>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</si>
  <si>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</si>
  <si>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</si>
  <si>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</si>
  <si>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</si>
  <si>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</si>
  <si>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</si>
  <si>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</si>
  <si>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</si>
  <si>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</si>
  <si>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</si>
  <si>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</si>
  <si>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</si>
  <si>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</si>
  <si>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</si>
  <si>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</si>
  <si>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</si>
  <si>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</si>
  <si>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</si>
  <si>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</si>
  <si>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</si>
  <si>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</si>
  <si>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</si>
  <si>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</si>
  <si>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</si>
  <si>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</si>
  <si>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</si>
  <si>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</si>
  <si>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</si>
  <si>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</si>
  <si>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</si>
  <si>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</si>
  <si>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</si>
  <si>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</si>
  <si>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</si>
  <si>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</si>
  <si>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</si>
  <si>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</si>
  <si>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</si>
  <si>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</si>
  <si>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</si>
  <si>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</si>
  <si>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</si>
  <si>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</si>
  <si>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</si>
  <si>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</si>
  <si>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</si>
  <si>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</si>
  <si>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</si>
  <si>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</si>
  <si>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</si>
  <si>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</si>
  <si>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</si>
  <si>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</si>
  <si>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</si>
  <si>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</si>
  <si>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</si>
  <si>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</si>
  <si>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</si>
  <si>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</si>
  <si>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</si>
  <si>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</si>
  <si>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</si>
  <si>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</si>
  <si>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</si>
  <si>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</si>
  <si>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</si>
  <si>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</si>
  <si>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</si>
  <si>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</si>
  <si>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</si>
  <si>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</si>
  <si>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</si>
  <si>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</si>
  <si>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</si>
  <si>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</si>
  <si>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</si>
  <si>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</si>
  <si>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</si>
  <si>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</si>
  <si>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</si>
  <si>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</si>
  <si>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</si>
  <si>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</si>
  <si>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</si>
  <si>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</si>
  <si>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</si>
  <si>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</si>
  <si>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</si>
  <si>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</si>
  <si>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</si>
  <si>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</si>
  <si>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</si>
  <si>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</si>
  <si>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</si>
  <si>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</si>
  <si>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</si>
  <si>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</si>
  <si>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</si>
  <si>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</si>
  <si>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</si>
  <si>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</si>
  <si>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</si>
  <si>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</si>
  <si>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</si>
  <si>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</si>
  <si>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</si>
  <si>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</si>
  <si>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</si>
  <si>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</si>
  <si>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</si>
  <si>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</si>
  <si>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</si>
  <si>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</si>
  <si>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</si>
  <si>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</si>
  <si>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</si>
  <si>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</si>
  <si>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</si>
  <si>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</si>
  <si>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</si>
  <si>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</si>
  <si>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</si>
  <si>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</si>
  <si>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</si>
  <si>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</si>
  <si>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</si>
  <si>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</si>
  <si>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</si>
  <si>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</si>
  <si>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</si>
  <si>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</si>
  <si>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</si>
  <si>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</si>
  <si>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</si>
  <si>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</si>
  <si>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</si>
  <si>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</si>
  <si>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</si>
  <si>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</si>
  <si>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</si>
  <si>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</si>
  <si>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</si>
  <si>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</si>
  <si>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</si>
  <si>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</si>
  <si>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</si>
  <si>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</si>
  <si>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</si>
  <si>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</si>
  <si>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</si>
  <si>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</si>
  <si>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</si>
  <si>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</si>
  <si>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</si>
  <si>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</si>
  <si>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</si>
  <si>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</si>
  <si>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</si>
  <si>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</si>
  <si>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</si>
  <si>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</si>
  <si>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</si>
  <si>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</si>
  <si>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</si>
  <si>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</si>
  <si>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</si>
  <si>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</si>
  <si>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</si>
  <si>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</si>
  <si>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</si>
  <si>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</si>
  <si>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</si>
  <si>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</si>
  <si>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</si>
  <si>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</si>
  <si>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</si>
  <si>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</si>
  <si>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</si>
  <si>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</si>
  <si>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</si>
  <si>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</si>
  <si>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</si>
  <si>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</si>
  <si>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</si>
  <si>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</si>
  <si>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</si>
  <si>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</si>
  <si>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</si>
  <si>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</si>
  <si>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</si>
  <si>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</si>
  <si>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</si>
  <si>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</si>
  <si>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</si>
  <si>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</si>
  <si>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</si>
  <si>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</si>
  <si>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</si>
  <si>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</si>
  <si>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</si>
  <si>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</si>
  <si>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</si>
  <si>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</si>
  <si>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</si>
  <si>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</si>
  <si>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</si>
  <si>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</si>
  <si>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</si>
  <si>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</si>
  <si>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</si>
  <si>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</si>
  <si>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</si>
  <si>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</si>
  <si>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</si>
  <si>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</si>
  <si>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</si>
  <si>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</si>
  <si>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</si>
  <si>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</si>
  <si>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</si>
  <si>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</si>
  <si>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</si>
  <si>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</si>
  <si>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</si>
  <si>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</si>
  <si>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</si>
  <si>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</si>
  <si>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</si>
  <si>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</si>
  <si>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</si>
  <si>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</si>
  <si>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</si>
  <si>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</si>
  <si>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</si>
  <si>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</si>
  <si>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</si>
  <si>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</si>
  <si>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</si>
  <si>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</si>
  <si>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</si>
  <si>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</si>
  <si>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</si>
  <si>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</si>
  <si>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</si>
  <si>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</si>
  <si>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</si>
  <si>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</si>
  <si>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</si>
  <si>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</si>
  <si>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</si>
  <si>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</si>
  <si>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</si>
  <si>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</si>
  <si>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</si>
  <si>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</si>
  <si>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</si>
  <si>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</si>
  <si>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</si>
  <si>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</si>
  <si>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</si>
  <si>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</si>
  <si>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</si>
  <si>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</si>
  <si>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</si>
  <si>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</si>
  <si>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</si>
  <si>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</si>
  <si>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</si>
  <si>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</si>
  <si>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</si>
  <si>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</si>
  <si>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</si>
  <si>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</si>
  <si>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</si>
  <si>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</si>
  <si>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</si>
  <si>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</si>
  <si>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</si>
  <si>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</si>
  <si>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</si>
  <si>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</si>
  <si>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</si>
  <si>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</si>
  <si>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</si>
  <si>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</si>
  <si>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</si>
  <si>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</si>
  <si>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</si>
  <si>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</si>
  <si>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</si>
  <si>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</si>
  <si>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</si>
  <si>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</si>
  <si>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</si>
  <si>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</si>
  <si>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</si>
  <si>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</si>
  <si>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</si>
  <si>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</si>
  <si>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</si>
  <si>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</si>
  <si>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</si>
  <si>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</si>
  <si>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</si>
  <si>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</si>
  <si>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</si>
  <si>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</si>
  <si>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</si>
  <si>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</si>
  <si>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</si>
  <si>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</si>
  <si>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</si>
  <si>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</si>
  <si>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</si>
  <si>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</si>
  <si>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</si>
  <si>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</si>
  <si>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</si>
  <si>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</si>
  <si>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</si>
  <si>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</si>
  <si>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</si>
  <si>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</si>
  <si>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</si>
  <si>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</si>
  <si>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</si>
  <si>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</si>
  <si>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</si>
  <si>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</si>
  <si>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</si>
  <si>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</si>
  <si>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</si>
  <si>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</si>
  <si>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</si>
  <si>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</si>
  <si>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</si>
  <si>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</si>
  <si>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</si>
  <si>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</si>
  <si>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</si>
  <si>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</si>
  <si>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</si>
  <si>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</si>
  <si>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</si>
  <si>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</si>
  <si>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</si>
  <si>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</si>
  <si>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</si>
  <si>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</si>
  <si>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</si>
  <si>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</si>
  <si>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</si>
  <si>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</si>
  <si>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</si>
  <si>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</si>
  <si>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</si>
  <si>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</si>
  <si>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</si>
  <si>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</si>
  <si>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</si>
  <si>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</si>
  <si>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</si>
  <si>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</si>
  <si>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</si>
  <si>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</si>
  <si>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</si>
  <si>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</si>
  <si>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</si>
  <si>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</si>
  <si>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</si>
  <si>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</si>
  <si>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</si>
  <si>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</si>
  <si>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</si>
  <si>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</si>
  <si>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</si>
  <si>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</si>
  <si>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</si>
  <si>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</si>
  <si>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</si>
  <si>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</si>
  <si>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</si>
  <si>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</si>
  <si>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</si>
  <si>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</si>
  <si>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</si>
  <si>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</si>
  <si>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</si>
  <si>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</si>
  <si>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</si>
  <si>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</si>
  <si>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</si>
  <si>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</si>
  <si>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</si>
  <si>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</si>
  <si>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</si>
  <si>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</si>
  <si>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</si>
  <si>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</si>
  <si>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</si>
  <si>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</si>
  <si>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</si>
  <si>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</si>
  <si>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</si>
  <si>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</si>
  <si>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</si>
  <si>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</si>
  <si>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</si>
  <si>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</si>
  <si>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</si>
  <si>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</si>
  <si>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</si>
  <si>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</si>
  <si>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</si>
  <si>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</si>
  <si>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</si>
  <si>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</si>
  <si>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</si>
  <si>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</si>
  <si>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</si>
  <si>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</si>
  <si>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</si>
  <si>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</si>
  <si>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</si>
  <si>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</si>
  <si>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</si>
  <si>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</si>
  <si>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</si>
  <si>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</si>
  <si>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</si>
  <si>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</si>
  <si>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</si>
  <si>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</si>
  <si>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</si>
  <si>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</si>
  <si>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</si>
  <si>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</si>
  <si>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</si>
  <si>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</si>
  <si>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</si>
  <si>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</si>
  <si>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</si>
  <si>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</si>
  <si>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</si>
  <si>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</si>
  <si>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</si>
  <si>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</si>
  <si>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</si>
  <si>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</si>
  <si>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</si>
  <si>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</si>
  <si>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</si>
  <si>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</si>
  <si>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</si>
  <si>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</si>
  <si>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</si>
  <si>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</si>
  <si>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</si>
  <si>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</si>
  <si>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</si>
  <si>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</si>
  <si>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</si>
  <si>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</si>
  <si>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</si>
  <si>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</si>
  <si>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</si>
  <si>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</si>
  <si>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</si>
  <si>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</si>
  <si>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</si>
  <si>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</si>
  <si>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</si>
  <si>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</si>
  <si>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</si>
  <si>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</si>
  <si>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</si>
  <si>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</si>
  <si>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</si>
  <si>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</si>
  <si>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</si>
  <si>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</si>
  <si>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</si>
  <si>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</si>
  <si>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</si>
  <si>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</si>
  <si>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</si>
  <si>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</si>
  <si>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</si>
  <si>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</si>
  <si>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</si>
  <si>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</si>
  <si>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</si>
  <si>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</si>
  <si>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</si>
  <si>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</si>
  <si>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</si>
  <si>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</si>
  <si>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</si>
  <si>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</si>
  <si>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</si>
  <si>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</si>
  <si>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</si>
  <si>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</si>
  <si>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</si>
  <si>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</si>
  <si>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</si>
  <si>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</si>
  <si>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</si>
  <si>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</si>
  <si>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</si>
  <si>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</si>
  <si>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</si>
  <si>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</si>
  <si>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</si>
  <si>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</si>
  <si>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</si>
  <si>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</si>
  <si>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</si>
  <si>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</si>
  <si>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</si>
  <si>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</si>
  <si>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</si>
  <si>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</si>
  <si>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</si>
  <si>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</si>
  <si>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</si>
  <si>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</si>
  <si>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</si>
  <si>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</si>
  <si>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</si>
  <si>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</si>
  <si>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</si>
  <si>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</si>
  <si>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</si>
  <si>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</si>
  <si>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</si>
  <si>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</si>
  <si>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</si>
  <si>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</si>
  <si>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</si>
  <si>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</si>
  <si>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</si>
  <si>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</si>
  <si>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</si>
  <si>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</si>
  <si>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</si>
  <si>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</si>
  <si>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</si>
  <si>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</si>
  <si>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</si>
  <si>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</si>
  <si>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</si>
  <si>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</si>
  <si>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</si>
  <si>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</si>
  <si>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</si>
  <si>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</si>
  <si>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</si>
  <si>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</si>
  <si>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</si>
  <si>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</si>
  <si>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</si>
  <si>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</si>
  <si>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</si>
  <si>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</si>
  <si>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</si>
  <si>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</si>
  <si>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</si>
  <si>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</si>
  <si>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</si>
  <si>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</si>
  <si>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</si>
  <si>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</si>
  <si>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</si>
  <si>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</si>
  <si>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</si>
  <si>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</si>
  <si>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</si>
  <si>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</si>
  <si>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</si>
  <si>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</si>
  <si>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</si>
  <si>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</si>
  <si>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</si>
  <si>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</si>
  <si>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</si>
  <si>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</si>
  <si>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</si>
  <si>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</si>
  <si>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</si>
  <si>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</si>
  <si>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</si>
  <si>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</si>
  <si>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</si>
  <si>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</si>
  <si>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</si>
  <si>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</si>
  <si>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</si>
  <si>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</si>
  <si>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</si>
  <si>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</si>
  <si>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</si>
  <si>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</si>
  <si>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</si>
  <si>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</si>
  <si>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</si>
  <si>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</si>
  <si>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</si>
  <si>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</si>
  <si>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</si>
  <si>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</si>
  <si>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</si>
  <si>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</si>
  <si>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</si>
  <si>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</si>
  <si>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</si>
  <si>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</si>
  <si>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</si>
  <si>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</si>
  <si>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</si>
  <si>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</si>
  <si>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</si>
  <si>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</si>
  <si>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</si>
  <si>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</si>
  <si>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</si>
  <si>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</si>
  <si>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</si>
  <si>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</si>
  <si>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</si>
  <si>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</si>
  <si>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</si>
  <si>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</si>
  <si>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</si>
  <si>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</si>
  <si>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</si>
  <si>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</si>
  <si>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</si>
  <si>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</si>
  <si>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</si>
  <si>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</si>
  <si>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</si>
  <si>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</si>
  <si>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</si>
  <si>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</si>
  <si>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</si>
  <si>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</si>
  <si>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</si>
  <si>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</si>
  <si>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</si>
  <si>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</si>
  <si>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</si>
  <si>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</si>
  <si>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</si>
  <si>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</si>
  <si>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</si>
  <si>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</si>
  <si>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</si>
  <si>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</si>
  <si>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</si>
  <si>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</si>
  <si>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</si>
  <si>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</si>
  <si>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</si>
  <si>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</si>
  <si>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</si>
  <si>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</si>
  <si>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</si>
  <si>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</si>
  <si>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</si>
  <si>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</si>
  <si>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</si>
  <si>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</si>
  <si>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</si>
  <si>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</si>
  <si>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</si>
  <si>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</si>
  <si>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</si>
  <si>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</si>
  <si>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</si>
  <si>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</si>
  <si>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</si>
  <si>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</si>
  <si>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</si>
  <si>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</si>
  <si>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</si>
  <si>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</si>
  <si>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</si>
  <si>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</si>
  <si>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</si>
  <si>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</si>
  <si>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</si>
  <si>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</si>
  <si>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</si>
  <si>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</si>
  <si>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</si>
  <si>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</si>
  <si>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</si>
  <si>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</si>
  <si>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</si>
  <si>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</si>
  <si>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</si>
  <si>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</si>
  <si>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</si>
  <si>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</si>
  <si>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</si>
  <si>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</si>
  <si>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</si>
  <si>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</si>
  <si>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</si>
  <si>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</si>
  <si>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</si>
  <si>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</si>
  <si>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</si>
  <si>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</si>
  <si>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</si>
  <si>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</si>
  <si>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</si>
  <si>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</si>
  <si>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</si>
  <si>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</si>
  <si>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</si>
  <si>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</si>
  <si>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</si>
  <si>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</si>
  <si>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</si>
  <si>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</si>
  <si>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</si>
  <si>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</si>
  <si>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</si>
  <si>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</si>
  <si>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</si>
  <si>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</si>
  <si>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</si>
  <si>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</si>
  <si>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</si>
  <si>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</si>
  <si>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</si>
  <si>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</si>
  <si>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</si>
  <si>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</si>
  <si>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</si>
  <si>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</si>
  <si>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</si>
  <si>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</si>
  <si>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</si>
  <si>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</si>
  <si>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</si>
  <si>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</si>
  <si>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</si>
  <si>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</si>
  <si>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</si>
  <si>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</si>
  <si>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</si>
  <si>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</si>
  <si>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</si>
  <si>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</si>
  <si>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</si>
  <si>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</si>
  <si>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</si>
  <si>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</si>
  <si>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</si>
  <si>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</si>
  <si>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</si>
  <si>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</si>
  <si>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</si>
  <si>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</si>
  <si>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</si>
  <si>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</si>
  <si>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</si>
  <si>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</si>
  <si>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</si>
  <si>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</si>
  <si>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</si>
  <si>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</si>
  <si>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</si>
  <si>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</si>
  <si>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</si>
  <si>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</si>
  <si>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</si>
  <si>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</si>
  <si>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</si>
  <si>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</si>
  <si>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</si>
  <si>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</si>
  <si>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</si>
  <si>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</si>
  <si>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</si>
  <si>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</si>
  <si>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</si>
  <si>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</si>
  <si>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</si>
  <si>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</si>
  <si>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</si>
  <si>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</si>
  <si>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</si>
  <si>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</si>
  <si>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</si>
  <si>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</si>
  <si>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</si>
  <si>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</si>
  <si>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</si>
  <si>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</si>
  <si>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</si>
  <si>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</si>
  <si>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</si>
  <si>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</si>
  <si>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</si>
  <si>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</si>
  <si>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</si>
  <si>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</si>
  <si>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</si>
  <si>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</si>
  <si>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</si>
  <si>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</si>
  <si>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</si>
  <si>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</si>
  <si>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</si>
  <si>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</si>
  <si>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</si>
  <si>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</si>
  <si>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</si>
  <si>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</si>
  <si>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</si>
  <si>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</si>
  <si>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</si>
  <si>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</si>
  <si>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</si>
  <si>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</si>
  <si>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</si>
  <si>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</si>
  <si>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</si>
  <si>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</si>
  <si>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</si>
  <si>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</si>
  <si>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</si>
  <si>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</si>
  <si>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</si>
  <si>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</si>
  <si>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</si>
  <si>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</si>
  <si>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</si>
  <si>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</si>
  <si>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</si>
  <si>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</si>
  <si>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</si>
  <si>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</si>
  <si>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</si>
  <si>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</si>
  <si>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</si>
  <si>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</si>
  <si>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</si>
  <si>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</si>
  <si>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</si>
  <si>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</si>
  <si>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</si>
  <si>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</si>
  <si>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</si>
  <si>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</si>
  <si>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</si>
  <si>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</si>
  <si>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</si>
  <si>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</si>
  <si>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</si>
  <si>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</si>
  <si>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</si>
  <si>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</si>
  <si>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</si>
  <si>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</si>
  <si>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</si>
  <si>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</si>
  <si>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</si>
  <si>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</si>
  <si>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</si>
  <si>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</si>
  <si>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</si>
  <si>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</si>
  <si>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</si>
  <si>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</si>
  <si>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</si>
  <si>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</si>
  <si>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</si>
  <si>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</si>
  <si>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</si>
  <si>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</si>
  <si>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</si>
  <si>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</si>
  <si>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</si>
  <si>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</si>
  <si>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</si>
  <si>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</si>
  <si>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</si>
  <si>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</si>
  <si>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</si>
  <si>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</si>
  <si>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</si>
  <si>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</si>
  <si>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</si>
  <si>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</si>
  <si>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</si>
  <si>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</si>
  <si>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</si>
  <si>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</si>
  <si>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</si>
  <si>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</si>
  <si>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</si>
  <si>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</si>
  <si>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</si>
  <si>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</si>
  <si>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</si>
  <si>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</si>
  <si>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</si>
  <si>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</si>
  <si>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</si>
  <si>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</si>
  <si>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</si>
  <si>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</si>
  <si>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</si>
  <si>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</si>
  <si>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</si>
  <si>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</si>
  <si>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</si>
  <si>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</si>
  <si>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</si>
  <si>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</si>
  <si>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</si>
  <si>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</si>
  <si>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</si>
  <si>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</si>
  <si>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</si>
  <si>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</si>
  <si>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</si>
  <si>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</si>
  <si>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</si>
  <si>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</si>
  <si>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</si>
  <si>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</si>
  <si>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</si>
  <si>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</si>
  <si>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</si>
  <si>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</si>
  <si>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</si>
  <si>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</si>
  <si>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</si>
  <si>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</si>
  <si>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</si>
  <si>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</si>
  <si>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</si>
  <si>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</si>
  <si>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</si>
  <si>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</si>
  <si>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</si>
  <si>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</si>
  <si>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</si>
  <si>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</si>
  <si>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</si>
  <si>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</si>
  <si>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</si>
  <si>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</si>
  <si>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</si>
  <si>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</si>
  <si>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</si>
  <si>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</si>
  <si>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</si>
  <si>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</si>
  <si>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</si>
  <si>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</si>
  <si>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</si>
  <si>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</si>
  <si>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</si>
  <si>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</si>
  <si>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</si>
  <si>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</si>
  <si>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</si>
  <si>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</si>
  <si>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</si>
  <si>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</si>
  <si>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</si>
  <si>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</si>
  <si>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</si>
  <si>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</si>
  <si>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</si>
  <si>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</si>
  <si>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</si>
  <si>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</si>
  <si>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</si>
  <si>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</si>
  <si>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</si>
  <si>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</si>
  <si>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</si>
  <si>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</si>
  <si>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</si>
  <si>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</si>
  <si>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</si>
  <si>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</si>
  <si>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</si>
  <si>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</si>
  <si>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</si>
  <si>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</si>
  <si>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</si>
  <si>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</si>
  <si>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</si>
  <si>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</si>
  <si>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</si>
  <si>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</si>
  <si>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</si>
  <si>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</si>
  <si>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</si>
  <si>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</si>
  <si>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</si>
  <si>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</si>
  <si>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</si>
  <si>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</si>
  <si>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</si>
  <si>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</si>
  <si>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</si>
  <si>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</si>
  <si>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</si>
  <si>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</si>
  <si>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</si>
  <si>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</si>
  <si>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</si>
  <si>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</si>
  <si>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</si>
  <si>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</si>
  <si>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</si>
  <si>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</si>
  <si>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</si>
  <si>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</si>
  <si>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</si>
  <si>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</si>
  <si>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</si>
  <si>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</si>
  <si>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</si>
  <si>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</si>
  <si>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</si>
  <si>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</si>
  <si>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</si>
  <si>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</si>
  <si>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</si>
  <si>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</si>
  <si>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</si>
  <si>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</si>
  <si>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</si>
  <si>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</si>
  <si>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</si>
  <si>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</si>
  <si>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</si>
  <si>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</si>
  <si>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</si>
  <si>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</si>
  <si>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</si>
  <si>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</si>
  <si>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</si>
  <si>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</si>
  <si>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</si>
  <si>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</si>
  <si>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</si>
  <si>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</si>
  <si>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</si>
  <si>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</si>
  <si>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</si>
  <si>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</si>
  <si>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</si>
  <si>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</si>
  <si>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</si>
  <si>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</si>
  <si>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</si>
  <si>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</si>
  <si>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</si>
  <si>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</si>
  <si>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</si>
  <si>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</si>
  <si>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</si>
  <si>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</si>
  <si>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</si>
  <si>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</si>
  <si>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</si>
  <si>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</si>
  <si>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</si>
  <si>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</si>
  <si>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</si>
  <si>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</si>
  <si>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</si>
  <si>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</si>
  <si>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</si>
  <si>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</si>
  <si>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</si>
  <si>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</si>
  <si>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</si>
  <si>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</si>
  <si>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</si>
  <si>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</si>
  <si>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</si>
  <si>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</si>
  <si>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</si>
  <si>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</si>
  <si>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</si>
  <si>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</si>
  <si>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</si>
  <si>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</si>
  <si>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</si>
  <si>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</si>
  <si>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</si>
  <si>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</si>
  <si>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</si>
  <si>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</si>
  <si>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</si>
  <si>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</si>
  <si>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</si>
  <si>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</si>
  <si>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</si>
  <si>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</si>
  <si>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</si>
  <si>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</si>
  <si>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</si>
  <si>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</si>
  <si>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</si>
  <si>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</si>
  <si>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</si>
  <si>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</si>
  <si>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</si>
  <si>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</si>
  <si>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</si>
  <si>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</si>
  <si>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</si>
  <si>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</si>
  <si>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</si>
  <si>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</si>
  <si>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</si>
  <si>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</si>
  <si>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</si>
  <si>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</si>
  <si>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</si>
  <si>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</si>
  <si>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</si>
  <si>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</si>
  <si>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</si>
  <si>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</si>
  <si>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</si>
  <si>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</si>
  <si>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</si>
  <si>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</si>
  <si>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</si>
  <si>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</si>
  <si>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</si>
  <si>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</si>
  <si>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</si>
  <si>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</si>
  <si>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</si>
  <si>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</si>
  <si>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</si>
  <si>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</si>
  <si>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</si>
  <si>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</si>
  <si>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</si>
  <si>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</si>
  <si>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</si>
  <si>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</si>
  <si>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</si>
  <si>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</si>
  <si>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</si>
  <si>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</si>
  <si>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</si>
  <si>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</si>
  <si>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</si>
  <si>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</si>
  <si>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</si>
  <si>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</si>
  <si>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</si>
  <si>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</si>
  <si>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</si>
  <si>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</si>
  <si>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</si>
  <si>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</si>
  <si>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</si>
  <si>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</si>
  <si>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</si>
  <si>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</si>
  <si>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</si>
  <si>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</si>
  <si>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</si>
  <si>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</si>
  <si>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</si>
  <si>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</si>
  <si>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</si>
  <si>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</si>
  <si>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</si>
  <si>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</si>
  <si>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</si>
  <si>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</si>
  <si>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</si>
  <si>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</si>
  <si>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</si>
  <si>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</si>
  <si>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</si>
  <si>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</si>
  <si>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</si>
  <si>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</si>
  <si>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</si>
  <si>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</si>
  <si>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</si>
  <si>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</si>
  <si>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</si>
  <si>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</si>
  <si>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</si>
  <si>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</si>
  <si>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</si>
  <si>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</si>
  <si>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</si>
  <si>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</si>
  <si>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</si>
  <si>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</si>
  <si>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</si>
  <si>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</si>
  <si>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</si>
  <si>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</si>
  <si>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</si>
  <si>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</si>
  <si>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</si>
  <si>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</si>
  <si>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</si>
  <si>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</si>
  <si>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</si>
  <si>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</si>
  <si>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</si>
  <si>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</si>
  <si>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</si>
  <si>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</si>
  <si>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</si>
  <si>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</si>
  <si>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</si>
  <si>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</si>
  <si>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</si>
  <si>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</si>
  <si>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</si>
  <si>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</si>
  <si>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</si>
  <si>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</si>
  <si>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</si>
  <si>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</si>
  <si>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</si>
  <si>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</si>
  <si>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</si>
  <si>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</si>
  <si>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</si>
  <si>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</si>
  <si>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</si>
  <si>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</si>
  <si>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</si>
  <si>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</si>
  <si>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</si>
  <si>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</si>
  <si>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</si>
  <si>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</si>
  <si>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</si>
  <si>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</si>
  <si>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</si>
  <si>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</si>
  <si>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</si>
  <si>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</si>
  <si>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</si>
  <si>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</si>
  <si>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</si>
  <si>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</si>
  <si>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</si>
  <si>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</si>
  <si>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</si>
  <si>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</si>
  <si>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</si>
  <si>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</si>
  <si>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</si>
  <si>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</si>
  <si>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</si>
  <si>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</si>
  <si>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</si>
  <si>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</si>
  <si>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</si>
  <si>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</si>
  <si>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</si>
  <si>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</si>
  <si>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</si>
  <si>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</si>
  <si>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</si>
  <si>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</si>
  <si>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</si>
  <si>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</si>
  <si>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</si>
  <si>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</si>
  <si>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</si>
  <si>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</si>
  <si>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</si>
  <si>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</si>
  <si>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</si>
  <si>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</si>
  <si>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</si>
  <si>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</si>
  <si>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</si>
  <si>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</si>
  <si>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</si>
  <si>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</si>
  <si>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</si>
  <si>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</si>
  <si>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</si>
  <si>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</si>
  <si>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</si>
  <si>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</si>
  <si>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</si>
  <si>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</si>
  <si>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</si>
  <si>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</si>
  <si>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</si>
  <si>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</si>
  <si>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</si>
  <si>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</si>
  <si>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</si>
  <si>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</si>
  <si>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</si>
  <si>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</si>
  <si>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</si>
  <si>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</si>
  <si>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</si>
  <si>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</si>
  <si>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</si>
  <si>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</si>
  <si>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</si>
  <si>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</si>
  <si>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</si>
  <si>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</si>
  <si>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</si>
  <si>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</si>
  <si>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</si>
  <si>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</si>
  <si>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</si>
  <si>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</si>
  <si>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</si>
  <si>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</si>
  <si>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</si>
  <si>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</si>
  <si>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</si>
  <si>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</si>
  <si>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</si>
  <si>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</si>
  <si>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</si>
  <si>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</si>
  <si>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</si>
  <si>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</si>
  <si>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</si>
  <si>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</si>
  <si>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</si>
  <si>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</si>
  <si>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</si>
  <si>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</si>
  <si>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</si>
  <si>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</si>
  <si>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</si>
  <si>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</si>
  <si>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</si>
  <si>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</si>
  <si>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</si>
  <si>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</si>
  <si>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</si>
  <si>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</si>
  <si>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</si>
  <si>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</si>
  <si>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</si>
  <si>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</si>
  <si>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</si>
  <si>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</si>
  <si>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</si>
  <si>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</si>
  <si>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</si>
  <si>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</si>
  <si>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</si>
  <si>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</si>
  <si>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</si>
  <si>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</si>
  <si>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</si>
  <si>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</si>
  <si>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</si>
  <si>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</si>
  <si>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</si>
  <si>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</si>
  <si>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</si>
  <si>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</si>
  <si>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</si>
  <si>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</si>
  <si>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</si>
  <si>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</si>
  <si>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</si>
  <si>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</si>
  <si>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</si>
  <si>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</si>
  <si>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</si>
  <si>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</si>
  <si>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</si>
  <si>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</si>
  <si>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</si>
  <si>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</si>
  <si>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</si>
  <si>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</si>
  <si>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</si>
  <si>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</si>
  <si>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</si>
  <si>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</si>
  <si>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</si>
  <si>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</si>
  <si>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</si>
  <si>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</si>
  <si>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</si>
  <si>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</si>
  <si>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</si>
  <si>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</si>
  <si>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</si>
  <si>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</si>
  <si>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</si>
  <si>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</si>
  <si>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</si>
  <si>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</si>
  <si>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</si>
  <si>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</si>
  <si>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</si>
  <si>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</si>
  <si>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</si>
  <si>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</si>
  <si>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</si>
  <si>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</si>
  <si>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</si>
  <si>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</si>
  <si>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</si>
  <si>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</si>
  <si>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</si>
  <si>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</si>
  <si>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</si>
  <si>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</si>
  <si>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</si>
  <si>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</si>
  <si>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</si>
  <si>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</si>
  <si>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</si>
  <si>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</si>
  <si>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</si>
  <si>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</si>
  <si>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</si>
  <si>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</si>
  <si>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</si>
  <si>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</si>
  <si>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</si>
  <si>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</si>
  <si>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</si>
  <si>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</si>
  <si>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</si>
  <si>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</si>
  <si>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</si>
  <si>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</si>
  <si>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</si>
  <si>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</si>
  <si>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</si>
  <si>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</si>
  <si>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</si>
  <si>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</si>
  <si>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</si>
  <si>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</si>
  <si>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</si>
  <si>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</si>
  <si>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</si>
  <si>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</si>
  <si>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</si>
  <si>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</si>
  <si>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</si>
  <si>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</si>
  <si>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</si>
  <si>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</si>
  <si>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</si>
  <si>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</si>
  <si>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</si>
  <si>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</si>
  <si>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</si>
  <si>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</si>
  <si>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</si>
  <si>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</si>
  <si>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</si>
  <si>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</si>
  <si>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</si>
  <si>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</si>
  <si>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</si>
  <si>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</si>
  <si>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</si>
  <si>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</si>
  <si>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</si>
  <si>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</si>
  <si>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</si>
  <si>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</si>
  <si>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</si>
  <si>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</si>
  <si>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</si>
  <si>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</si>
  <si>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</si>
  <si>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</si>
  <si>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</si>
  <si>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</si>
  <si>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</si>
  <si>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</si>
  <si>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</si>
  <si>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</si>
  <si>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</si>
  <si>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</si>
  <si>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</si>
  <si>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</si>
  <si>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</si>
  <si>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</si>
  <si>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</si>
  <si>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</si>
  <si>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</si>
  <si>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</si>
  <si>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</si>
  <si>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</si>
  <si>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</si>
  <si>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</si>
  <si>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</si>
  <si>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</si>
  <si>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</si>
  <si>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</si>
  <si>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</si>
  <si>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</si>
  <si>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</si>
  <si>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</si>
  <si>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</si>
  <si>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</si>
  <si>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</si>
  <si>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</si>
  <si>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</si>
  <si>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</si>
  <si>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</si>
  <si>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</si>
  <si>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</si>
  <si>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</si>
  <si>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</si>
  <si>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</si>
  <si>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</si>
  <si>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</si>
  <si>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</si>
  <si>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</si>
  <si>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</si>
  <si>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</si>
  <si>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</si>
  <si>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</si>
  <si>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</si>
  <si>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</si>
  <si>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</si>
  <si>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</si>
  <si>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</si>
  <si>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</si>
  <si>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</si>
  <si>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</si>
  <si>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</si>
  <si>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</si>
  <si>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</si>
  <si>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</si>
  <si>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</si>
  <si>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</si>
  <si>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</si>
  <si>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</si>
  <si>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</si>
  <si>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</si>
  <si>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</si>
  <si>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</si>
  <si>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</si>
  <si>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</si>
  <si>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</si>
  <si>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</si>
  <si>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</si>
  <si>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</si>
  <si>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</si>
  <si>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</si>
  <si>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</si>
  <si>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</si>
  <si>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</si>
  <si>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</si>
  <si>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</si>
  <si>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</si>
  <si>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</si>
  <si>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</si>
  <si>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</si>
  <si>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</si>
  <si>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</si>
  <si>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</si>
  <si>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</si>
  <si>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</si>
  <si>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</si>
  <si>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</si>
  <si>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</si>
  <si>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</si>
  <si>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</si>
  <si>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</si>
  <si>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</si>
  <si>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</si>
  <si>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</si>
  <si>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</si>
  <si>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</si>
  <si>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</si>
  <si>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</si>
  <si>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</si>
  <si>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</si>
  <si>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</si>
  <si>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</si>
  <si>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</si>
  <si>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</si>
  <si>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</si>
  <si>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</si>
  <si>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</si>
  <si>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</si>
  <si>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</si>
  <si>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</si>
  <si>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</si>
  <si>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</si>
  <si>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</si>
  <si>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</si>
  <si>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</si>
  <si>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</si>
  <si>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</si>
  <si>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</si>
  <si>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</si>
  <si>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</si>
  <si>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</si>
  <si>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</si>
  <si>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</si>
  <si>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</si>
  <si>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</si>
  <si>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</si>
  <si>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</si>
  <si>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</si>
  <si>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</si>
  <si>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</si>
  <si>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</si>
  <si>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</si>
  <si>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</si>
  <si>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</si>
  <si>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</si>
  <si>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</si>
  <si>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</si>
  <si>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</si>
  <si>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</si>
  <si>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</si>
  <si>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</si>
  <si>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</si>
  <si>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</si>
  <si>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</si>
  <si>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</si>
  <si>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</si>
  <si>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</si>
  <si>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</si>
  <si>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</si>
  <si>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</si>
  <si>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</si>
  <si>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</si>
  <si>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</si>
  <si>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</si>
  <si>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</si>
  <si>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</si>
  <si>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</si>
  <si>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</si>
  <si>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</si>
  <si>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</si>
  <si>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</si>
  <si>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</si>
  <si>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</si>
  <si>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</si>
  <si>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</si>
  <si>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</si>
  <si>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</si>
  <si>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</si>
  <si>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</si>
  <si>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</si>
  <si>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</si>
  <si>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</si>
  <si>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</si>
  <si>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</si>
  <si>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</si>
  <si>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</si>
  <si>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</si>
  <si>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</si>
  <si>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</si>
  <si>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</si>
  <si>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</si>
  <si>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</si>
  <si>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</si>
  <si>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</si>
  <si>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</si>
  <si>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</si>
  <si>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</si>
  <si>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</si>
  <si>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</si>
  <si>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</si>
  <si>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</si>
  <si>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</si>
  <si>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</si>
  <si>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</si>
  <si>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</si>
  <si>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</si>
  <si>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</si>
  <si>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</si>
  <si>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</si>
  <si>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</si>
  <si>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</si>
  <si>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</si>
  <si>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</si>
  <si>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</si>
  <si>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</si>
  <si>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</si>
  <si>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</si>
  <si>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</si>
  <si>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</si>
  <si>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</si>
  <si>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</si>
  <si>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</si>
  <si>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</si>
  <si>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</si>
  <si>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</si>
  <si>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</si>
  <si>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</si>
  <si>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</si>
  <si>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</si>
  <si>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</si>
  <si>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</si>
  <si>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</si>
  <si>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</si>
  <si>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</si>
  <si>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</si>
  <si>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</si>
  <si>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</si>
  <si>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</si>
  <si>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</si>
  <si>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</si>
  <si>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</si>
  <si>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</si>
  <si>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</si>
  <si>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</si>
  <si>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</si>
  <si>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</si>
  <si>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</si>
  <si>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</si>
  <si>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</si>
  <si>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</si>
  <si>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</si>
  <si>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</si>
  <si>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</si>
  <si>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</si>
  <si>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</si>
  <si>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</si>
  <si>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</si>
  <si>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</si>
  <si>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</si>
  <si>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</si>
  <si>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</si>
  <si>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</si>
  <si>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</si>
  <si>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</si>
  <si>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</si>
  <si>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</si>
  <si>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</si>
  <si>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</si>
  <si>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</si>
  <si>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</si>
  <si>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</si>
  <si>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</si>
  <si>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</si>
  <si>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</si>
  <si>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</si>
  <si>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</si>
  <si>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</si>
  <si>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</si>
  <si>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</si>
  <si>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</si>
  <si>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</si>
  <si>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</si>
  <si>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</si>
  <si>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</si>
  <si>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</si>
  <si>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</si>
  <si>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</si>
  <si>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</si>
  <si>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</si>
  <si>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</si>
  <si>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</si>
  <si>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</si>
  <si>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</si>
  <si>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</si>
  <si>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</si>
  <si>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</si>
  <si>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</si>
  <si>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</si>
  <si>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</si>
  <si>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</si>
  <si>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</si>
  <si>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</si>
  <si>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</si>
  <si>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</si>
  <si>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</si>
  <si>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</si>
  <si>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</si>
  <si>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</si>
  <si>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</si>
  <si>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</si>
  <si>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</si>
  <si>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</si>
  <si>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</si>
  <si>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</si>
  <si>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</si>
  <si>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</si>
  <si>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</si>
  <si>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</si>
  <si>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</si>
  <si>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</si>
  <si>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</si>
  <si>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</si>
  <si>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</si>
  <si>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</si>
  <si>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</si>
  <si>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</si>
  <si>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</si>
  <si>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</si>
  <si>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</si>
  <si>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</si>
  <si>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</si>
  <si>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</si>
  <si>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</si>
  <si>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</si>
  <si>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</si>
  <si>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</si>
  <si>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</si>
  <si>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</si>
  <si>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</si>
  <si>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</si>
  <si>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</si>
  <si>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</si>
  <si>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</si>
  <si>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</si>
  <si>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</si>
  <si>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</si>
  <si>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</si>
  <si>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</si>
  <si>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</si>
  <si>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</si>
  <si>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</si>
  <si>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</si>
  <si>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</si>
  <si>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</si>
  <si>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</si>
  <si>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</si>
  <si>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</si>
  <si>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</si>
  <si>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</si>
  <si>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</si>
  <si>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</si>
  <si>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</si>
  <si>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</si>
  <si>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</si>
  <si>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</si>
  <si>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</si>
  <si>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</si>
  <si>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</si>
  <si>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</si>
  <si>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</si>
  <si>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</si>
  <si>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</si>
  <si>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</si>
  <si>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</si>
  <si>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</si>
  <si>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</si>
  <si>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</si>
  <si>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</si>
  <si>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</si>
  <si>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</si>
  <si>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</si>
  <si>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</si>
  <si>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</si>
  <si>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</si>
  <si>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</si>
  <si>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</si>
  <si>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</si>
  <si>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</si>
  <si>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</si>
  <si>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</si>
  <si>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</si>
  <si>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</si>
  <si>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</si>
  <si>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</si>
  <si>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</si>
  <si>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</si>
  <si>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</si>
  <si>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</si>
  <si>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</si>
  <si>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</si>
  <si>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</si>
  <si>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</si>
  <si>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</si>
  <si>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</si>
  <si>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</si>
  <si>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</si>
  <si>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</si>
  <si>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</si>
  <si>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</si>
  <si>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</si>
  <si>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</si>
  <si>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</si>
  <si>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</si>
  <si>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</si>
  <si>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</si>
  <si>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</si>
  <si>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</si>
  <si>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</si>
  <si>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</si>
  <si>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</si>
  <si>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</si>
  <si>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</si>
  <si>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</si>
  <si>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</si>
  <si>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</si>
  <si>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</si>
  <si>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</si>
  <si>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</si>
  <si>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</si>
  <si>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</si>
  <si>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</si>
  <si>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</si>
  <si>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</si>
  <si>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</si>
  <si>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</si>
  <si>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</si>
  <si>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</si>
  <si>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</si>
  <si>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</si>
  <si>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</si>
  <si>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</si>
  <si>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</si>
  <si>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</si>
  <si>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</si>
  <si>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</si>
  <si>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</si>
  <si>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</si>
  <si>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</si>
  <si>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</si>
  <si>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</si>
  <si>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</si>
  <si>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</si>
  <si>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</si>
  <si>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</si>
  <si>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</si>
  <si>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</si>
  <si>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</si>
  <si>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</si>
  <si>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</si>
  <si>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</si>
  <si>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</si>
  <si>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</si>
  <si>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</si>
  <si>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</si>
  <si>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</si>
  <si>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</si>
  <si>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</si>
  <si>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</si>
  <si>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</si>
  <si>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</si>
  <si>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</si>
  <si>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</si>
  <si>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</si>
  <si>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</si>
  <si>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</si>
  <si>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</si>
  <si>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</si>
  <si>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</si>
  <si>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</si>
  <si>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</si>
  <si>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</si>
  <si>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</si>
  <si>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</si>
  <si>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</si>
  <si>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</si>
  <si>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</si>
  <si>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</si>
  <si>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</si>
  <si>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</si>
  <si>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</si>
  <si>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</si>
  <si>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</si>
  <si>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</si>
  <si>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</si>
  <si>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</si>
  <si>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</si>
  <si>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</si>
  <si>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</si>
  <si>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</si>
  <si>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</si>
  <si>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</si>
  <si>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</si>
  <si>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</si>
  <si>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</si>
  <si>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</si>
  <si>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</si>
  <si>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</si>
  <si>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</si>
  <si>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</si>
  <si>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</si>
  <si>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</si>
  <si>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</si>
  <si>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</si>
  <si>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</si>
  <si>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</si>
  <si>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</si>
  <si>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</si>
  <si>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</si>
  <si>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</si>
  <si>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</si>
  <si>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</si>
  <si>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</si>
  <si>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</si>
  <si>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</si>
  <si>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</si>
  <si>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</si>
  <si>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</si>
  <si>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</si>
  <si>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</si>
  <si>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</si>
  <si>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</si>
  <si>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</si>
  <si>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</si>
  <si>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</si>
  <si>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</si>
  <si>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</si>
  <si>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</si>
  <si>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</si>
  <si>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</si>
  <si>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</si>
  <si>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</si>
  <si>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</si>
  <si>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</si>
  <si>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</si>
  <si>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</si>
  <si>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</si>
  <si>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</si>
  <si>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</si>
  <si>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</si>
  <si>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</si>
  <si>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</si>
  <si>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</si>
  <si>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</si>
  <si>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</si>
  <si>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</si>
  <si>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</si>
  <si>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</si>
  <si>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</si>
  <si>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</si>
  <si>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</si>
  <si>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</si>
  <si>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</si>
  <si>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</si>
  <si>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</si>
  <si>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</si>
  <si>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</si>
  <si>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</si>
  <si>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</si>
  <si>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</si>
  <si>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</si>
  <si>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</si>
  <si>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</si>
  <si>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</si>
  <si>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</si>
  <si>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</si>
  <si>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</si>
  <si>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</si>
  <si>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</si>
  <si>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</si>
  <si>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</si>
  <si>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</si>
  <si>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</si>
  <si>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</si>
  <si>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</si>
  <si>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</si>
  <si>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</si>
  <si>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</si>
  <si>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</si>
  <si>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</si>
  <si>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</si>
  <si>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</si>
  <si>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</si>
  <si>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</si>
  <si>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</si>
  <si>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</si>
  <si>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</si>
  <si>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</si>
  <si>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</si>
  <si>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</si>
  <si>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</si>
  <si>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</si>
  <si>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</si>
  <si>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</si>
  <si>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</si>
  <si>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</si>
  <si>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</si>
  <si>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</si>
  <si>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</si>
  <si>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</si>
  <si>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</si>
  <si>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</si>
  <si>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</si>
  <si>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</si>
  <si>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</si>
  <si>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</si>
  <si>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</si>
  <si>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</si>
  <si>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</si>
  <si>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</si>
  <si>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</si>
  <si>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</si>
  <si>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</si>
  <si>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</si>
  <si>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</si>
  <si>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</si>
  <si>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</si>
  <si>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</si>
  <si>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</si>
  <si>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</si>
  <si>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</si>
  <si>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</si>
  <si>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</si>
  <si>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</si>
  <si>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</si>
  <si>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</si>
  <si>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</si>
  <si>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</si>
  <si>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</si>
  <si>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</si>
  <si>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</si>
  <si>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</si>
  <si>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</si>
  <si>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</si>
  <si>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</si>
  <si>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</si>
  <si>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</si>
  <si>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</si>
  <si>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</si>
  <si>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</si>
  <si>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</si>
  <si>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</si>
  <si>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</si>
  <si>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</si>
  <si>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</si>
  <si>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</si>
  <si>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</si>
  <si>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</si>
  <si>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</si>
  <si>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</si>
  <si>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</si>
  <si>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</si>
  <si>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</si>
  <si>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</si>
  <si>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</si>
  <si>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</si>
  <si>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</si>
  <si>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</si>
  <si>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</si>
  <si>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</si>
  <si>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</si>
  <si>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</si>
  <si>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</si>
  <si>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</si>
  <si>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</si>
  <si>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</si>
  <si>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</si>
  <si>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</si>
  <si>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</si>
  <si>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</si>
  <si>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</si>
  <si>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</si>
  <si>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</si>
  <si>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</si>
  <si>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</si>
  <si>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</si>
  <si>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</si>
  <si>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</si>
  <si>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</si>
  <si>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</si>
  <si>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</si>
  <si>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</si>
  <si>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</si>
  <si>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</si>
  <si>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</si>
  <si>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</si>
  <si>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</si>
  <si>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</si>
  <si>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</si>
  <si>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</si>
  <si>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</si>
  <si>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</si>
  <si>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</si>
  <si>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</si>
  <si>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</si>
  <si>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</si>
  <si>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</si>
  <si>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</si>
  <si>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</si>
  <si>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</si>
  <si>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</si>
  <si>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</si>
  <si>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</si>
  <si>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</si>
  <si>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</si>
  <si>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</si>
  <si>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</si>
  <si>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</si>
  <si>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</si>
  <si>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</si>
  <si>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</si>
  <si>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</si>
  <si>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</si>
  <si>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</si>
  <si>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</si>
  <si>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</si>
  <si>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</si>
  <si>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</si>
  <si>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</si>
  <si>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</si>
  <si>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</si>
  <si>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</si>
  <si>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</si>
  <si>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</si>
  <si>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</si>
  <si>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</si>
  <si>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</si>
  <si>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</si>
  <si>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</si>
  <si>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</si>
  <si>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</si>
  <si>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</si>
  <si>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</si>
  <si>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</si>
  <si>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</si>
  <si>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</si>
  <si>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</si>
  <si>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</si>
  <si>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</si>
  <si>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</si>
  <si>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</si>
  <si>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</si>
  <si>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</si>
  <si>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</si>
  <si>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</si>
  <si>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</si>
  <si>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</si>
  <si>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</si>
  <si>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</si>
  <si>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</si>
  <si>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</si>
  <si>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</si>
  <si>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</si>
  <si>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</si>
  <si>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</si>
  <si>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</si>
  <si>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</si>
  <si>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</si>
  <si>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</si>
  <si>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</si>
  <si>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</si>
  <si>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</si>
  <si>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</si>
  <si>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</si>
  <si>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</si>
  <si>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</si>
  <si>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</si>
  <si>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</si>
  <si>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</si>
  <si>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</si>
  <si>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</si>
  <si>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</si>
  <si>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</si>
  <si>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</si>
  <si>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</si>
  <si>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</si>
  <si>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</si>
  <si>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</si>
  <si>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</si>
  <si>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</si>
  <si>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</si>
  <si>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</si>
  <si>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</si>
  <si>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</si>
  <si>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</si>
  <si>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</si>
  <si>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</si>
  <si>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</si>
  <si>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</si>
  <si>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</si>
  <si>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</si>
  <si>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</si>
  <si>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</si>
  <si>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</si>
  <si>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</si>
  <si>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</si>
  <si>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</si>
  <si>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</si>
  <si>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</si>
  <si>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</si>
  <si>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</si>
  <si>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</si>
  <si>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</si>
  <si>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</si>
  <si>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</si>
  <si>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</si>
  <si>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</si>
  <si>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</si>
  <si>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</si>
  <si>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</si>
  <si>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</si>
  <si>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</si>
  <si>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</si>
  <si>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</si>
  <si>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</si>
  <si>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</si>
  <si>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</si>
  <si>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</si>
  <si>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</si>
  <si>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</si>
  <si>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</si>
  <si>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</si>
  <si>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</si>
  <si>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</si>
  <si>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</si>
  <si>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</si>
  <si>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</si>
  <si>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</si>
  <si>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</si>
  <si>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</si>
  <si>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</si>
  <si>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</si>
  <si>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</si>
  <si>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</si>
  <si>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</si>
  <si>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</si>
  <si>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</si>
  <si>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</si>
  <si>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</si>
  <si>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</si>
  <si>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</si>
  <si>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</si>
  <si>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</si>
  <si>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</si>
  <si>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</si>
  <si>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</si>
  <si>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</si>
  <si>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</si>
  <si>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</si>
  <si>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</si>
  <si>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</si>
  <si>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</si>
  <si>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</si>
  <si>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</si>
  <si>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</si>
  <si>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</si>
  <si>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</si>
  <si>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</si>
  <si>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</si>
  <si>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</si>
  <si>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</si>
  <si>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</si>
  <si>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</si>
  <si>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</si>
  <si>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</si>
  <si>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</si>
  <si>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</si>
  <si>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</si>
  <si>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</si>
  <si>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</si>
  <si>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</si>
  <si>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</si>
  <si>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</si>
  <si>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</si>
  <si>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</si>
  <si>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</si>
  <si>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</si>
  <si>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</si>
  <si>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</si>
  <si>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</si>
  <si>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</si>
  <si>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</si>
  <si>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</si>
  <si>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</si>
  <si>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</si>
  <si>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</si>
  <si>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</si>
  <si>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</si>
  <si>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</si>
  <si>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</si>
  <si>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</si>
  <si>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</si>
  <si>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</si>
  <si>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</si>
  <si>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</si>
  <si>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</si>
  <si>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</si>
  <si>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</si>
  <si>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</si>
  <si>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</si>
  <si>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</si>
  <si>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</si>
  <si>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</si>
  <si>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</si>
  <si>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</si>
  <si>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</si>
  <si>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</si>
  <si>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</si>
  <si>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</si>
  <si>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</si>
  <si>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</si>
  <si>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</si>
  <si>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</si>
  <si>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</si>
  <si>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</si>
  <si>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</si>
  <si>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</si>
  <si>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</si>
  <si>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</si>
  <si>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</si>
  <si>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</si>
  <si>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</si>
  <si>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</si>
  <si>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</si>
  <si>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</si>
  <si>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</si>
  <si>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</si>
  <si>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</si>
  <si>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</si>
  <si>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</si>
  <si>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</si>
  <si>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</si>
  <si>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</si>
  <si>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</si>
  <si>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</si>
  <si>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</si>
  <si>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</si>
  <si>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</si>
  <si>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</si>
  <si>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</si>
  <si>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</si>
  <si>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</si>
  <si>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</si>
  <si>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</si>
  <si>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</si>
  <si>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</si>
  <si>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</si>
  <si>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</si>
  <si>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</si>
  <si>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</si>
  <si>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</si>
  <si>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</si>
  <si>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</si>
  <si>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</si>
  <si>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</si>
  <si>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</si>
  <si>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</si>
  <si>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</si>
  <si>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</si>
  <si>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</si>
  <si>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</si>
  <si>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</si>
  <si>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</si>
  <si>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</si>
  <si>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</si>
  <si>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</si>
  <si>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</si>
  <si>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</si>
  <si>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</si>
  <si>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</si>
  <si>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</si>
  <si>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</si>
  <si>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</si>
  <si>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</si>
  <si>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</si>
  <si>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</si>
  <si>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</si>
  <si>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</si>
  <si>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</si>
  <si>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</si>
  <si>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</si>
  <si>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</si>
  <si>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</si>
  <si>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</si>
  <si>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</si>
  <si>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</si>
  <si>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</si>
  <si>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</si>
  <si>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</si>
  <si>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企业</t>
  </si>
  <si>
    <t>商业</t>
  </si>
  <si>
    <t>居住项目</t>
  </si>
  <si>
    <t>场地平整</t>
  </si>
  <si>
    <t>平整</t>
  </si>
  <si>
    <t>一致</t>
  </si>
  <si>
    <t>符合</t>
  </si>
  <si>
    <t>地上</t>
  </si>
  <si>
    <t>住宅</t>
    <phoneticPr fontId="7" type="noConversion"/>
  </si>
  <si>
    <t>地块名称</t>
  </si>
  <si>
    <t>城市</t>
  </si>
  <si>
    <t>用地性质</t>
  </si>
  <si>
    <t>出让方式</t>
  </si>
  <si>
    <t>详细规划</t>
  </si>
  <si>
    <t>建设用地面积(㎡)</t>
  </si>
  <si>
    <t>规划建筑面积(㎡)</t>
  </si>
  <si>
    <t>成交日期</t>
  </si>
  <si>
    <t>受让单位</t>
  </si>
  <si>
    <t>成交价(万元)</t>
  </si>
  <si>
    <t>成交每亩价(万元/亩)</t>
  </si>
  <si>
    <t>成交楼面价(元/㎡)</t>
  </si>
  <si>
    <t>溢价率</t>
  </si>
  <si>
    <t>土地星级</t>
  </si>
  <si>
    <t>3星</t>
  </si>
  <si>
    <t>2星</t>
  </si>
  <si>
    <t>5星</t>
  </si>
  <si>
    <t>正常</t>
  </si>
  <si>
    <t>楼面地价</t>
  </si>
  <si>
    <t>住宅</t>
    <phoneticPr fontId="26" type="noConversion"/>
  </si>
  <si>
    <t>住宅</t>
    <phoneticPr fontId="26" type="noConversion"/>
  </si>
  <si>
    <t>项目全部</t>
  </si>
  <si>
    <t>土地</t>
  </si>
  <si>
    <t>剩余法-待开发</t>
  </si>
  <si>
    <t>2020-09-02</t>
  </si>
  <si>
    <t>2020-07-10</t>
  </si>
  <si>
    <t>4星</t>
  </si>
  <si>
    <t>综合用地(含住宅)</t>
  </si>
  <si>
    <t>板块</t>
  </si>
  <si>
    <t>惠环街道</t>
  </si>
  <si>
    <t>惠州市</t>
  </si>
  <si>
    <t>陈江街道</t>
  </si>
  <si>
    <t>挂牌</t>
  </si>
  <si>
    <t>住宅及商服用地</t>
  </si>
  <si>
    <t>≤3.0</t>
  </si>
  <si>
    <t>2020-12-17</t>
  </si>
  <si>
    <t>惠州市粤新房地产开发有限公司</t>
  </si>
  <si>
    <t>仲恺74号小区</t>
  </si>
  <si>
    <t>≤2.8</t>
  </si>
  <si>
    <t>2020-12-14</t>
  </si>
  <si>
    <t>恒昌隆泰(惠州)房地产开发有限公司</t>
  </si>
  <si>
    <t>仲恺高新区潼侨镇尧里片区</t>
  </si>
  <si>
    <t>中海宏洋地产集团有限公司</t>
  </si>
  <si>
    <t>仲恺高新区惠南高新科技产业园</t>
  </si>
  <si>
    <t>三栋镇</t>
  </si>
  <si>
    <t>≤2.9</t>
  </si>
  <si>
    <t>2020-12-07</t>
  </si>
  <si>
    <t>惠州市腾润置业有限公司</t>
  </si>
  <si>
    <t>惠州市金山湖片区</t>
  </si>
  <si>
    <t>河南岸街道</t>
  </si>
  <si>
    <t>新型产业用地</t>
  </si>
  <si>
    <t>≤2.68</t>
  </si>
  <si>
    <t>惠州市天安数码城有限公司</t>
  </si>
  <si>
    <t>惠州仲恺高新区陈江街道吉山村片区</t>
  </si>
  <si>
    <t>2020-11-18</t>
  </si>
  <si>
    <t>惠州市皓翔宏源房地产开发有限公司</t>
  </si>
  <si>
    <t>惠州市惠城区鹿江沥南岸LJL-47-19</t>
  </si>
  <si>
    <t>马安镇</t>
  </si>
  <si>
    <t>城镇住宅及商服用地</t>
  </si>
  <si>
    <t>≤3.5</t>
  </si>
  <si>
    <t>2020-11-06</t>
  </si>
  <si>
    <t>惠州市逸禾信息咨询有限公司</t>
  </si>
  <si>
    <t>惠州市火车站地区JBX14-03地块</t>
  </si>
  <si>
    <t>小金口街道</t>
  </si>
  <si>
    <t>商业用地、住宅用地</t>
  </si>
  <si>
    <t>2020-11-03</t>
  </si>
  <si>
    <t>惠州市维尔智能科技有限公司</t>
  </si>
  <si>
    <t>惠州市惠城区鹿江沥南岸LJL-47-21</t>
  </si>
  <si>
    <t>城镇住宅用地70年、商服用地40年</t>
  </si>
  <si>
    <t>≤3.1</t>
  </si>
  <si>
    <t>惠州市昭业信息咨询有限公司</t>
  </si>
  <si>
    <t>惠州仲恺高新区惠环街道</t>
  </si>
  <si>
    <t>商服及住宅用地</t>
  </si>
  <si>
    <t>2020-10-19</t>
  </si>
  <si>
    <t>恒大地产集团(深圳)有限公司</t>
  </si>
  <si>
    <t>GZK2020-86</t>
  </si>
  <si>
    <t>ZKA-033-01,商服、行政办公及文化设施用地:ZKA-033-04,商服及住宅用地</t>
  </si>
  <si>
    <t>zka-033-01≤4.0,zka-033-04≤3.1</t>
  </si>
  <si>
    <t>仲恺大道旁</t>
  </si>
  <si>
    <t>zkb-050-03-02、zkb-050-06≤4.2</t>
  </si>
  <si>
    <t>2020-10-09</t>
  </si>
  <si>
    <t>惠州市天益荟投资有限公司</t>
  </si>
  <si>
    <t>zkb-048-12≤3.0,zkb-048-15≤3.1</t>
  </si>
  <si>
    <t>zka-009-14-01≤3.5,zka-009-15≤4.0,zka-012-08≤3.1</t>
  </si>
  <si>
    <t>2020-09-30</t>
  </si>
  <si>
    <t>惠州市江东实业发展有限公司</t>
  </si>
  <si>
    <t>仲恺高新区陈江街道</t>
  </si>
  <si>
    <t>≤4.0</t>
  </si>
  <si>
    <t>2020-09-29</t>
  </si>
  <si>
    <t>惠州市皓翔鑫源房地产开发有限公司</t>
  </si>
  <si>
    <t>zka-002-01≤5.0,zka-011-04≤3.1</t>
  </si>
  <si>
    <t>2020-09-28</t>
  </si>
  <si>
    <t>惠州金鑫泽房地产开发经营有限公司</t>
  </si>
  <si>
    <t>zka-010-01、zka-010-04-02≤3.1;zka-010-08≤5.0</t>
  </si>
  <si>
    <t>惠州金鑫南房地产开发经营有限公司</t>
  </si>
  <si>
    <t>≤3.8</t>
  </si>
  <si>
    <t>2020-09-24</t>
  </si>
  <si>
    <t>东莞市信鸿产业园开发管理有限公司</t>
  </si>
  <si>
    <t>惠城区惠南大道</t>
  </si>
  <si>
    <t>城镇住宅及商服</t>
  </si>
  <si>
    <t>惠州市骏宏企业发展有限公司</t>
  </si>
  <si>
    <t>惠州市惠城区三新村A04-13</t>
  </si>
  <si>
    <t>惠州市华威房地产开发有限公司</t>
  </si>
  <si>
    <t>惠州仲恺高新区陈江街道大陂村</t>
  </si>
  <si>
    <t>zkb-054-04-02≤3.0;zkb-054-05-02、zkb-054-05-03≤2.5;zkb-054-08-02≤3.9;zkb-054-09-02、zkb-054-10≤3.5</t>
  </si>
  <si>
    <t>2020-09-23</t>
  </si>
  <si>
    <t>惠州市恺旋置业有限公司</t>
  </si>
  <si>
    <t>惠州仲恺高新区陈江街道</t>
  </si>
  <si>
    <t>桥东街道</t>
  </si>
  <si>
    <t>2020-09-21</t>
  </si>
  <si>
    <t>深圳市宏诚投资有限公司</t>
  </si>
  <si>
    <t>惠州市惠城区水口西区</t>
  </si>
  <si>
    <t>水口街道</t>
  </si>
  <si>
    <t>≤2.3</t>
  </si>
  <si>
    <t>2020-09-18</t>
  </si>
  <si>
    <t>惠州市钦盛实业有限公司</t>
  </si>
  <si>
    <t>惠州仲恺高新区陈江街道五一北片区</t>
  </si>
  <si>
    <t>zkb-019-08、zkb-020-05、zkb-020-10、zkb-022-08≤3.0</t>
  </si>
  <si>
    <t>惠州市昊翔志源房地产开发有限公司</t>
  </si>
  <si>
    <t>惠州市江北东区JBD56-02-01地块</t>
  </si>
  <si>
    <t>住宅用地、商业用地</t>
  </si>
  <si>
    <t>2020-09-14</t>
  </si>
  <si>
    <t>惠州方直房地产开发有限公司</t>
  </si>
  <si>
    <t>zkb-023-04、zkb-023-07≤3.0;zkb-023-10、zkb-023-16≤3.1;zkb-023-20≤4.0</t>
  </si>
  <si>
    <t>2020-09-11</t>
  </si>
  <si>
    <t>惠州志捷房地产开发有限公司</t>
  </si>
  <si>
    <t>惠州仲恺高新区惠环街道平南片区</t>
  </si>
  <si>
    <t>2020-09-10</t>
  </si>
  <si>
    <t>惠州市佳兆业凯进城市投资有限公司</t>
  </si>
  <si>
    <t>zkb-040-09、zkb-040-10、zkb-040-11、zkb-040-12≤4.8;zkb-036-18≤4.0</t>
  </si>
  <si>
    <t>惠州市天益汇投资有限公司</t>
  </si>
  <si>
    <t>惠州仲恺高新区潼侨镇</t>
  </si>
  <si>
    <t>潼侨镇</t>
  </si>
  <si>
    <t>≤2.4</t>
  </si>
  <si>
    <t>深圳市龙光房地产有限公司</t>
  </si>
  <si>
    <t>惠州仲恺高新区陈江街道白云山片区</t>
  </si>
  <si>
    <t>zkb-038-19≤4.0;zkb-042-23≤3.6;zkb-042-25≤4.2</t>
  </si>
  <si>
    <t>2020-08-18</t>
  </si>
  <si>
    <t>惠州市时代恺悦房地产开发有限公司</t>
  </si>
  <si>
    <t>惠州市惠城区三栋镇惠南大道</t>
  </si>
  <si>
    <t>商服、住宅</t>
  </si>
  <si>
    <t>2020-08-17</t>
  </si>
  <si>
    <t>宝丽房产(惠州)有限公司</t>
  </si>
  <si>
    <t>zkb-019-04-a≤1.5;zkb-019-06、zkb-021-04≤3.0;zkb-021-13-02≤4.0</t>
  </si>
  <si>
    <t>2020-08-03</t>
  </si>
  <si>
    <t>惠州市昊翔博源房地产开发有限公司</t>
  </si>
  <si>
    <t>惠州市惠城区江南大道JNDD03-14、JNDD03-17、JNDD03-18</t>
  </si>
  <si>
    <t>江南街道</t>
  </si>
  <si>
    <t>1.5-4.1</t>
  </si>
  <si>
    <t>哈工大机器人智谷(惠州)投资有限公司</t>
  </si>
  <si>
    <t>惠州市璞玉房地产开发有限公司</t>
  </si>
  <si>
    <t>惠州市惠城区南部新城东区8-03-02</t>
  </si>
  <si>
    <t>2.5~4.0</t>
  </si>
  <si>
    <t>惠州市信立康供应链管理有限公司</t>
  </si>
  <si>
    <t>惠州市惠城区河桥片区</t>
  </si>
  <si>
    <t>2020-07-03</t>
  </si>
  <si>
    <t>惠州市城投置业发展有限公司</t>
  </si>
  <si>
    <t>惠州仲恺高新区</t>
  </si>
  <si>
    <t>2020-06-30</t>
  </si>
  <si>
    <t>深圳市华创盈达房地产有限公司</t>
  </si>
  <si>
    <t>惠州市天益房地产开发有限公司</t>
  </si>
  <si>
    <t>zka-001-21、zka-003-08≤3.5;zka-003-07≤4.0</t>
  </si>
  <si>
    <t>惠州星凯投资发展有限公司</t>
  </si>
  <si>
    <t>商服及住宅用地(ZKB-021-18/ZKB-021-19/ZKB-022-15/ZKB-021-19-a);工业用地(M0)(ZKB-022-14);物流仓储用地(ZKB-022-16-01)</t>
  </si>
  <si>
    <t>zkb-021-18、zkb-021-19、zkb-022-15≤4.0;zkb-022-14≤4.2;zkb-021-19-a≤3.2;zkb-022-16-01≥0.8</t>
  </si>
  <si>
    <t>惠州市卓越创盈房地产有限公司</t>
  </si>
  <si>
    <t>≤4.5;</t>
  </si>
  <si>
    <t>惠州市佳兆业盛盈城市投资有限公司</t>
  </si>
  <si>
    <t>惠州市惠南大道</t>
  </si>
  <si>
    <t>住宅及商服</t>
  </si>
  <si>
    <t>2020-06-08</t>
  </si>
  <si>
    <t>惠州市畅展实业发展有限公司</t>
  </si>
  <si>
    <t>小金口汤村片区</t>
  </si>
  <si>
    <t>住宅、商服用地</t>
  </si>
  <si>
    <t>2020-06-04</t>
  </si>
  <si>
    <t>惠州市中海宏洋地产有限公司</t>
  </si>
  <si>
    <t>惠州市惠城区鹿江沥南岸LJL38-11-01</t>
  </si>
  <si>
    <t>2020-06-03</t>
  </si>
  <si>
    <t>深圳市润投咨询有限公司</t>
  </si>
  <si>
    <t>惠州市惠城区马安中心区</t>
  </si>
  <si>
    <t>惠州市祺瑞科技有限公司</t>
  </si>
  <si>
    <t>2020-05-25</t>
  </si>
  <si>
    <t>惠州市创盈置业有限公司</t>
  </si>
  <si>
    <t>2020-05-20</t>
  </si>
  <si>
    <t>惠州大坤恒泰实业有限公司</t>
  </si>
  <si>
    <t>商品住宅</t>
    <phoneticPr fontId="3" type="noConversion"/>
  </si>
  <si>
    <t>周边在售楼盘</t>
    <phoneticPr fontId="228" type="noConversion"/>
  </si>
  <si>
    <t xml:space="preserve">佳兆业时代·可园 </t>
    <phoneticPr fontId="228" type="noConversion"/>
  </si>
  <si>
    <t>售价</t>
    <phoneticPr fontId="228" type="noConversion"/>
  </si>
  <si>
    <t>容积率</t>
    <phoneticPr fontId="228" type="noConversion"/>
  </si>
  <si>
    <t>毛坯</t>
    <phoneticPr fontId="228" type="noConversion"/>
  </si>
  <si>
    <t>花样年·康城四季御峰</t>
    <phoneticPr fontId="228" type="noConversion"/>
  </si>
  <si>
    <t>嘉鸿新城博雅府</t>
    <phoneticPr fontId="228" type="noConversion"/>
  </si>
  <si>
    <t>毛坯</t>
    <phoneticPr fontId="228" type="noConversion"/>
  </si>
  <si>
    <t>悦璟华庭</t>
    <phoneticPr fontId="228" type="noConversion"/>
  </si>
  <si>
    <t>鸿润腾韵花园</t>
    <phoneticPr fontId="228" type="noConversion"/>
  </si>
  <si>
    <t>壹城峰荟</t>
    <phoneticPr fontId="228" type="noConversion"/>
  </si>
  <si>
    <t>友诚荷悦台</t>
    <phoneticPr fontId="228" type="noConversion"/>
  </si>
  <si>
    <t>村集体自留部分</t>
    <phoneticPr fontId="3" type="noConversion"/>
  </si>
  <si>
    <t>村集体自留部分</t>
    <phoneticPr fontId="7"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</si>
  <si>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高</t>
    </r>
    <r>
      <rPr>
        <sz val="11"/>
        <color theme="1"/>
        <rFont val="Arial"/>
        <family val="2"/>
      </rPr>
      <t>)</t>
    </r>
    <phoneticPr fontId="14" type="noConversion"/>
  </si>
  <si>
    <t>比较法-住宅、综合 (高)</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</si>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</sst>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176" fontId="76" fillId="13" borderId="0" xfId="0" applyNumberFormat="1" applyFont="1" applyFill="1" applyAlignment="1" applyProtection="1">
      <alignment horizontal="center" vertical="center"/>
      <protection locked="0"/>
    </xf>
    <xf numFmtId="0" fontId="145" fillId="0" borderId="0" xfId="1" applyFill="1">
      <alignment vertical="center"/>
    </xf>
    <xf numFmtId="0" fontId="145" fillId="0" borderId="0" xfId="1" applyFont="1" applyFill="1">
      <alignment vertical="center"/>
    </xf>
    <xf numFmtId="0" fontId="0" fillId="16" borderId="0" xfId="0" applyFill="1" applyAlignment="1"/>
    <xf numFmtId="0" fontId="147" fillId="16" borderId="0" xfId="0" applyFont="1" applyFill="1" applyAlignme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7" borderId="0" xfId="0" applyFill="1" applyAlignment="1"/>
    <xf numFmtId="0" fontId="145" fillId="0" borderId="0" xfId="0" applyFont="1" applyAlignment="1">
      <alignment horizontal="left" vertical="center"/>
    </xf>
    <xf numFmtId="0" fontId="280" fillId="16" borderId="0" xfId="0" applyFont="1" applyFill="1" applyAlignment="1"/>
    <xf numFmtId="0" fontId="280"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6" borderId="0" xfId="0" applyFont="1" applyFill="1" applyAlignment="1"/>
    <xf numFmtId="0" fontId="0" fillId="6" borderId="0" xfId="0" applyFill="1" applyAlignme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53</xdr:row>
      <xdr:rowOff>95250</xdr:rowOff>
    </xdr:from>
    <xdr:to>
      <xdr:col>13</xdr:col>
      <xdr:colOff>742950</xdr:colOff>
      <xdr:row>80</xdr:row>
      <xdr:rowOff>24355</xdr:rowOff>
    </xdr:to>
    <xdr:pic>
      <xdr:nvPicPr>
        <xdr:cNvPr id="46" name="图片 45"/>
        <xdr:cNvPicPr>
          <a:picLocks noChangeAspect="1"/>
        </xdr:cNvPicPr>
      </xdr:nvPicPr>
      <xdr:blipFill>
        <a:blip xmlns:r="http://schemas.openxmlformats.org/officeDocument/2006/relationships" r:embed="rId1"/>
        <a:stretch>
          <a:fillRect/>
        </a:stretch>
      </xdr:blipFill>
      <xdr:spPr>
        <a:xfrm>
          <a:off x="133350" y="9182100"/>
          <a:ext cx="9963150" cy="4558255"/>
        </a:xfrm>
        <a:prstGeom prst="rect">
          <a:avLst/>
        </a:prstGeom>
      </xdr:spPr>
    </xdr:pic>
    <xdr:clientData/>
  </xdr:twoCellAnchor>
  <xdr:twoCellAnchor>
    <xdr:from>
      <xdr:col>11</xdr:col>
      <xdr:colOff>495300</xdr:colOff>
      <xdr:row>55</xdr:row>
      <xdr:rowOff>95250</xdr:rowOff>
    </xdr:from>
    <xdr:to>
      <xdr:col>13</xdr:col>
      <xdr:colOff>847725</xdr:colOff>
      <xdr:row>57</xdr:row>
      <xdr:rowOff>19050</xdr:rowOff>
    </xdr:to>
    <xdr:sp macro="" textlink="">
      <xdr:nvSpPr>
        <xdr:cNvPr id="13" name="矩形 12"/>
        <xdr:cNvSpPr/>
      </xdr:nvSpPr>
      <xdr:spPr>
        <a:xfrm>
          <a:off x="8305800" y="9525000"/>
          <a:ext cx="189547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佳兆业时代</a:t>
          </a:r>
          <a:r>
            <a:rPr lang="en-US" altLang="zh-CN" sz="1100"/>
            <a:t>·</a:t>
          </a:r>
          <a:r>
            <a:rPr lang="zh-CN" altLang="en-US" sz="1100"/>
            <a:t>可园 售价</a:t>
          </a:r>
          <a:r>
            <a:rPr lang="en-US" altLang="zh-CN" sz="1100"/>
            <a:t>1.1</a:t>
          </a:r>
          <a:r>
            <a:rPr lang="zh-CN" altLang="en-US" sz="1100"/>
            <a:t>万</a:t>
          </a:r>
        </a:p>
      </xdr:txBody>
    </xdr:sp>
    <xdr:clientData/>
  </xdr:twoCellAnchor>
  <xdr:twoCellAnchor>
    <xdr:from>
      <xdr:col>9</xdr:col>
      <xdr:colOff>361950</xdr:colOff>
      <xdr:row>68</xdr:row>
      <xdr:rowOff>123828</xdr:rowOff>
    </xdr:from>
    <xdr:to>
      <xdr:col>9</xdr:col>
      <xdr:colOff>647700</xdr:colOff>
      <xdr:row>70</xdr:row>
      <xdr:rowOff>123826</xdr:rowOff>
    </xdr:to>
    <xdr:cxnSp macro="">
      <xdr:nvCxnSpPr>
        <xdr:cNvPr id="19" name="肘形连接符 18"/>
        <xdr:cNvCxnSpPr/>
      </xdr:nvCxnSpPr>
      <xdr:spPr>
        <a:xfrm rot="16200000" flipV="1">
          <a:off x="6381751" y="11811002"/>
          <a:ext cx="342898" cy="285750"/>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xdr:colOff>
      <xdr:row>55</xdr:row>
      <xdr:rowOff>114300</xdr:rowOff>
    </xdr:from>
    <xdr:to>
      <xdr:col>7</xdr:col>
      <xdr:colOff>323850</xdr:colOff>
      <xdr:row>57</xdr:row>
      <xdr:rowOff>38100</xdr:rowOff>
    </xdr:to>
    <xdr:sp macro="" textlink="">
      <xdr:nvSpPr>
        <xdr:cNvPr id="37" name="五角星 36"/>
        <xdr:cNvSpPr/>
      </xdr:nvSpPr>
      <xdr:spPr>
        <a:xfrm>
          <a:off x="4686300" y="9544050"/>
          <a:ext cx="285750" cy="266700"/>
        </a:xfrm>
        <a:prstGeom prst="star5">
          <a:avLst/>
        </a:prstGeom>
        <a:solidFill>
          <a:srgbClr val="FFFF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81</xdr:row>
      <xdr:rowOff>123825</xdr:rowOff>
    </xdr:from>
    <xdr:to>
      <xdr:col>13</xdr:col>
      <xdr:colOff>598832</xdr:colOff>
      <xdr:row>106</xdr:row>
      <xdr:rowOff>170909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4011275"/>
          <a:ext cx="9952382" cy="4333334"/>
        </a:xfrm>
        <a:prstGeom prst="rect">
          <a:avLst/>
        </a:prstGeom>
      </xdr:spPr>
    </xdr:pic>
    <xdr:clientData/>
  </xdr:twoCellAnchor>
  <xdr:twoCellAnchor>
    <xdr:from>
      <xdr:col>9</xdr:col>
      <xdr:colOff>238125</xdr:colOff>
      <xdr:row>70</xdr:row>
      <xdr:rowOff>73013</xdr:rowOff>
    </xdr:from>
    <xdr:to>
      <xdr:col>11</xdr:col>
      <xdr:colOff>628650</xdr:colOff>
      <xdr:row>71</xdr:row>
      <xdr:rowOff>168263</xdr:rowOff>
    </xdr:to>
    <xdr:sp macro="" textlink="">
      <xdr:nvSpPr>
        <xdr:cNvPr id="34" name="矩形 33"/>
        <xdr:cNvSpPr/>
      </xdr:nvSpPr>
      <xdr:spPr>
        <a:xfrm>
          <a:off x="6286500" y="12074513"/>
          <a:ext cx="215265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花样年</a:t>
          </a:r>
          <a:r>
            <a:rPr lang="en-US" altLang="zh-CN" sz="1100"/>
            <a:t>·</a:t>
          </a:r>
          <a:r>
            <a:rPr lang="zh-CN" altLang="en-US" sz="1100"/>
            <a:t>康城四季御峰售价</a:t>
          </a:r>
          <a:r>
            <a:rPr lang="en-US" altLang="zh-CN" sz="1100"/>
            <a:t>1.1</a:t>
          </a:r>
          <a:r>
            <a:rPr lang="zh-CN" altLang="en-US" sz="1100"/>
            <a:t>万</a:t>
          </a:r>
        </a:p>
      </xdr:txBody>
    </xdr:sp>
    <xdr:clientData/>
  </xdr:twoCellAnchor>
  <xdr:twoCellAnchor>
    <xdr:from>
      <xdr:col>7</xdr:col>
      <xdr:colOff>85725</xdr:colOff>
      <xdr:row>60</xdr:row>
      <xdr:rowOff>15863</xdr:rowOff>
    </xdr:from>
    <xdr:to>
      <xdr:col>9</xdr:col>
      <xdr:colOff>581025</xdr:colOff>
      <xdr:row>61</xdr:row>
      <xdr:rowOff>111113</xdr:rowOff>
    </xdr:to>
    <xdr:sp macro="" textlink="">
      <xdr:nvSpPr>
        <xdr:cNvPr id="36" name="矩形 35"/>
        <xdr:cNvSpPr/>
      </xdr:nvSpPr>
      <xdr:spPr>
        <a:xfrm>
          <a:off x="4733925" y="10302863"/>
          <a:ext cx="189547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嘉鸿新城博雅府 售价</a:t>
          </a:r>
          <a:r>
            <a:rPr lang="en-US" altLang="zh-CN" sz="1100"/>
            <a:t>1.05</a:t>
          </a:r>
          <a:r>
            <a:rPr lang="zh-CN" altLang="en-US" sz="1100"/>
            <a:t>万</a:t>
          </a:r>
        </a:p>
      </xdr:txBody>
    </xdr:sp>
    <xdr:clientData/>
  </xdr:twoCellAnchor>
  <xdr:twoCellAnchor>
    <xdr:from>
      <xdr:col>7</xdr:col>
      <xdr:colOff>257176</xdr:colOff>
      <xdr:row>58</xdr:row>
      <xdr:rowOff>95251</xdr:rowOff>
    </xdr:from>
    <xdr:to>
      <xdr:col>7</xdr:col>
      <xdr:colOff>533401</xdr:colOff>
      <xdr:row>60</xdr:row>
      <xdr:rowOff>15862</xdr:rowOff>
    </xdr:to>
    <xdr:cxnSp macro="">
      <xdr:nvCxnSpPr>
        <xdr:cNvPr id="38" name="肘形连接符 37"/>
        <xdr:cNvCxnSpPr/>
      </xdr:nvCxnSpPr>
      <xdr:spPr>
        <a:xfrm rot="10800000">
          <a:off x="4905376" y="10039351"/>
          <a:ext cx="276225" cy="263511"/>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47626</xdr:colOff>
      <xdr:row>63</xdr:row>
      <xdr:rowOff>73013</xdr:rowOff>
    </xdr:from>
    <xdr:to>
      <xdr:col>9</xdr:col>
      <xdr:colOff>19051</xdr:colOff>
      <xdr:row>64</xdr:row>
      <xdr:rowOff>168263</xdr:rowOff>
    </xdr:to>
    <xdr:sp macro="" textlink="">
      <xdr:nvSpPr>
        <xdr:cNvPr id="41" name="矩形 40"/>
        <xdr:cNvSpPr/>
      </xdr:nvSpPr>
      <xdr:spPr>
        <a:xfrm>
          <a:off x="4695826" y="10874363"/>
          <a:ext cx="13716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悦璟华庭 售价</a:t>
          </a:r>
          <a:r>
            <a:rPr lang="en-US" altLang="zh-CN" sz="1100"/>
            <a:t>1.8</a:t>
          </a:r>
          <a:r>
            <a:rPr lang="zh-CN" altLang="en-US" sz="1100"/>
            <a:t>万</a:t>
          </a:r>
        </a:p>
      </xdr:txBody>
    </xdr:sp>
    <xdr:clientData/>
  </xdr:twoCellAnchor>
  <xdr:twoCellAnchor>
    <xdr:from>
      <xdr:col>7</xdr:col>
      <xdr:colOff>57150</xdr:colOff>
      <xdr:row>62</xdr:row>
      <xdr:rowOff>111113</xdr:rowOff>
    </xdr:from>
    <xdr:to>
      <xdr:col>7</xdr:col>
      <xdr:colOff>333375</xdr:colOff>
      <xdr:row>64</xdr:row>
      <xdr:rowOff>31724</xdr:rowOff>
    </xdr:to>
    <xdr:cxnSp macro="">
      <xdr:nvCxnSpPr>
        <xdr:cNvPr id="42" name="肘形连接符 41"/>
        <xdr:cNvCxnSpPr/>
      </xdr:nvCxnSpPr>
      <xdr:spPr>
        <a:xfrm rot="10800000">
          <a:off x="4705350" y="10741013"/>
          <a:ext cx="276225" cy="263511"/>
        </a:xfrm>
        <a:prstGeom prst="bentConnector3">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409575</xdr:colOff>
      <xdr:row>76</xdr:row>
      <xdr:rowOff>120638</xdr:rowOff>
    </xdr:from>
    <xdr:to>
      <xdr:col>6</xdr:col>
      <xdr:colOff>180975</xdr:colOff>
      <xdr:row>78</xdr:row>
      <xdr:rowOff>44438</xdr:rowOff>
    </xdr:to>
    <xdr:sp macro="" textlink="">
      <xdr:nvSpPr>
        <xdr:cNvPr id="43" name="矩形 42"/>
        <xdr:cNvSpPr/>
      </xdr:nvSpPr>
      <xdr:spPr>
        <a:xfrm>
          <a:off x="2314575" y="13150838"/>
          <a:ext cx="18288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鸿润腾韵花园  售价</a:t>
          </a:r>
          <a:r>
            <a:rPr lang="en-US" altLang="zh-CN" sz="1100"/>
            <a:t>1.16</a:t>
          </a:r>
          <a:r>
            <a:rPr lang="zh-CN" altLang="en-US" sz="1100"/>
            <a:t>万</a:t>
          </a:r>
        </a:p>
      </xdr:txBody>
    </xdr:sp>
    <xdr:clientData/>
  </xdr:twoCellAnchor>
  <xdr:twoCellAnchor>
    <xdr:from>
      <xdr:col>8</xdr:col>
      <xdr:colOff>104774</xdr:colOff>
      <xdr:row>72</xdr:row>
      <xdr:rowOff>44438</xdr:rowOff>
    </xdr:from>
    <xdr:to>
      <xdr:col>9</xdr:col>
      <xdr:colOff>438150</xdr:colOff>
      <xdr:row>73</xdr:row>
      <xdr:rowOff>139688</xdr:rowOff>
    </xdr:to>
    <xdr:sp macro="" textlink="">
      <xdr:nvSpPr>
        <xdr:cNvPr id="44" name="矩形 43"/>
        <xdr:cNvSpPr/>
      </xdr:nvSpPr>
      <xdr:spPr>
        <a:xfrm>
          <a:off x="5438774" y="12388838"/>
          <a:ext cx="1047751"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壹城峰荟 </a:t>
          </a:r>
          <a:r>
            <a:rPr lang="en-US" altLang="zh-CN" sz="1100"/>
            <a:t>1.2</a:t>
          </a:r>
          <a:r>
            <a:rPr lang="zh-CN" altLang="en-US" sz="1100"/>
            <a:t>万</a:t>
          </a:r>
        </a:p>
      </xdr:txBody>
    </xdr:sp>
    <xdr:clientData/>
  </xdr:twoCellAnchor>
  <xdr:twoCellAnchor>
    <xdr:from>
      <xdr:col>9</xdr:col>
      <xdr:colOff>781050</xdr:colOff>
      <xdr:row>65</xdr:row>
      <xdr:rowOff>161924</xdr:rowOff>
    </xdr:from>
    <xdr:to>
      <xdr:col>12</xdr:col>
      <xdr:colOff>38101</xdr:colOff>
      <xdr:row>67</xdr:row>
      <xdr:rowOff>19049</xdr:rowOff>
    </xdr:to>
    <xdr:sp macro="" textlink="">
      <xdr:nvSpPr>
        <xdr:cNvPr id="45" name="矩形 44"/>
        <xdr:cNvSpPr/>
      </xdr:nvSpPr>
      <xdr:spPr>
        <a:xfrm>
          <a:off x="6829425" y="11306174"/>
          <a:ext cx="1704976" cy="200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友诚荷悦台售价</a:t>
          </a:r>
          <a:r>
            <a:rPr lang="en-US" altLang="zh-CN" sz="1100"/>
            <a:t>0.97</a:t>
          </a:r>
          <a:r>
            <a:rPr lang="zh-CN" altLang="en-US" sz="1100"/>
            <a:t>万</a:t>
          </a:r>
        </a:p>
      </xdr:txBody>
    </xdr:sp>
    <xdr:clientData/>
  </xdr:twoCellAnchor>
  <xdr:twoCellAnchor editAs="oneCell">
    <xdr:from>
      <xdr:col>0</xdr:col>
      <xdr:colOff>0</xdr:colOff>
      <xdr:row>110</xdr:row>
      <xdr:rowOff>152399</xdr:rowOff>
    </xdr:from>
    <xdr:to>
      <xdr:col>13</xdr:col>
      <xdr:colOff>609600</xdr:colOff>
      <xdr:row>137</xdr:row>
      <xdr:rowOff>81504</xdr:rowOff>
    </xdr:to>
    <xdr:pic>
      <xdr:nvPicPr>
        <xdr:cNvPr id="20" name="图片 19"/>
        <xdr:cNvPicPr>
          <a:picLocks noChangeAspect="1"/>
        </xdr:cNvPicPr>
      </xdr:nvPicPr>
      <xdr:blipFill>
        <a:blip xmlns:r="http://schemas.openxmlformats.org/officeDocument/2006/relationships" r:embed="rId1"/>
        <a:stretch>
          <a:fillRect/>
        </a:stretch>
      </xdr:blipFill>
      <xdr:spPr>
        <a:xfrm>
          <a:off x="0" y="19011899"/>
          <a:ext cx="9963150" cy="4558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51022平方米。根据《建设工程规划许可证》[]、《出让合同》[]，估价对象规划建筑面积为142861.6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2020年12月21日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根据《国有土地使用证》[]，估价对象（分摊）出让国有建设用地使用权面积为51022平方米。根据《建设工程规划许可证》[]、《出让合同》[]，估价对象规划建筑面积为142861.6平方米。</v>
      </c>
    </row>
    <row r="16" spans="1:55" s="2594" customFormat="1">
      <c r="A16" s="2595" t="s">
        <v>2650</v>
      </c>
      <c r="B16" s="2596" t="str">
        <f>'预评函-1'!A22</f>
        <v>本次估价对象为出让国有建设用地使用权，《国有土地使用证》[]证载土地终止日期为住宅2090年12月22日。截至估价期日，出让国有建设用地使用权剩余土地使用年限为。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12月21日，在规划利用条件下、设定土地开发程度为红线外“七通”、宗地内场地平整，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估价期日：2020年12月21日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红线外七通、宗地红线内场地平整</v>
      </c>
    </row>
    <row r="39" spans="1:2">
      <c r="A39" s="2595" t="s">
        <v>2700</v>
      </c>
      <c r="B39" s="2596" t="str">
        <f>'预评函-2'!L5</f>
        <v>红线外七通、宗地红线内场地平整</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51022</v>
      </c>
    </row>
    <row r="44" spans="1:2">
      <c r="A44" s="2595" t="s">
        <v>2721</v>
      </c>
      <c r="B44" s="2596" t="str">
        <f>'预评函-2'!O3</f>
        <v>规划建筑面积/㎡</v>
      </c>
    </row>
    <row r="45" spans="1:2">
      <c r="A45" s="2595" t="s">
        <v>2703</v>
      </c>
      <c r="B45" s="2596">
        <f>'预评函-2'!O5</f>
        <v>142861.59999999998</v>
      </c>
    </row>
    <row r="46" spans="1:2">
      <c r="A46" s="2595" t="s">
        <v>2704</v>
      </c>
      <c r="B46" s="2596">
        <f ca="1">'预评函-2'!P5</f>
        <v>6994</v>
      </c>
    </row>
    <row r="47" spans="1:2">
      <c r="A47" s="2595" t="s">
        <v>2705</v>
      </c>
      <c r="B47" s="2596">
        <f ca="1">'预评函-2'!Q5</f>
        <v>2498</v>
      </c>
    </row>
    <row r="48" spans="1:2">
      <c r="A48" s="2595" t="s">
        <v>2706</v>
      </c>
      <c r="B48" s="2596">
        <f ca="1">'预评函-2'!R5</f>
        <v>35685</v>
      </c>
    </row>
    <row r="49" spans="1:2">
      <c r="A49" s="2595" t="s">
        <v>2722</v>
      </c>
      <c r="B49" s="2596" t="str">
        <f>'预评函-2'!A6</f>
        <v>抵押价格</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2.基础设施条件：估价对象实际开发程度为红线外七通、宗地红线内场地平整；本次评估设定开发程度为红线外七通、宗地红线内场地平整。</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115" zoomScaleNormal="100" zoomScaleSheetLayoutView="115" workbookViewId="0">
      <selection activeCell="D20" sqref="D20:I20"/>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44" t="str">
        <f>IF(B10="北京市","北京市",C10)&amp;F10&amp;B16&amp;"国有建设用地使用权"&amp;B9&amp;"预评估"</f>
        <v>出让国有建设用地使用权预评估</v>
      </c>
      <c r="C1" s="3345"/>
      <c r="D1" s="3345"/>
      <c r="E1" s="3345"/>
      <c r="F1" s="3345"/>
      <c r="G1" s="3345"/>
      <c r="H1" s="3345"/>
      <c r="I1" s="3346"/>
      <c r="J1" s="3073"/>
      <c r="K1" s="2310" t="str">
        <f>IF(B10="北京市","北京市",C10)&amp;F10&amp;B16&amp;"国有建设用地使用权"&amp;B9</f>
        <v>出让国有建设用地使用权</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44186</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2957</v>
      </c>
      <c r="C8" s="1598"/>
      <c r="D8" s="3350" t="s">
        <v>1933</v>
      </c>
      <c r="E8" s="1757"/>
      <c r="F8" s="1599"/>
      <c r="G8" s="3074"/>
      <c r="H8" s="3074"/>
      <c r="I8" s="3077"/>
      <c r="J8" s="3073"/>
      <c r="K8" s="3056"/>
      <c r="L8" s="3052"/>
      <c r="M8" s="3052"/>
      <c r="N8" s="3053"/>
      <c r="O8" s="3054"/>
      <c r="P8" s="3053"/>
      <c r="Q8" s="3053"/>
      <c r="R8" s="3053"/>
      <c r="S8" s="3053"/>
      <c r="T8" s="3053"/>
      <c r="U8" s="3053"/>
    </row>
    <row r="9" spans="1:21" ht="15" thickBot="1">
      <c r="A9" s="2998" t="s">
        <v>1932</v>
      </c>
      <c r="B9" s="1600"/>
      <c r="C9" s="1601"/>
      <c r="D9" s="3351"/>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3004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3005</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7"/>
      <c r="C12" s="3348"/>
      <c r="D12" s="3349"/>
      <c r="E12" s="1620" t="s">
        <v>2050</v>
      </c>
      <c r="F12" s="3365" t="s">
        <v>2869</v>
      </c>
      <c r="G12" s="3366"/>
      <c r="H12" s="3366"/>
      <c r="I12" s="3367"/>
      <c r="J12" s="3073"/>
      <c r="K12" s="3056"/>
      <c r="L12" s="3052"/>
      <c r="M12" s="3052"/>
      <c r="N12" s="3053"/>
      <c r="O12" s="3054"/>
      <c r="P12" s="3053"/>
      <c r="Q12" s="3053"/>
      <c r="R12" s="3053"/>
      <c r="S12" s="3053"/>
      <c r="T12" s="3053"/>
      <c r="U12" s="3053"/>
    </row>
    <row r="13" spans="1:21">
      <c r="A13" s="1611" t="s">
        <v>2048</v>
      </c>
      <c r="B13" s="3347"/>
      <c r="C13" s="3348"/>
      <c r="D13" s="3349"/>
      <c r="E13" s="1620" t="s">
        <v>2050</v>
      </c>
      <c r="F13" s="3365" t="s">
        <v>2870</v>
      </c>
      <c r="G13" s="3366"/>
      <c r="H13" s="3366"/>
      <c r="I13" s="3367"/>
      <c r="J13" s="3073"/>
      <c r="K13" s="3056"/>
      <c r="L13" s="3052"/>
      <c r="M13" s="3052"/>
      <c r="N13" s="3053"/>
      <c r="O13" s="3054"/>
      <c r="P13" s="3053"/>
      <c r="Q13" s="3053"/>
      <c r="R13" s="3053"/>
      <c r="S13" s="3053"/>
      <c r="T13" s="3053"/>
      <c r="U13" s="3053"/>
    </row>
    <row r="14" spans="1:21">
      <c r="A14" s="1588" t="s">
        <v>2051</v>
      </c>
      <c r="B14" s="1620"/>
      <c r="C14" s="1758" t="s">
        <v>3010</v>
      </c>
      <c r="D14" s="1654" t="str">
        <f>IF(C14="不一致","是否符合证载地类范围","")</f>
        <v/>
      </c>
      <c r="E14" s="1620"/>
      <c r="F14" s="1704" t="s">
        <v>3011</v>
      </c>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2952</v>
      </c>
      <c r="C16" s="1620" t="s">
        <v>1937</v>
      </c>
      <c r="D16" s="2488" t="s">
        <v>1938</v>
      </c>
      <c r="E16" s="1643" t="s">
        <v>3006</v>
      </c>
      <c r="F16" s="1643"/>
      <c r="G16" s="1643"/>
      <c r="H16" s="1643"/>
      <c r="I16" s="1610" t="s">
        <v>1943</v>
      </c>
      <c r="J16" s="3073"/>
      <c r="K16" s="2311" t="str">
        <f>IF(D17="","",D16&amp;TEXT(D17,"yyyy年m月d日;;"))</f>
        <v>住宅2090年12月22日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v>69754</v>
      </c>
      <c r="E17" s="1621"/>
      <c r="F17" s="1621"/>
      <c r="G17" s="1621"/>
      <c r="H17" s="1621"/>
      <c r="I17" s="1621"/>
      <c r="J17" s="3073"/>
      <c r="K17" s="3051" t="str">
        <f>CONCATENATE(K16,L16,M16,N16,O16,P16,Q16,R16,S16,T16,,U16)</f>
        <v>住宅2090年12月22日</v>
      </c>
      <c r="L17" s="3052"/>
      <c r="M17" s="3052"/>
      <c r="N17" s="3053"/>
      <c r="O17" s="3054"/>
      <c r="P17" s="3053"/>
      <c r="Q17" s="3053"/>
      <c r="R17" s="3053"/>
      <c r="S17" s="3053"/>
      <c r="T17" s="3053"/>
      <c r="U17" s="3053"/>
    </row>
    <row r="18" spans="1:21">
      <c r="A18" s="1680"/>
      <c r="B18" s="1607"/>
      <c r="C18" s="3002" t="s">
        <v>1945</v>
      </c>
      <c r="D18" s="1608">
        <v>70</v>
      </c>
      <c r="E18" s="1608"/>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f>IF(B16="出让",IF(D17="","",ROUNDDOWN(MIN((D17-$D$3)/365,D18),2)),D18)</f>
        <v>70</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2"/>
      <c r="E20" s="3363"/>
      <c r="F20" s="3363"/>
      <c r="G20" s="3363"/>
      <c r="H20" s="3363"/>
      <c r="I20" s="3364"/>
      <c r="J20" s="3073"/>
      <c r="K20" s="3056"/>
      <c r="L20" s="3052"/>
      <c r="M20" s="3052"/>
      <c r="N20" s="3053"/>
      <c r="O20" s="3054"/>
      <c r="P20" s="3053"/>
      <c r="Q20" s="3053"/>
      <c r="R20" s="3053"/>
      <c r="S20" s="3053"/>
      <c r="T20" s="3053"/>
      <c r="U20" s="3053"/>
    </row>
    <row r="21" spans="1:21">
      <c r="A21" s="1680" t="s">
        <v>1947</v>
      </c>
      <c r="B21" s="1681" t="s">
        <v>1948</v>
      </c>
      <c r="C21" s="1676">
        <f>'数据-汇总表'!E3</f>
        <v>142861.59999999998</v>
      </c>
      <c r="D21" s="1677" t="s">
        <v>1949</v>
      </c>
      <c r="E21" s="3352" t="s">
        <v>1987</v>
      </c>
      <c r="F21" s="3353"/>
      <c r="G21" s="3353"/>
      <c r="H21" s="3353"/>
      <c r="I21" s="3354"/>
      <c r="J21" s="3073"/>
      <c r="K21" s="3056"/>
      <c r="L21" s="3052"/>
      <c r="M21" s="3052"/>
      <c r="N21" s="3053"/>
      <c r="O21" s="3054"/>
      <c r="P21" s="3053"/>
      <c r="Q21" s="3053"/>
      <c r="R21" s="3053"/>
      <c r="S21" s="3053"/>
      <c r="T21" s="3053"/>
      <c r="U21" s="3053"/>
    </row>
    <row r="22" spans="1:21">
      <c r="A22" s="2801" t="s">
        <v>943</v>
      </c>
      <c r="B22" s="1588" t="s">
        <v>1950</v>
      </c>
      <c r="C22" s="1610">
        <f>'数据-汇总表'!D3</f>
        <v>51022</v>
      </c>
      <c r="D22" s="1611" t="s">
        <v>1949</v>
      </c>
      <c r="E22" s="3352" t="s">
        <v>2871</v>
      </c>
      <c r="F22" s="3353"/>
      <c r="G22" s="3353"/>
      <c r="H22" s="3353"/>
      <c r="I22" s="3354"/>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55" t="s">
        <v>1955</v>
      </c>
      <c r="C24" s="3356"/>
      <c r="D24" s="3357" t="s">
        <v>1956</v>
      </c>
      <c r="E24" s="3358"/>
      <c r="F24" s="1629" t="s">
        <v>1957</v>
      </c>
      <c r="G24" s="3073"/>
      <c r="H24" s="3073"/>
      <c r="I24" s="3077"/>
      <c r="J24" s="3073"/>
      <c r="K24" s="3343"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43"/>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43"/>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29" t="s">
        <v>1990</v>
      </c>
      <c r="B31" s="1681" t="s">
        <v>1991</v>
      </c>
      <c r="C31" s="3368" t="s">
        <v>3007</v>
      </c>
      <c r="D31" s="3369"/>
      <c r="E31" s="3073"/>
      <c r="F31" s="3073"/>
      <c r="G31" s="3073"/>
      <c r="H31" s="3073"/>
      <c r="I31" s="3077"/>
      <c r="J31" s="3073"/>
      <c r="K31" s="3059"/>
      <c r="L31" s="3053"/>
      <c r="M31" s="3053"/>
      <c r="N31" s="3053"/>
      <c r="O31" s="3053"/>
      <c r="P31" s="3053"/>
      <c r="Q31" s="3053"/>
      <c r="R31" s="3053"/>
      <c r="S31" s="3053"/>
      <c r="T31" s="3053"/>
      <c r="U31" s="3053"/>
    </row>
    <row r="32" spans="1:21">
      <c r="A32" s="3329"/>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29"/>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30"/>
      <c r="B34" s="1588" t="s">
        <v>1994</v>
      </c>
      <c r="C34" s="3331"/>
      <c r="D34" s="3332"/>
      <c r="E34" s="3073"/>
      <c r="F34" s="3073"/>
      <c r="G34" s="3073"/>
      <c r="H34" s="3073"/>
      <c r="I34" s="3077"/>
      <c r="J34" s="3073"/>
      <c r="K34" s="3059"/>
      <c r="L34" s="3053"/>
      <c r="M34" s="3053"/>
      <c r="N34" s="3053"/>
      <c r="O34" s="3053"/>
      <c r="P34" s="3053"/>
      <c r="Q34" s="3053"/>
      <c r="R34" s="3053"/>
      <c r="S34" s="3053"/>
      <c r="T34" s="3053"/>
      <c r="U34" s="3053"/>
    </row>
    <row r="35" spans="1:28">
      <c r="A35" s="3333" t="s">
        <v>839</v>
      </c>
      <c r="B35" s="1643" t="s">
        <v>3008</v>
      </c>
      <c r="C35" s="1690" t="str">
        <f>IF(B35="场地平整","——","具体情况：")</f>
        <v>——</v>
      </c>
      <c r="D35" s="3335"/>
      <c r="E35" s="3336"/>
      <c r="F35" s="3336"/>
      <c r="G35" s="3336"/>
      <c r="H35" s="3336"/>
      <c r="I35" s="3337"/>
      <c r="J35" s="3073"/>
      <c r="K35" s="3060"/>
      <c r="L35" s="3052"/>
      <c r="M35" s="3052"/>
      <c r="N35" s="3053"/>
      <c r="O35" s="3054"/>
      <c r="P35" s="3053"/>
      <c r="Q35" s="3053"/>
      <c r="R35" s="3053"/>
      <c r="S35" s="3053"/>
      <c r="T35" s="3053"/>
      <c r="U35" s="3053"/>
    </row>
    <row r="36" spans="1:28">
      <c r="A36" s="3329"/>
      <c r="B36" s="3338" t="s">
        <v>2043</v>
      </c>
      <c r="C36" s="3339"/>
      <c r="D36" s="1706" t="s">
        <v>3009</v>
      </c>
      <c r="E36" s="3340"/>
      <c r="F36" s="3340"/>
      <c r="G36" s="1611" t="str">
        <f>IF(B35="场地未平整","估价结果处理","")</f>
        <v/>
      </c>
      <c r="H36" s="3341"/>
      <c r="I36" s="3341"/>
      <c r="J36" s="3073"/>
      <c r="K36" s="3060"/>
      <c r="L36" s="3052"/>
      <c r="M36" s="3052"/>
      <c r="N36" s="3053"/>
      <c r="O36" s="3054"/>
      <c r="P36" s="3053"/>
      <c r="Q36" s="3053"/>
      <c r="R36" s="3053"/>
      <c r="S36" s="3053"/>
      <c r="T36" s="3053"/>
      <c r="U36" s="3053"/>
    </row>
    <row r="37" spans="1:28" ht="28.5">
      <c r="A37" s="3329"/>
      <c r="B37" s="3359"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29"/>
      <c r="B38" s="3360"/>
      <c r="C38" s="1596" t="s">
        <v>842</v>
      </c>
      <c r="D38" s="1705">
        <f>ROUNDDOWN(MIN(('数据-取费表'!$B$2-D37)/365,D34),1)</f>
        <v>121</v>
      </c>
      <c r="E38" s="1648" t="s">
        <v>843</v>
      </c>
      <c r="F38" s="3073"/>
      <c r="G38" s="3073"/>
      <c r="H38" s="3073"/>
      <c r="I38" s="3077"/>
      <c r="J38" s="3073"/>
      <c r="K38" s="3060"/>
      <c r="L38" s="3053"/>
      <c r="M38" s="3053"/>
      <c r="N38" s="3053"/>
      <c r="O38" s="3053"/>
      <c r="P38" s="3053"/>
      <c r="Q38" s="3053"/>
      <c r="R38" s="3053"/>
      <c r="S38" s="3053"/>
      <c r="T38" s="3053"/>
      <c r="U38" s="3053"/>
    </row>
    <row r="39" spans="1:28">
      <c r="A39" s="3330"/>
      <c r="B39" s="3361"/>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2" t="s">
        <v>1974</v>
      </c>
      <c r="T40" s="1652" t="str">
        <f>NUMBERSTRING(7-K40,1)&amp;"通"</f>
        <v>七通</v>
      </c>
      <c r="U40" s="3053"/>
    </row>
    <row r="41" spans="1:28">
      <c r="A41" s="1590"/>
      <c r="B41" s="3334" t="s">
        <v>1712</v>
      </c>
      <c r="C41" s="3334"/>
      <c r="D41" s="3334"/>
      <c r="E41" s="3334"/>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2"/>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18664+1327+11651+19380</f>
        <v>51022</v>
      </c>
      <c r="B3" s="22">
        <f>IF(C3="否",G5-AT5,G5)</f>
        <v>142861.59999999998</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142861.59999999998</v>
      </c>
      <c r="H5" s="27">
        <f t="shared" ref="H5:AT5" si="0">SUM(H13:H641)</f>
        <v>142861.59999999998</v>
      </c>
      <c r="I5" s="27">
        <f t="shared" si="0"/>
        <v>142861.59999999998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142861.59999999998</v>
      </c>
      <c r="BA5" s="29">
        <f t="shared" si="1"/>
        <v>142861.59999999998</v>
      </c>
      <c r="BB5" s="29">
        <f t="shared" si="1"/>
        <v>142861.59999999998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51022</v>
      </c>
      <c r="F6" s="27" t="s">
        <v>1</v>
      </c>
      <c r="G6" s="27" t="s">
        <v>2</v>
      </c>
      <c r="H6" s="33">
        <f>SUMIF(I$12:AB$12,"总值",I6:AB6)</f>
        <v>51022</v>
      </c>
      <c r="I6" s="27">
        <f t="shared" ref="I6:AB6" si="2">ROUND($A$3*I5/$B$3,2)</f>
        <v>51022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51022</v>
      </c>
      <c r="AZ6" s="27" t="s">
        <v>3</v>
      </c>
      <c r="BA6" s="27">
        <f>ROUND($AY$6*BA5/$AZ$5,2)</f>
        <v>51022</v>
      </c>
      <c r="BB6" s="27">
        <f>ROUND($AY$6*BB5/$AZ$5,2)</f>
        <v>51022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t="s">
        <v>3199</v>
      </c>
      <c r="D13" s="2727" t="s">
        <v>1669</v>
      </c>
      <c r="E13" s="27">
        <f t="shared" ref="E13:E20" si="6">IF($C$3="是",ROUND($A$3*G13/$B$3,2),ROUND($A$3*(G13-AT13)/$B$3,2))</f>
        <v>40307.71</v>
      </c>
      <c r="F13" s="81"/>
      <c r="G13" s="82">
        <f t="shared" ref="G13:G20" si="7">H13+AC13+AT13</f>
        <v>112861.59999999998</v>
      </c>
      <c r="H13" s="33">
        <f t="shared" ref="H13:H20" si="8">SUMIF(I$12:AB$12,"总值",I13:AB13)</f>
        <v>112861.59999999998</v>
      </c>
      <c r="I13" s="2730">
        <f>A3*2.8-30000</f>
        <v>112861.59999999998</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t="str">
        <f t="shared" si="10"/>
        <v>商品住宅</v>
      </c>
      <c r="AY13" s="984">
        <f t="shared" ref="AY13:AY20" si="11">ROUND($AY$6*AZ13/$AZ$5,2)</f>
        <v>40307.71</v>
      </c>
      <c r="AZ13" s="27">
        <f t="shared" ref="AZ13:AZ20" si="12">BA13+BL13</f>
        <v>112861.59999999998</v>
      </c>
      <c r="BA13" s="27">
        <f t="shared" ref="BA13:BA20" si="13">SUM(BB13:BK13)</f>
        <v>112861.59999999998</v>
      </c>
      <c r="BB13" s="27">
        <f t="shared" ref="BB13:BB20" si="14">IF($D13="是",I13-J13,0)</f>
        <v>112861.59999999998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726"/>
      <c r="B14" s="2726"/>
      <c r="C14" s="2728" t="s">
        <v>3212</v>
      </c>
      <c r="D14" s="2727" t="s">
        <v>1669</v>
      </c>
      <c r="E14" s="27">
        <f t="shared" si="6"/>
        <v>10714.29</v>
      </c>
      <c r="F14" s="81"/>
      <c r="G14" s="82">
        <f t="shared" si="7"/>
        <v>30000</v>
      </c>
      <c r="H14" s="33">
        <f t="shared" si="8"/>
        <v>30000</v>
      </c>
      <c r="I14" s="2730">
        <v>30000</v>
      </c>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t="str">
        <f t="shared" si="10"/>
        <v>村集体自留部分</v>
      </c>
      <c r="AY14" s="984">
        <f t="shared" si="11"/>
        <v>10714.29</v>
      </c>
      <c r="AZ14" s="27">
        <f t="shared" si="12"/>
        <v>30000</v>
      </c>
      <c r="BA14" s="27">
        <f t="shared" si="13"/>
        <v>30000</v>
      </c>
      <c r="BB14" s="27">
        <f t="shared" si="14"/>
        <v>30000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C21" sqref="C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1" t="s">
        <v>203</v>
      </c>
      <c r="B2" s="3381"/>
      <c r="C2" s="3381"/>
      <c r="D2" s="1889" t="s">
        <v>204</v>
      </c>
      <c r="E2" s="106" t="s">
        <v>205</v>
      </c>
      <c r="F2" s="3082"/>
      <c r="G2" s="1181"/>
      <c r="H2" s="1182"/>
      <c r="I2" s="1183" t="s">
        <v>849</v>
      </c>
      <c r="J2" s="3082"/>
      <c r="K2" s="3082"/>
      <c r="L2" s="3082"/>
      <c r="M2" s="3082"/>
      <c r="N2" s="3082"/>
      <c r="O2" s="3082"/>
      <c r="P2" s="3082"/>
    </row>
    <row r="3" spans="1:16" ht="15.75" thickBot="1">
      <c r="A3" s="3382" t="s">
        <v>206</v>
      </c>
      <c r="B3" s="3382"/>
      <c r="C3" s="3382"/>
      <c r="D3" s="107">
        <f>'数据-基础表'!AY6</f>
        <v>51022</v>
      </c>
      <c r="E3" s="107">
        <f>'数据-基础表'!AZ5</f>
        <v>142861.59999999998</v>
      </c>
      <c r="F3" s="3082"/>
      <c r="G3" s="278" t="s">
        <v>850</v>
      </c>
      <c r="H3" s="273" t="s">
        <v>851</v>
      </c>
      <c r="I3" s="1890">
        <f>ROUND('数据-基础表'!B3/'数据-基础表'!A3,2)</f>
        <v>2.8</v>
      </c>
      <c r="J3" s="3082"/>
      <c r="K3" s="3082"/>
      <c r="L3" s="3082"/>
      <c r="M3" s="3082"/>
      <c r="N3" s="3082"/>
      <c r="O3" s="3082"/>
      <c r="P3" s="3082"/>
    </row>
    <row r="4" spans="1:16" ht="15">
      <c r="A4" s="3383"/>
      <c r="B4" s="3384"/>
      <c r="C4" s="3385"/>
      <c r="D4" s="108" t="s">
        <v>204</v>
      </c>
      <c r="E4" s="109" t="s">
        <v>205</v>
      </c>
      <c r="F4" s="3082"/>
      <c r="G4" s="1184"/>
      <c r="H4" s="273" t="s">
        <v>852</v>
      </c>
      <c r="I4" s="1890">
        <f>ROUND(SUMIF('数据-基础表'!I9:AS9,"地上",'数据-基础表'!I5:AS5)/'数据-基础表'!A3,2)</f>
        <v>2.8</v>
      </c>
      <c r="J4" s="3082"/>
      <c r="K4" s="3082"/>
      <c r="L4" s="3082"/>
      <c r="M4" s="3082"/>
      <c r="N4" s="3082"/>
      <c r="O4" s="3082"/>
      <c r="P4" s="3082"/>
    </row>
    <row r="5" spans="1:16">
      <c r="A5" s="110" t="s">
        <v>207</v>
      </c>
      <c r="B5" s="3386" t="s">
        <v>230</v>
      </c>
      <c r="C5" s="3386"/>
      <c r="D5" s="111">
        <f>ROUND($D$3*E5/$E$3,2)</f>
        <v>51022</v>
      </c>
      <c r="E5" s="112">
        <f>SUMIF('数据-基础表'!$11:$11,"住宅",'数据-基础表'!$5:$5)</f>
        <v>142861.59999999998</v>
      </c>
      <c r="F5" s="3082"/>
      <c r="G5" s="278" t="s">
        <v>853</v>
      </c>
      <c r="H5" s="273" t="s">
        <v>851</v>
      </c>
      <c r="I5" s="1890">
        <f>ROUND(E31/D31,2)</f>
        <v>2.8</v>
      </c>
      <c r="J5" s="3082"/>
      <c r="K5" s="3082"/>
      <c r="L5" s="3082"/>
      <c r="M5" s="3082"/>
      <c r="N5" s="3082"/>
      <c r="O5" s="3082"/>
      <c r="P5" s="3082"/>
    </row>
    <row r="6" spans="1:16" ht="15" thickBot="1">
      <c r="A6" s="113"/>
      <c r="B6" s="3386" t="s">
        <v>208</v>
      </c>
      <c r="C6" s="3386"/>
      <c r="D6" s="111">
        <f>ROUND($D$3*E6/$E$3,2)</f>
        <v>0</v>
      </c>
      <c r="E6" s="112">
        <f>E3-E5</f>
        <v>0</v>
      </c>
      <c r="F6" s="3082"/>
      <c r="G6" s="1184"/>
      <c r="H6" s="273" t="s">
        <v>852</v>
      </c>
      <c r="I6" s="1890">
        <f>ROUND(F31/D31,2)</f>
        <v>2.8</v>
      </c>
      <c r="J6" s="3082"/>
      <c r="K6" s="3082"/>
      <c r="L6" s="3082"/>
      <c r="M6" s="3082"/>
      <c r="N6" s="3082"/>
      <c r="O6" s="3082"/>
      <c r="P6" s="3082"/>
    </row>
    <row r="7" spans="1:16" ht="15">
      <c r="A7" s="3378"/>
      <c r="B7" s="3379"/>
      <c r="C7" s="3380"/>
      <c r="D7" s="108" t="s">
        <v>204</v>
      </c>
      <c r="E7" s="114" t="s">
        <v>231</v>
      </c>
      <c r="F7" s="3082"/>
      <c r="G7" s="1139" t="s">
        <v>1636</v>
      </c>
      <c r="H7" s="1140"/>
      <c r="I7" s="1760"/>
      <c r="J7" s="3082"/>
      <c r="K7" s="3082"/>
      <c r="L7" s="3082"/>
      <c r="M7" s="3082"/>
      <c r="N7" s="3082"/>
      <c r="O7" s="3082"/>
      <c r="P7" s="3082"/>
    </row>
    <row r="8" spans="1:16">
      <c r="A8" s="110" t="s">
        <v>209</v>
      </c>
      <c r="B8" s="115" t="s">
        <v>210</v>
      </c>
      <c r="C8" s="111" t="s">
        <v>211</v>
      </c>
      <c r="D8" s="111">
        <f t="shared" ref="D8:D15" si="0">ROUND($D$3*E8/$E$3,2)</f>
        <v>51022</v>
      </c>
      <c r="E8" s="116">
        <f>SUMIF('数据-基础表'!BB10:BK10,"地上",'数据-基础表'!BB5:BK5)</f>
        <v>142861.59999999998</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51022</v>
      </c>
      <c r="E16" s="120">
        <f>SUM(E8:E15)</f>
        <v>142861.59999999998</v>
      </c>
      <c r="F16" s="3082"/>
      <c r="G16" s="3083"/>
      <c r="H16" s="956" t="s">
        <v>219</v>
      </c>
      <c r="I16" s="957"/>
      <c r="J16" s="1898"/>
      <c r="K16" s="3372" t="s">
        <v>2548</v>
      </c>
      <c r="L16" s="3373"/>
      <c r="M16" s="3373"/>
      <c r="N16" s="3373"/>
      <c r="O16" s="3373"/>
      <c r="P16" s="3374"/>
    </row>
    <row r="17" spans="1:19" ht="15">
      <c r="A17" s="121" t="s">
        <v>216</v>
      </c>
      <c r="B17" s="122" t="s">
        <v>217</v>
      </c>
      <c r="C17" s="2178" t="s">
        <v>2301</v>
      </c>
      <c r="D17" s="108" t="s">
        <v>204</v>
      </c>
      <c r="E17" s="124" t="s">
        <v>205</v>
      </c>
      <c r="F17" s="125"/>
      <c r="G17" s="1319"/>
      <c r="H17" s="958" t="s">
        <v>218</v>
      </c>
      <c r="I17" s="959" t="s">
        <v>2300</v>
      </c>
      <c r="J17" s="1898"/>
      <c r="K17" s="3375" t="s">
        <v>2549</v>
      </c>
      <c r="L17" s="3376"/>
      <c r="M17" s="3377"/>
      <c r="N17" s="3375" t="s">
        <v>2550</v>
      </c>
      <c r="O17" s="3376"/>
      <c r="P17" s="3377"/>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7" t="s">
        <v>3013</v>
      </c>
      <c r="D19" s="111">
        <f t="shared" ref="D19:D26" si="1">ROUND($D$3*E19/$E$3,2)</f>
        <v>40307.71</v>
      </c>
      <c r="E19" s="134">
        <f t="shared" ref="E19:E26" si="2">SUM(F19:G19)</f>
        <v>112861.59999999998</v>
      </c>
      <c r="F19" s="3084">
        <f>'数据-基础表'!I13</f>
        <v>112861.59999999998</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40307.71</v>
      </c>
      <c r="S19" s="2181">
        <f t="shared" si="5"/>
        <v>112861.59999999998</v>
      </c>
    </row>
    <row r="20" spans="1:19">
      <c r="A20" s="137"/>
      <c r="B20" s="115" t="s">
        <v>226</v>
      </c>
      <c r="C20" s="2737" t="s">
        <v>3213</v>
      </c>
      <c r="D20" s="111">
        <f t="shared" si="1"/>
        <v>10714.29</v>
      </c>
      <c r="E20" s="134">
        <f t="shared" si="2"/>
        <v>30000</v>
      </c>
      <c r="F20" s="3084">
        <v>30000</v>
      </c>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10714.29</v>
      </c>
      <c r="S20" s="2181">
        <f t="shared" si="5"/>
        <v>30000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51022</v>
      </c>
      <c r="E27" s="141">
        <f>IF(SUM(E19:E26)='数据-基础表'!BA5,SUM(E19:E26),IF(F27="地上面积有误","面积有误","地下面积有误"))</f>
        <v>142861.59999999998</v>
      </c>
      <c r="F27" s="134">
        <f>IF(SUM(F19:F26)=E8,SUM(F19:F26),"地上面积有误")</f>
        <v>142861.59999999998</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51022</v>
      </c>
      <c r="S27" s="273">
        <f>IF(SUM(S19:S26)=$E$3,SUM(S19:S26),SUM(S19:S26)&amp;"误差"&amp;ROUND(SUM(S19:S26)-E3,2))</f>
        <v>142861.59999999998</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51022</v>
      </c>
      <c r="E31" s="1323">
        <f>E27+E30</f>
        <v>142861.59999999998</v>
      </c>
      <c r="F31" s="1324">
        <f>F27+F30</f>
        <v>142861.59999999998</v>
      </c>
      <c r="G31" s="1325">
        <f>G27+G30</f>
        <v>0</v>
      </c>
      <c r="H31" s="3082"/>
      <c r="I31" s="3082"/>
      <c r="J31" s="3082"/>
      <c r="K31" s="3082"/>
      <c r="L31" s="3082"/>
      <c r="M31" s="3082"/>
      <c r="N31" s="3082"/>
      <c r="O31" s="3082"/>
      <c r="P31" s="3082"/>
    </row>
    <row r="32" spans="1:19">
      <c r="A32" s="1898"/>
      <c r="B32" s="2222" t="s">
        <v>2309</v>
      </c>
      <c r="C32" s="2489"/>
      <c r="D32" s="1184"/>
      <c r="E32" s="1184">
        <f>SUMIF(C19:C26,"*住宅*",E19:E26)</f>
        <v>112861.59999999998</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44186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2976</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69754</v>
      </c>
      <c r="F6" s="172">
        <f>SUMIF(项目基本情况!D$15:I$15,C6,项目基本情况!D$19:I$19)</f>
        <v>70</v>
      </c>
      <c r="G6" s="173">
        <f>IF(ISERROR(ROUND(POWER(1+H6,D6-F6)*(POWER(1+H6,F6)-1)/(POWER(1+H6,D6)-1),3)),0,ROUND(POWER(1+H6,D6-F6)*(POWER(1+H6,F6)-1)/(POWER(1+H6,D6)-1),3))</f>
        <v>1</v>
      </c>
      <c r="H6" s="2738">
        <v>4.4999999999999998E-2</v>
      </c>
      <c r="I6" s="2738">
        <v>0.05</v>
      </c>
      <c r="J6" s="174">
        <v>0.08</v>
      </c>
      <c r="K6" s="177">
        <f>SUMIF('数据-汇总表'!C$19:C$33,'数据-取费表'!A6,'数据-汇总表'!E$19:E$33)</f>
        <v>112861.59999999998</v>
      </c>
      <c r="L6" s="2739">
        <f>L19</f>
        <v>3000</v>
      </c>
      <c r="M6" s="175">
        <f t="shared" ref="M6:M14" si="0">ROUND(K6*L6/10000,0)</f>
        <v>33858</v>
      </c>
      <c r="N6" s="2740">
        <v>0</v>
      </c>
      <c r="O6" s="175">
        <f>IF($N$5="成新度","——",ROUND(M6*N6,0))</f>
        <v>0</v>
      </c>
      <c r="P6" s="176">
        <f>IF($N$5="成新度","——",M6-O6)</f>
        <v>33858</v>
      </c>
      <c r="Q6" s="2741">
        <v>0.15</v>
      </c>
      <c r="R6" s="177">
        <f>SUMIF('数据-汇总表'!C$19:C$33,A6,'数据-汇总表'!R$19:R$33)</f>
        <v>40307.71</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0.95399999999999996</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村集体自留部分</v>
      </c>
      <c r="B7" s="2217" t="str">
        <f t="shared" ref="B7:B13" si="1">IF(A7=0,"","经营性")</f>
        <v>经营性</v>
      </c>
      <c r="C7" s="171" t="s">
        <v>914</v>
      </c>
      <c r="D7" s="2188">
        <f>SUMIF(项目基本情况!D$15:I$15,C7,项目基本情况!D$18:I$18)</f>
        <v>70</v>
      </c>
      <c r="E7" s="2189">
        <f>IF(B7="","",SUMIF(项目基本情况!D$15:I$15,C7,项目基本情况!D$17:I$17))</f>
        <v>69754</v>
      </c>
      <c r="F7" s="172">
        <f>SUMIF(项目基本情况!D$15:I$15,C7,项目基本情况!D$19:I$19)</f>
        <v>70</v>
      </c>
      <c r="G7" s="173">
        <f t="shared" ref="G7:G11" si="2">IF(ISERROR(ROUND(POWER(1+H7,D7-F7)*(POWER(1+H7,F7)-1)/(POWER(1+H7,D7)-1),3)),0,ROUND(POWER(1+H7,D7-F7)*(POWER(1+H7,F7)-1)/(POWER(1+H7,D7)-1),3))</f>
        <v>1</v>
      </c>
      <c r="H7" s="2738">
        <f>H6</f>
        <v>4.4999999999999998E-2</v>
      </c>
      <c r="I7" s="2738">
        <f>I6</f>
        <v>0.05</v>
      </c>
      <c r="J7" s="174">
        <f>J6</f>
        <v>0.08</v>
      </c>
      <c r="K7" s="177">
        <f>SUMIF('数据-汇总表'!C$19:C$33,'数据-取费表'!A7,'数据-汇总表'!E$19:E$33)</f>
        <v>30000</v>
      </c>
      <c r="L7" s="2739">
        <f>L6</f>
        <v>3000</v>
      </c>
      <c r="M7" s="175">
        <f t="shared" si="0"/>
        <v>9000</v>
      </c>
      <c r="N7" s="2740">
        <f>N6</f>
        <v>0</v>
      </c>
      <c r="O7" s="175">
        <f t="shared" ref="O7:O14" si="3">IF($N$5="成新度","——",ROUND(M7*N7,0))</f>
        <v>0</v>
      </c>
      <c r="P7" s="176">
        <f t="shared" ref="P7:P14" si="4">IF($N$5="成新度","——",M7-O7)</f>
        <v>9000</v>
      </c>
      <c r="Q7" s="2741">
        <v>0</v>
      </c>
      <c r="R7" s="177">
        <f>SUMIF('数据-汇总表'!C$19:C$33,A7,'数据-汇总表'!R$19:R$33)</f>
        <v>10714.29</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0.95399999999999996</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142861.59999999998</v>
      </c>
      <c r="L16" s="204">
        <f>ROUND(M16*10000/SUM(K6:K14),0)</f>
        <v>3000</v>
      </c>
      <c r="M16" s="204">
        <f>SUM(M6:M14)</f>
        <v>42858</v>
      </c>
      <c r="N16" s="205">
        <f>ROUND(SUMPRODUCT(M6:M14,N6:N14)/M16,3)</f>
        <v>0</v>
      </c>
      <c r="O16" s="204">
        <f>SUM(O6:O14)</f>
        <v>0</v>
      </c>
      <c r="P16" s="204">
        <f>SUM(P6:P14)</f>
        <v>42858</v>
      </c>
      <c r="Q16" s="206">
        <f>ROUND(SUMPRODUCT(Q6:Q13,K6:K13)/SUMPRODUCT((Q6:Q13&gt;0)*(K6:K13)),2)</f>
        <v>0.15</v>
      </c>
      <c r="R16" s="2191">
        <f>SUM(R6:R13)</f>
        <v>51022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0.95399999999999996</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f>K16*0.2</f>
        <v>28572.319999999996</v>
      </c>
      <c r="L17" s="3091">
        <v>2500</v>
      </c>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282">
        <f>K16</f>
        <v>142861.59999999998</v>
      </c>
      <c r="L18" s="3091">
        <v>2500</v>
      </c>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2989</v>
      </c>
      <c r="D19" s="3093"/>
      <c r="E19" s="3092"/>
      <c r="F19" s="3092"/>
      <c r="G19" s="3092"/>
      <c r="H19" s="3092"/>
      <c r="I19" s="3092"/>
      <c r="J19" s="3092"/>
      <c r="K19" s="3091"/>
      <c r="L19" s="3091">
        <f>(K17*L17+K18*L18)/K16</f>
        <v>3000</v>
      </c>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75</v>
      </c>
      <c r="C27" s="3105" t="s">
        <v>2990</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75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2977</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2978</v>
      </c>
      <c r="D34" s="3108" t="s">
        <v>2986</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2979</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2980</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2981</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2981</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2" t="s">
        <v>2439</v>
      </c>
      <c r="B40" s="2334">
        <f ca="1">存贷款利率!E2</f>
        <v>4.7500000000000001E-2</v>
      </c>
      <c r="C40" s="3107" t="s">
        <v>2982</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2987</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2983</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2984</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2991</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2983</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2985</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2873</v>
      </c>
      <c r="D53" s="3111" t="s">
        <v>2988</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v>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87" t="s">
        <v>1654</v>
      </c>
      <c r="B1" s="3388"/>
      <c r="C1" s="3388"/>
      <c r="D1" s="3388"/>
      <c r="E1" s="3388"/>
      <c r="F1" s="3388"/>
      <c r="G1" s="338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142861.59999999998</v>
      </c>
      <c r="C1" s="3194"/>
      <c r="D1" s="3194"/>
      <c r="E1" s="3194"/>
      <c r="F1" s="3194"/>
      <c r="G1" s="3195"/>
      <c r="H1" s="3195"/>
      <c r="I1" s="3195"/>
      <c r="J1" s="3195"/>
    </row>
    <row r="2" spans="1:10" ht="16.5">
      <c r="A2" s="3185" t="s">
        <v>2825</v>
      </c>
      <c r="B2" s="3185">
        <f>SUM(C14:C23)</f>
        <v>51022</v>
      </c>
      <c r="C2" s="3194"/>
      <c r="D2" s="3194"/>
      <c r="E2" s="3194"/>
      <c r="F2" s="3194"/>
      <c r="G2" s="3195"/>
      <c r="H2" s="3195"/>
      <c r="I2" s="3195"/>
      <c r="J2" s="3195"/>
    </row>
    <row r="3" spans="1:10" ht="16.5">
      <c r="A3" s="3185" t="s">
        <v>2826</v>
      </c>
      <c r="B3" s="3187">
        <f>项目基本情况!D3</f>
        <v>44186</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35685</v>
      </c>
      <c r="C5" s="3185">
        <f ca="1">ROUND(B5*10000/$B$1,0)</f>
        <v>2498</v>
      </c>
      <c r="D5" s="3185">
        <f ca="1">ROUND(B5*10000/$B$2,0)</f>
        <v>6994</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142861.59999999998</v>
      </c>
      <c r="C14" s="3191">
        <f>结果表!K38</f>
        <v>51022</v>
      </c>
      <c r="D14" s="3191">
        <f ca="1">结果表!C42</f>
        <v>35685</v>
      </c>
      <c r="E14" s="3191">
        <f ca="1">ROUND(D14*10000/B14,0)</f>
        <v>2498</v>
      </c>
      <c r="F14" s="3191">
        <f ca="1">ROUND(D14*10000/C14,0)</f>
        <v>6994</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M10" sqref="M10"/>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t="s">
        <v>3035</v>
      </c>
      <c r="E1" s="1720" t="s">
        <v>2046</v>
      </c>
      <c r="F1" s="1722" t="s">
        <v>3036</v>
      </c>
      <c r="G1" s="309"/>
      <c r="H1" s="309"/>
      <c r="I1" s="309"/>
      <c r="J1" s="1912"/>
      <c r="K1" s="1912"/>
      <c r="L1" s="1912"/>
      <c r="M1" s="1912"/>
      <c r="N1" s="1912"/>
      <c r="O1" s="1912"/>
      <c r="P1" s="1912"/>
      <c r="Q1" s="1912"/>
      <c r="R1" s="1912"/>
      <c r="S1" s="1912"/>
      <c r="T1" s="1912"/>
      <c r="U1" s="1912"/>
      <c r="V1" s="1912"/>
    </row>
    <row r="2" spans="1:22" ht="21.75" customHeight="1" thickBot="1">
      <c r="A2" s="3433" t="str">
        <f>项目基本情况!K2</f>
        <v>出让国有建设用地使用权</v>
      </c>
      <c r="B2" s="3434"/>
      <c r="C2" s="3435"/>
      <c r="D2" s="3435"/>
      <c r="E2" s="3435"/>
      <c r="F2" s="3435"/>
      <c r="G2" s="3434"/>
      <c r="H2" s="3434"/>
      <c r="I2" s="3436"/>
      <c r="J2" s="1913"/>
      <c r="K2" s="1912"/>
      <c r="L2" s="1912"/>
      <c r="M2" s="1912"/>
      <c r="N2" s="1912"/>
      <c r="O2" s="1912"/>
      <c r="P2" s="1912"/>
      <c r="Q2" s="1912"/>
      <c r="R2" s="1912"/>
      <c r="S2" s="1912"/>
      <c r="T2" s="1912"/>
      <c r="U2" s="1912"/>
      <c r="V2" s="1912"/>
    </row>
    <row r="3" spans="1:22" ht="14.25">
      <c r="A3" s="3426" t="s">
        <v>298</v>
      </c>
      <c r="B3" s="3427"/>
      <c r="C3" s="3427"/>
      <c r="D3" s="3427"/>
      <c r="E3" s="3427"/>
      <c r="F3" s="3427"/>
      <c r="G3" s="3427"/>
      <c r="H3" s="3427"/>
      <c r="I3" s="3427"/>
      <c r="J3" s="1913"/>
      <c r="K3" s="1912"/>
      <c r="L3" s="1912"/>
      <c r="M3" s="1912"/>
      <c r="N3" s="1912"/>
      <c r="O3" s="1912"/>
      <c r="P3" s="1912"/>
      <c r="Q3" s="1912"/>
      <c r="R3" s="1912"/>
      <c r="S3" s="1912"/>
      <c r="T3" s="1912"/>
      <c r="U3" s="1912"/>
      <c r="V3" s="1912"/>
    </row>
    <row r="4" spans="1:22" ht="14.25">
      <c r="A4" s="256" t="s">
        <v>299</v>
      </c>
      <c r="B4" s="257" t="s">
        <v>300</v>
      </c>
      <c r="C4" s="258" t="s">
        <v>3037</v>
      </c>
      <c r="D4" s="258" t="s">
        <v>3215</v>
      </c>
      <c r="E4" s="3392" t="s">
        <v>301</v>
      </c>
      <c r="F4" s="3393"/>
      <c r="G4" s="3393"/>
      <c r="H4" s="3393"/>
      <c r="I4" s="3428"/>
      <c r="J4" s="1913"/>
      <c r="K4" s="1912"/>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比较法</v>
      </c>
      <c r="N4" s="1912"/>
      <c r="O4" s="1912"/>
      <c r="P4" s="1912"/>
      <c r="Q4" s="1912"/>
      <c r="R4" s="1912"/>
      <c r="S4" s="1912"/>
      <c r="T4" s="1912"/>
      <c r="U4" s="1912"/>
      <c r="V4" s="1912"/>
    </row>
    <row r="5" spans="1:22" ht="14.25">
      <c r="A5" s="3391" t="s">
        <v>302</v>
      </c>
      <c r="B5" s="3420">
        <v>25</v>
      </c>
      <c r="C5" s="3418"/>
      <c r="D5" s="3422"/>
      <c r="E5" s="259" t="s">
        <v>303</v>
      </c>
      <c r="F5" s="260"/>
      <c r="G5" s="260"/>
      <c r="H5" s="260"/>
      <c r="I5" s="261"/>
      <c r="J5" s="1913"/>
      <c r="K5" s="1912"/>
      <c r="L5" s="1912"/>
      <c r="M5" s="1912"/>
      <c r="N5" s="1912"/>
      <c r="O5" s="1912"/>
      <c r="P5" s="1912"/>
      <c r="Q5" s="1912"/>
      <c r="R5" s="1912"/>
      <c r="S5" s="1912"/>
      <c r="T5" s="1912"/>
      <c r="U5" s="1912"/>
      <c r="V5" s="1912"/>
    </row>
    <row r="6" spans="1:22" ht="14.25">
      <c r="A6" s="3391"/>
      <c r="B6" s="3420"/>
      <c r="C6" s="3421"/>
      <c r="D6" s="3422"/>
      <c r="E6" s="259" t="s">
        <v>304</v>
      </c>
      <c r="F6" s="260"/>
      <c r="G6" s="260"/>
      <c r="H6" s="260"/>
      <c r="I6" s="261"/>
      <c r="J6" s="1913"/>
      <c r="K6" s="1912"/>
      <c r="L6" s="1912"/>
      <c r="M6" s="1912"/>
      <c r="N6" s="1912"/>
      <c r="O6" s="1912"/>
      <c r="P6" s="1912"/>
      <c r="Q6" s="1912"/>
      <c r="R6" s="1912"/>
      <c r="S6" s="1912"/>
      <c r="T6" s="1912"/>
      <c r="U6" s="1912"/>
      <c r="V6" s="1912"/>
    </row>
    <row r="7" spans="1:22" ht="14.25">
      <c r="A7" s="3391"/>
      <c r="B7" s="3420"/>
      <c r="C7" s="3419"/>
      <c r="D7" s="3422"/>
      <c r="E7" s="259" t="s">
        <v>305</v>
      </c>
      <c r="F7" s="260"/>
      <c r="G7" s="260"/>
      <c r="H7" s="260"/>
      <c r="I7" s="261"/>
      <c r="J7" s="1913"/>
      <c r="K7" s="1912"/>
      <c r="L7" s="1912"/>
      <c r="M7" s="1912"/>
      <c r="N7" s="1912"/>
      <c r="O7" s="1912"/>
      <c r="P7" s="1912"/>
      <c r="Q7" s="1912"/>
      <c r="R7" s="1912"/>
      <c r="S7" s="1912"/>
      <c r="T7" s="1912"/>
      <c r="U7" s="1912"/>
      <c r="V7" s="1912"/>
    </row>
    <row r="8" spans="1:22" ht="14.25">
      <c r="A8" s="3391" t="s">
        <v>306</v>
      </c>
      <c r="B8" s="3420">
        <v>15</v>
      </c>
      <c r="C8" s="3418"/>
      <c r="D8" s="3422"/>
      <c r="E8" s="259" t="s">
        <v>307</v>
      </c>
      <c r="F8" s="260"/>
      <c r="G8" s="260"/>
      <c r="H8" s="260"/>
      <c r="I8" s="261"/>
      <c r="J8" s="1913"/>
      <c r="K8" s="1912"/>
      <c r="L8" s="1912"/>
      <c r="M8" s="1912"/>
      <c r="N8" s="1912"/>
      <c r="O8" s="1912"/>
      <c r="P8" s="1912"/>
      <c r="Q8" s="1912"/>
      <c r="R8" s="1912"/>
      <c r="S8" s="1912"/>
      <c r="T8" s="1912"/>
      <c r="U8" s="1912"/>
      <c r="V8" s="1912"/>
    </row>
    <row r="9" spans="1:22" ht="14.25">
      <c r="A9" s="3391"/>
      <c r="B9" s="3420"/>
      <c r="C9" s="3419"/>
      <c r="D9" s="3422"/>
      <c r="E9" s="259" t="s">
        <v>308</v>
      </c>
      <c r="F9" s="260"/>
      <c r="G9" s="260"/>
      <c r="H9" s="260"/>
      <c r="I9" s="261"/>
      <c r="J9" s="1913"/>
      <c r="K9" s="1912"/>
      <c r="L9" s="1912"/>
      <c r="M9" s="1912"/>
      <c r="N9" s="1912"/>
      <c r="O9" s="1912"/>
      <c r="P9" s="1912"/>
      <c r="Q9" s="1912"/>
      <c r="R9" s="1912"/>
      <c r="S9" s="1912"/>
      <c r="T9" s="1912"/>
      <c r="U9" s="1912"/>
      <c r="V9" s="1912"/>
    </row>
    <row r="10" spans="1:22" ht="14.25">
      <c r="A10" s="3391" t="s">
        <v>309</v>
      </c>
      <c r="B10" s="3420">
        <v>15</v>
      </c>
      <c r="C10" s="3418"/>
      <c r="D10" s="3422"/>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1"/>
      <c r="B11" s="3420"/>
      <c r="C11" s="3419"/>
      <c r="D11" s="3422"/>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1" t="s">
        <v>312</v>
      </c>
      <c r="B12" s="3420">
        <v>15</v>
      </c>
      <c r="C12" s="3418"/>
      <c r="D12" s="3422"/>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1"/>
      <c r="B13" s="3420"/>
      <c r="C13" s="3419"/>
      <c r="D13" s="3422"/>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1" t="s">
        <v>315</v>
      </c>
      <c r="B14" s="3420">
        <v>30</v>
      </c>
      <c r="C14" s="3418">
        <v>5</v>
      </c>
      <c r="D14" s="3422">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1"/>
      <c r="B15" s="3420"/>
      <c r="C15" s="3421"/>
      <c r="D15" s="3422"/>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1"/>
      <c r="B16" s="3420"/>
      <c r="C16" s="3419"/>
      <c r="D16" s="3422"/>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23" t="s">
        <v>2965</v>
      </c>
      <c r="F18" s="3424"/>
      <c r="G18" s="3424"/>
      <c r="H18" s="3424"/>
      <c r="I18" s="3424"/>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32739</v>
      </c>
      <c r="D19" s="269">
        <f ca="1">SUMIF(INDIRECT("'"&amp;D4&amp;"'"&amp;"!A:A"),结果表!B19,INDIRECT("'"&amp;D4&amp;"'"&amp;"!B:B"))</f>
        <v>38630</v>
      </c>
      <c r="E19" s="266" t="s">
        <v>323</v>
      </c>
      <c r="F19" s="267" t="s">
        <v>322</v>
      </c>
      <c r="G19" s="270">
        <f ca="1">ROUND(C19*$C$18+D19*$D$18,0)</f>
        <v>35685</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2292</v>
      </c>
      <c r="D20" s="275">
        <f ca="1">SUMIF(INDIRECT("'"&amp;D4&amp;"'"&amp;"!A:A"),结果表!B20,INDIRECT("'"&amp;D4&amp;"'"&amp;"!B:B"))</f>
        <v>2704</v>
      </c>
      <c r="E20" s="272"/>
      <c r="F20" s="273" t="s">
        <v>325</v>
      </c>
      <c r="G20" s="276">
        <f ca="1">ROUND(C20*$C$18+D20*$D$18,0)</f>
        <v>2498</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6417</v>
      </c>
      <c r="D21" s="149">
        <f ca="1">SUMIF(INDIRECT("'"&amp;D4&amp;"'"&amp;"!A:A"),结果表!B21,INDIRECT("'"&amp;D4&amp;"'"&amp;"!B:B"))</f>
        <v>7571</v>
      </c>
      <c r="E21" s="272"/>
      <c r="F21" s="278" t="s">
        <v>327</v>
      </c>
      <c r="G21" s="280">
        <f ca="1">ROUND(C21*$C$18+D21*$D$18,0)</f>
        <v>6994</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0.17993829988698495</v>
      </c>
      <c r="E22" s="282"/>
      <c r="F22" s="283"/>
      <c r="G22" s="284">
        <f ca="1">ROUND(G19/('数据-汇总表'!D3/666.67),0)</f>
        <v>466</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7"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98"/>
      <c r="B25" s="1275" t="s">
        <v>331</v>
      </c>
      <c r="C25" s="288">
        <f>IF(B30=0,0,C30)</f>
        <v>0</v>
      </c>
      <c r="D25" s="289"/>
      <c r="E25" s="309"/>
      <c r="F25" s="309"/>
      <c r="G25" s="309"/>
      <c r="H25" s="309"/>
      <c r="I25" s="309"/>
      <c r="J25" s="1912"/>
      <c r="K25" s="1209" t="str">
        <f ca="1">项目基本情况!B16&amp;"国有建设用地使用权价格："&amp;O38&amp;"万元"</f>
        <v>出让国有建设用地使用权价格：35685万元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大写金额：人民币叁亿伍仟陆佰捌拾伍万元整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单位面积地价：6994元/平方米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楼面地价：2498元/平方米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0" t="s">
        <v>336</v>
      </c>
      <c r="B30" s="307"/>
      <c r="C30" s="307"/>
      <c r="D30" s="308"/>
      <c r="E30" s="3003" t="s">
        <v>2966</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425" t="s">
        <v>2967</v>
      </c>
      <c r="B31" s="3425"/>
      <c r="C31" s="3425"/>
      <c r="D31" s="3425"/>
      <c r="E31" s="3425"/>
      <c r="F31" s="3425"/>
      <c r="G31" s="3425"/>
      <c r="H31" s="3425"/>
      <c r="I31" s="3425"/>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4" t="s">
        <v>1679</v>
      </c>
      <c r="C32" s="264">
        <f ca="1">G19-C24</f>
        <v>35685</v>
      </c>
      <c r="D32" s="3005"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2498</v>
      </c>
      <c r="D33" s="1334" t="s">
        <v>1682</v>
      </c>
      <c r="E33" s="3397"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6994</v>
      </c>
      <c r="D34" s="1336" t="s">
        <v>1682</v>
      </c>
      <c r="E34" s="3441"/>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466</v>
      </c>
      <c r="D35" s="1339" t="s">
        <v>1684</v>
      </c>
      <c r="E35" s="3442"/>
      <c r="F35" s="299" t="s">
        <v>342</v>
      </c>
      <c r="G35" s="970"/>
      <c r="H35" s="969" t="s">
        <v>343</v>
      </c>
      <c r="I35" s="309"/>
      <c r="J35" s="1912"/>
      <c r="K35" s="3415" t="s">
        <v>350</v>
      </c>
      <c r="L35" s="3415" t="s">
        <v>351</v>
      </c>
      <c r="M35" s="1218" t="s">
        <v>352</v>
      </c>
      <c r="N35" s="3415" t="s">
        <v>353</v>
      </c>
      <c r="O35" s="3415" t="s">
        <v>354</v>
      </c>
      <c r="P35" s="1912"/>
      <c r="V35" s="1912"/>
    </row>
    <row r="36" spans="1:26" ht="16.5" customHeight="1">
      <c r="A36" s="301" t="s">
        <v>344</v>
      </c>
      <c r="B36" s="302" t="s">
        <v>333</v>
      </c>
      <c r="C36" s="303" t="s">
        <v>345</v>
      </c>
      <c r="D36" s="303" t="s">
        <v>346</v>
      </c>
      <c r="E36" s="304" t="s">
        <v>347</v>
      </c>
      <c r="F36" s="309"/>
      <c r="G36" s="309"/>
      <c r="H36" s="309"/>
      <c r="I36" s="309"/>
      <c r="J36" s="1914"/>
      <c r="K36" s="3416"/>
      <c r="L36" s="3416"/>
      <c r="M36" s="1220" t="s">
        <v>355</v>
      </c>
      <c r="N36" s="3416"/>
      <c r="O36" s="3416"/>
      <c r="P36" s="1912"/>
      <c r="V36" s="1912"/>
    </row>
    <row r="37" spans="1:26" ht="16.5" customHeight="1" thickBot="1">
      <c r="A37" s="1214" t="s">
        <v>348</v>
      </c>
      <c r="B37" s="305"/>
      <c r="C37" s="292"/>
      <c r="D37" s="292"/>
      <c r="E37" s="293"/>
      <c r="F37" s="309"/>
      <c r="G37" s="309"/>
      <c r="H37" s="309"/>
      <c r="I37" s="309"/>
      <c r="J37" s="1914"/>
      <c r="K37" s="3417"/>
      <c r="L37" s="3417"/>
      <c r="M37" s="1221"/>
      <c r="N37" s="3417"/>
      <c r="O37" s="3417"/>
      <c r="P37" s="1912"/>
      <c r="V37" s="1912"/>
    </row>
    <row r="38" spans="1:26" ht="16.5" customHeight="1" thickBot="1">
      <c r="A38" s="1214" t="s">
        <v>349</v>
      </c>
      <c r="B38" s="305"/>
      <c r="C38" s="292"/>
      <c r="D38" s="292"/>
      <c r="E38" s="293"/>
      <c r="F38" s="309"/>
      <c r="G38" s="309"/>
      <c r="H38" s="309"/>
      <c r="I38" s="309"/>
      <c r="J38" s="1914"/>
      <c r="K38" s="1222">
        <f>'数据-汇总表'!D3</f>
        <v>51022</v>
      </c>
      <c r="L38" s="1223">
        <f>'数据-汇总表'!E3</f>
        <v>142861.59999999998</v>
      </c>
      <c r="M38" s="1223">
        <f ca="1">C34</f>
        <v>6994</v>
      </c>
      <c r="N38" s="1223">
        <f ca="1">C33</f>
        <v>2498</v>
      </c>
      <c r="O38" s="1224">
        <f ca="1">C32</f>
        <v>35685</v>
      </c>
      <c r="P38" s="1912"/>
      <c r="V38" s="1912"/>
    </row>
    <row r="39" spans="1:26" ht="16.5" customHeight="1" thickBot="1">
      <c r="A39" s="1219"/>
      <c r="B39" s="306"/>
      <c r="C39" s="307"/>
      <c r="D39" s="307"/>
      <c r="E39" s="308"/>
      <c r="F39" s="309"/>
      <c r="G39" s="309"/>
      <c r="H39" s="309"/>
      <c r="I39" s="309"/>
      <c r="J39" s="1914"/>
      <c r="K39" s="3455" t="str">
        <f>MID(A44,3,LEN(A44)-2)</f>
        <v/>
      </c>
      <c r="L39" s="3456"/>
      <c r="M39" s="3456"/>
      <c r="N39" s="3457"/>
      <c r="O39" s="1341" t="str">
        <f>C44</f>
        <v>——</v>
      </c>
      <c r="P39" s="1912"/>
      <c r="V39" s="1912"/>
    </row>
    <row r="40" spans="1:26" ht="19.5" thickBot="1">
      <c r="A40" s="104" t="s">
        <v>864</v>
      </c>
      <c r="B40" s="309"/>
      <c r="C40" s="309"/>
      <c r="D40" s="309"/>
      <c r="E40" s="309"/>
      <c r="F40" s="309"/>
      <c r="G40" s="309"/>
      <c r="H40" s="309"/>
      <c r="I40" s="309"/>
      <c r="J40" s="1914"/>
      <c r="K40" s="3455" t="str">
        <f t="shared" ref="K40:K41" si="0">MID(A45,3,LEN(A45)-2)</f>
        <v/>
      </c>
      <c r="L40" s="3456"/>
      <c r="M40" s="3456"/>
      <c r="N40" s="3457"/>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5" t="str">
        <f t="shared" si="0"/>
        <v/>
      </c>
      <c r="L41" s="3456"/>
      <c r="M41" s="3456"/>
      <c r="N41" s="3457"/>
      <c r="O41" s="1341" t="str">
        <f>C46</f>
        <v>——</v>
      </c>
      <c r="P41" s="1912"/>
      <c r="V41" s="1912"/>
    </row>
    <row r="42" spans="1:26" ht="29.25">
      <c r="A42" s="3399" t="s">
        <v>2056</v>
      </c>
      <c r="B42" s="3400"/>
      <c r="C42" s="262">
        <f ca="1">C32</f>
        <v>35685</v>
      </c>
      <c r="D42" s="315">
        <f ca="1">C33</f>
        <v>2498</v>
      </c>
      <c r="E42" s="315">
        <f ca="1">C34</f>
        <v>6994</v>
      </c>
      <c r="F42" s="316">
        <f ca="1">C35</f>
        <v>466</v>
      </c>
      <c r="G42" s="309"/>
      <c r="H42" s="309"/>
      <c r="I42" s="317"/>
      <c r="J42" s="1914"/>
      <c r="K42" s="1225" t="s">
        <v>361</v>
      </c>
      <c r="L42" s="1931" t="s">
        <v>362</v>
      </c>
      <c r="M42" s="1226" t="s">
        <v>363</v>
      </c>
      <c r="N42" s="1932" t="s">
        <v>364</v>
      </c>
      <c r="O42" s="1933" t="s">
        <v>365</v>
      </c>
      <c r="P42" s="1912"/>
      <c r="V42" s="1912"/>
    </row>
    <row r="43" spans="1:26" ht="30">
      <c r="A43" s="3410" t="s">
        <v>2711</v>
      </c>
      <c r="B43" s="3411"/>
      <c r="C43" s="262">
        <f>IF(H33="正常操作",G33+G34+G35,G34+G35)</f>
        <v>0</v>
      </c>
      <c r="D43" s="315" t="s">
        <v>43</v>
      </c>
      <c r="E43" s="315" t="s">
        <v>44</v>
      </c>
      <c r="F43" s="316" t="s">
        <v>44</v>
      </c>
      <c r="G43" s="2584" t="s">
        <v>943</v>
      </c>
      <c r="H43" s="309"/>
      <c r="I43" s="317"/>
      <c r="J43" s="1914"/>
      <c r="K43" s="1227" t="str">
        <f>C4</f>
        <v>剩余法-待开发</v>
      </c>
      <c r="L43" s="1228">
        <f ca="1">IF(L42="估价结果/万元",C19,C20)</f>
        <v>32739</v>
      </c>
      <c r="M43" s="1229">
        <f>C18</f>
        <v>0.5</v>
      </c>
      <c r="N43" s="1230">
        <f ca="1">IF(N42="测算结果/万元",G19,G20)</f>
        <v>35685</v>
      </c>
      <c r="O43" s="1231">
        <f ca="1">IF(O42="最终结果/万元",C32,C33)</f>
        <v>35685</v>
      </c>
      <c r="P43" s="1912"/>
      <c r="V43" s="1912"/>
    </row>
    <row r="44" spans="1:26" ht="30.75" thickBot="1">
      <c r="A44" s="3399" t="str">
        <f>IF(OR(项目基本情况!E8="抵押价格",项目基本情况!E8="已注销及未注销"),"3.抵押价格","——")</f>
        <v>——</v>
      </c>
      <c r="B44" s="3400"/>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比较法-住宅、综合 (高)</v>
      </c>
      <c r="L44" s="1233">
        <f ca="1">IF(L42="估价结果/万元",D19,D20)</f>
        <v>38630</v>
      </c>
      <c r="M44" s="1234">
        <f>D18</f>
        <v>0.5</v>
      </c>
      <c r="N44" s="1235"/>
      <c r="O44" s="1236"/>
      <c r="P44" s="1912"/>
      <c r="V44" s="1912"/>
    </row>
    <row r="45" spans="1:26" ht="15">
      <c r="A45" s="3405" t="str">
        <f>IF(项目基本情况!E8="已注销及未注销","4.抵押担保权已注销时的抵押价格",IF(项目基本情况!E8="已注销","3.抵押担保权已注销时的抵押价格","——"))</f>
        <v>——</v>
      </c>
      <c r="B45" s="3406"/>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1" t="str">
        <f>IF(项目基本情况!E9="抵押净值",IF(A45="——","4.抵押净值","5.抵押净值"),"——")</f>
        <v>——</v>
      </c>
      <c r="B46" s="3402"/>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9" t="s">
        <v>374</v>
      </c>
      <c r="B63" s="3450"/>
      <c r="C63" s="3451"/>
      <c r="D63" s="339">
        <f ca="1">ROUND(C42*F63,0)</f>
        <v>35685</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07" t="s">
        <v>378</v>
      </c>
      <c r="B64" s="3408"/>
      <c r="C64" s="3408"/>
      <c r="D64" s="3408"/>
      <c r="E64" s="3408"/>
      <c r="F64" s="3408"/>
      <c r="G64" s="3409"/>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03" t="s">
        <v>386</v>
      </c>
      <c r="B66" s="3404"/>
      <c r="C66" s="3404"/>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64" t="s">
        <v>385</v>
      </c>
      <c r="M66" s="3465"/>
      <c r="N66" s="2313"/>
      <c r="O66" s="2314"/>
      <c r="P66" s="2315"/>
      <c r="Q66" s="1912"/>
      <c r="R66" s="1912"/>
      <c r="S66" s="1912"/>
      <c r="T66" s="1912"/>
      <c r="U66" s="1912"/>
      <c r="V66" s="1912"/>
    </row>
    <row r="67" spans="1:22" ht="25.5" customHeight="1">
      <c r="A67" s="350" t="s">
        <v>389</v>
      </c>
      <c r="B67" s="3394" t="s">
        <v>390</v>
      </c>
      <c r="C67" s="3394"/>
      <c r="D67" s="351">
        <v>0</v>
      </c>
      <c r="E67" s="41" t="s">
        <v>391</v>
      </c>
      <c r="F67" s="62" t="s">
        <v>21</v>
      </c>
      <c r="G67" s="3452"/>
      <c r="H67" s="3006" t="s">
        <v>2968</v>
      </c>
      <c r="I67" s="3008"/>
      <c r="J67" s="1919"/>
      <c r="K67" s="1891">
        <v>2</v>
      </c>
      <c r="L67" s="3458" t="s">
        <v>388</v>
      </c>
      <c r="M67" s="3458"/>
      <c r="N67" s="1279">
        <f>'数据-取费表'!B2</f>
        <v>44186</v>
      </c>
      <c r="O67" s="1279"/>
      <c r="P67" s="1279"/>
      <c r="Q67" s="1912"/>
      <c r="R67" s="1912"/>
      <c r="S67" s="1912"/>
      <c r="T67" s="1912"/>
      <c r="U67" s="1912"/>
      <c r="V67" s="1912"/>
    </row>
    <row r="68" spans="1:22" ht="25.5" customHeight="1">
      <c r="A68" s="352"/>
      <c r="B68" s="3394" t="s">
        <v>393</v>
      </c>
      <c r="C68" s="3394"/>
      <c r="D68" s="353"/>
      <c r="E68" s="77"/>
      <c r="F68" s="354"/>
      <c r="G68" s="3453"/>
      <c r="H68" s="3007" t="s">
        <v>2969</v>
      </c>
      <c r="I68" s="3008"/>
      <c r="J68" s="1919"/>
      <c r="K68" s="1891">
        <v>3</v>
      </c>
      <c r="L68" s="3458" t="s">
        <v>392</v>
      </c>
      <c r="M68" s="3458"/>
      <c r="N68" s="1247">
        <f ca="1">C42</f>
        <v>35685</v>
      </c>
      <c r="O68" s="1247"/>
      <c r="P68" s="1247"/>
      <c r="Q68" s="1912"/>
      <c r="R68" s="1912"/>
      <c r="S68" s="1912"/>
      <c r="T68" s="1912"/>
      <c r="U68" s="1912"/>
      <c r="V68" s="1912"/>
    </row>
    <row r="69" spans="1:22" ht="23.45" customHeight="1">
      <c r="A69" s="355"/>
      <c r="B69" s="3394" t="s">
        <v>394</v>
      </c>
      <c r="C69" s="3394"/>
      <c r="D69" s="356"/>
      <c r="E69" s="73"/>
      <c r="F69" s="354"/>
      <c r="G69" s="3454"/>
      <c r="H69" s="3007" t="s">
        <v>2970</v>
      </c>
      <c r="I69" s="3008"/>
      <c r="J69" s="1919"/>
      <c r="K69" s="1248">
        <v>4</v>
      </c>
      <c r="L69" s="3468" t="s">
        <v>2863</v>
      </c>
      <c r="M69" s="3469"/>
      <c r="N69" s="1249" t="str">
        <f>C44</f>
        <v>——</v>
      </c>
      <c r="O69" s="1249"/>
      <c r="P69" s="1249"/>
      <c r="Q69" s="1912"/>
      <c r="R69" s="1912"/>
      <c r="S69" s="1912"/>
      <c r="T69" s="1912"/>
      <c r="U69" s="1912"/>
      <c r="V69" s="1912"/>
    </row>
    <row r="70" spans="1:22" ht="24" customHeight="1">
      <c r="A70" s="357" t="s">
        <v>395</v>
      </c>
      <c r="B70" s="3394" t="s">
        <v>396</v>
      </c>
      <c r="C70" s="3394"/>
      <c r="D70" s="356">
        <f ca="1">ROUND(D63*'数据-取费表'!B41/(1+'数据-取费表'!C42),0)</f>
        <v>1903</v>
      </c>
      <c r="E70" s="17" t="s">
        <v>397</v>
      </c>
      <c r="F70" s="358">
        <f>'数据-取费表'!B41</f>
        <v>5.6000000000000001E-2</v>
      </c>
      <c r="G70" s="359"/>
      <c r="H70" s="309"/>
      <c r="I70" s="1246"/>
      <c r="J70" s="1919"/>
      <c r="K70" s="2765"/>
      <c r="L70" s="2766"/>
      <c r="M70" s="2766"/>
      <c r="N70" s="2767" t="s">
        <v>2867</v>
      </c>
      <c r="O70" s="2766"/>
      <c r="P70" s="2768"/>
      <c r="Q70" s="1912"/>
      <c r="R70" s="1912"/>
      <c r="S70" s="1912"/>
      <c r="T70" s="1912"/>
      <c r="U70" s="1912"/>
      <c r="V70" s="1912"/>
    </row>
    <row r="71" spans="1:22" ht="12" customHeight="1">
      <c r="A71" s="357" t="s">
        <v>403</v>
      </c>
      <c r="B71" s="3395" t="s">
        <v>3000</v>
      </c>
      <c r="C71" s="3396"/>
      <c r="D71" s="356">
        <f ca="1">ROUND(D63*'数据-取费表'!B41/(1+'数据-取费表'!C42),0)</f>
        <v>1903</v>
      </c>
      <c r="E71" s="17" t="s">
        <v>397</v>
      </c>
      <c r="F71" s="358">
        <f>'数据-取费表'!B41</f>
        <v>5.6000000000000001E-2</v>
      </c>
      <c r="G71" s="359"/>
      <c r="H71" s="309"/>
      <c r="I71" s="1246"/>
      <c r="J71" s="1919"/>
      <c r="K71" s="2764" t="s">
        <v>398</v>
      </c>
      <c r="L71" s="3470" t="s">
        <v>399</v>
      </c>
      <c r="M71" s="3470"/>
      <c r="N71" s="2764" t="s">
        <v>400</v>
      </c>
      <c r="O71" s="2764" t="s">
        <v>401</v>
      </c>
      <c r="P71" s="2764" t="s">
        <v>402</v>
      </c>
      <c r="Q71" s="1912"/>
      <c r="R71" s="1912"/>
      <c r="S71" s="1912"/>
      <c r="T71" s="1912"/>
      <c r="U71" s="1912"/>
      <c r="V71" s="1912"/>
    </row>
    <row r="72" spans="1:22" ht="12" customHeight="1">
      <c r="A72" s="357" t="s">
        <v>405</v>
      </c>
      <c r="B72" s="3395" t="s">
        <v>3001</v>
      </c>
      <c r="C72" s="3396"/>
      <c r="D72" s="356">
        <f ca="1">C86</f>
        <v>1903</v>
      </c>
      <c r="E72" s="73" t="s">
        <v>406</v>
      </c>
      <c r="F72" s="358">
        <f>'数据-取费表'!B41</f>
        <v>5.6000000000000001E-2</v>
      </c>
      <c r="G72" s="359"/>
      <c r="H72" s="1252"/>
      <c r="I72" s="1246"/>
      <c r="J72" s="1919"/>
      <c r="K72" s="1891">
        <v>1</v>
      </c>
      <c r="L72" s="3445" t="s">
        <v>404</v>
      </c>
      <c r="M72" s="3445"/>
      <c r="N72" s="1250" t="b">
        <f>D66</f>
        <v>0</v>
      </c>
      <c r="O72" s="1774" t="str">
        <f>E66</f>
        <v>销售额×税（费）率</v>
      </c>
      <c r="P72" s="1251">
        <f>F66</f>
        <v>5.6000000000000001E-2</v>
      </c>
      <c r="Q72" s="1912"/>
      <c r="R72" s="1912"/>
      <c r="S72" s="1912"/>
      <c r="T72" s="1912"/>
      <c r="U72" s="1912"/>
      <c r="V72" s="1912"/>
    </row>
    <row r="73" spans="1:22" ht="24" customHeight="1">
      <c r="A73" s="3440" t="s">
        <v>408</v>
      </c>
      <c r="B73" s="3404"/>
      <c r="C73" s="3404"/>
      <c r="D73" s="360">
        <f ca="1">IF(H73="个人住宅",0,ROUND(D63*I73,0))</f>
        <v>18</v>
      </c>
      <c r="E73" s="17" t="s">
        <v>409</v>
      </c>
      <c r="F73" s="358" t="str">
        <f>IF(H73="正常",I73,"免征")</f>
        <v>免征</v>
      </c>
      <c r="G73" s="359"/>
      <c r="H73" s="189"/>
      <c r="I73" s="358">
        <f>'数据-取费表'!B49</f>
        <v>5.0000000000000001E-4</v>
      </c>
      <c r="J73" s="1919"/>
      <c r="K73" s="1891">
        <v>2</v>
      </c>
      <c r="L73" s="3445" t="s">
        <v>407</v>
      </c>
      <c r="M73" s="3445"/>
      <c r="N73" s="1250">
        <f t="shared" ref="N73:P74" ca="1" si="1">D73</f>
        <v>18</v>
      </c>
      <c r="O73" s="1774" t="str">
        <f t="shared" si="1"/>
        <v>销售额×税（费）率</v>
      </c>
      <c r="P73" s="1251" t="str">
        <f t="shared" si="1"/>
        <v>免征</v>
      </c>
      <c r="Q73" s="1912"/>
      <c r="R73" s="1912"/>
      <c r="S73" s="1912"/>
      <c r="T73" s="1912"/>
      <c r="U73" s="1912"/>
      <c r="V73" s="1912"/>
    </row>
    <row r="74" spans="1:22" ht="24.75">
      <c r="A74" s="3440" t="s">
        <v>411</v>
      </c>
      <c r="B74" s="3404"/>
      <c r="C74" s="3404"/>
      <c r="D74" s="360">
        <f ca="1">IF(H74="个人住宅",D75,D76)</f>
        <v>20198</v>
      </c>
      <c r="E74" s="17" t="s">
        <v>412</v>
      </c>
      <c r="F74" s="358" t="str">
        <f>IF(H74="正常",F76,"免征")</f>
        <v>免征</v>
      </c>
      <c r="G74" s="971" t="s">
        <v>413</v>
      </c>
      <c r="H74" s="361"/>
      <c r="I74" s="42"/>
      <c r="J74" s="1919"/>
      <c r="K74" s="1891">
        <v>3</v>
      </c>
      <c r="L74" s="3445" t="s">
        <v>410</v>
      </c>
      <c r="M74" s="3445"/>
      <c r="N74" s="1250">
        <f t="shared" ca="1" si="1"/>
        <v>20198</v>
      </c>
      <c r="O74" s="1774" t="str">
        <f t="shared" si="1"/>
        <v>增值额×税（费）率</v>
      </c>
      <c r="P74" s="1253" t="str">
        <f t="shared" si="1"/>
        <v>免征</v>
      </c>
      <c r="Q74" s="1912"/>
      <c r="R74" s="1912"/>
      <c r="S74" s="1912"/>
      <c r="T74" s="1912"/>
      <c r="U74" s="1912"/>
      <c r="V74" s="1912"/>
    </row>
    <row r="75" spans="1:22" ht="12.75">
      <c r="A75" s="357" t="s">
        <v>414</v>
      </c>
      <c r="B75" s="3392" t="s">
        <v>415</v>
      </c>
      <c r="C75" s="3428"/>
      <c r="D75" s="362">
        <v>0</v>
      </c>
      <c r="E75" s="41" t="s">
        <v>416</v>
      </c>
      <c r="F75" s="363"/>
      <c r="G75" s="359"/>
      <c r="H75" s="42"/>
      <c r="I75" s="42"/>
      <c r="J75" s="1919"/>
      <c r="K75" s="2758">
        <f>IF(H77="非个人房产","",4)</f>
        <v>4</v>
      </c>
      <c r="L75" s="3445" t="str">
        <f>IF(H77="非个人房产","——","个人所得税")</f>
        <v>个人所得税</v>
      </c>
      <c r="M75" s="3445"/>
      <c r="N75" s="1254">
        <f>D77</f>
        <v>0</v>
      </c>
      <c r="O75" s="1787" t="str">
        <f>E77</f>
        <v>差额计税</v>
      </c>
      <c r="P75" s="1255">
        <f>F77</f>
        <v>0.01</v>
      </c>
      <c r="Q75" s="1912"/>
      <c r="R75" s="1912"/>
      <c r="S75" s="1912"/>
      <c r="T75" s="1912"/>
      <c r="U75" s="1912"/>
      <c r="V75" s="1912"/>
    </row>
    <row r="76" spans="1:22" ht="24.75">
      <c r="A76" s="357" t="s">
        <v>395</v>
      </c>
      <c r="B76" s="3392" t="s">
        <v>418</v>
      </c>
      <c r="C76" s="3393"/>
      <c r="D76" s="360">
        <f ca="1">IF(H76="转让取得",C99,C115)</f>
        <v>20198</v>
      </c>
      <c r="E76" s="17" t="s">
        <v>419</v>
      </c>
      <c r="F76" s="53" t="s">
        <v>21</v>
      </c>
      <c r="G76" s="359"/>
      <c r="H76" s="361"/>
      <c r="I76" s="42"/>
      <c r="J76" s="1919"/>
      <c r="K76" s="2758" t="str">
        <f>IF(项目基本情况!K6="上海银行",IF(K75="",4,K75+1),"")</f>
        <v/>
      </c>
      <c r="L76" s="3460" t="str">
        <f>IF(项目基本情况!K6="上海银行","其他处置费用","")</f>
        <v/>
      </c>
      <c r="M76" s="3461"/>
      <c r="N76" s="1250" t="str">
        <f>IF(项目基本情况!K6="上海银行",N89,"")</f>
        <v/>
      </c>
      <c r="O76" s="3462" t="str">
        <f>IF(项目基本情况!K6="上海银行","包含处置中涉及的律师、诉讼、拍卖、评估等费用","")</f>
        <v/>
      </c>
      <c r="P76" s="3463"/>
      <c r="Q76" s="1912"/>
      <c r="R76" s="1912"/>
      <c r="S76" s="1912"/>
      <c r="T76" s="1912"/>
      <c r="U76" s="1912"/>
      <c r="V76" s="1912"/>
    </row>
    <row r="77" spans="1:22" ht="24.75" thickBot="1">
      <c r="A77" s="3447" t="s">
        <v>421</v>
      </c>
      <c r="B77" s="3448"/>
      <c r="C77" s="344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2971</v>
      </c>
      <c r="J77" s="1919"/>
      <c r="K77" s="3446">
        <f>IF(AND(K75="",K76=""),4,IF(项目基本情况!K6="上海银行",K76+1,K75+1))</f>
        <v>5</v>
      </c>
      <c r="L77" s="3445" t="s">
        <v>2864</v>
      </c>
      <c r="M77" s="2763" t="s">
        <v>417</v>
      </c>
      <c r="N77" s="1256"/>
      <c r="O77" s="1257">
        <f ca="1">SUMIF(N72:N76,"&lt;9e307")</f>
        <v>20216</v>
      </c>
      <c r="P77" s="1258"/>
      <c r="Q77" s="2761" t="e">
        <f ca="1">O77/N69</f>
        <v>#VALUE!</v>
      </c>
      <c r="R77" s="1912"/>
      <c r="S77" s="1912"/>
      <c r="T77" s="1912"/>
      <c r="U77" s="1912"/>
      <c r="V77" s="1912"/>
    </row>
    <row r="78" spans="1:22" ht="12" customHeight="1">
      <c r="A78" s="1259"/>
      <c r="B78" s="309"/>
      <c r="C78" s="309"/>
      <c r="D78" s="309"/>
      <c r="E78" s="42"/>
      <c r="F78" s="42"/>
      <c r="G78" s="42"/>
      <c r="H78" s="991"/>
      <c r="I78" s="309"/>
      <c r="J78" s="1919"/>
      <c r="K78" s="3446"/>
      <c r="L78" s="3445"/>
      <c r="M78" s="2763" t="s">
        <v>420</v>
      </c>
      <c r="N78" s="1256"/>
      <c r="O78" s="1257" t="str">
        <f ca="1">NUMBERSTRING(INT(O77*10000),2)&amp;"元整"</f>
        <v>贰亿零贰佰壹拾陆万元整</v>
      </c>
      <c r="P78" s="1258"/>
      <c r="Q78" s="1912"/>
      <c r="R78" s="1912"/>
      <c r="S78" s="1912"/>
      <c r="T78" s="1912"/>
      <c r="U78" s="1912"/>
      <c r="V78" s="1912"/>
    </row>
    <row r="79" spans="1:22" ht="13.5" thickBot="1">
      <c r="A79" s="3412" t="s">
        <v>422</v>
      </c>
      <c r="B79" s="3412"/>
      <c r="C79" s="3412"/>
      <c r="D79" s="3412"/>
      <c r="E79" s="3412"/>
      <c r="F79" s="42"/>
      <c r="G79" s="42"/>
      <c r="H79" s="991"/>
      <c r="I79" s="309"/>
      <c r="J79" s="1919"/>
      <c r="K79" s="3466">
        <f>K77+1</f>
        <v>6</v>
      </c>
      <c r="L79" s="3445" t="s">
        <v>2865</v>
      </c>
      <c r="M79" s="2763" t="s">
        <v>417</v>
      </c>
      <c r="N79" s="1256"/>
      <c r="O79" s="1257" t="e">
        <f ca="1">N69-O77</f>
        <v>#VALUE!</v>
      </c>
      <c r="P79" s="1258"/>
      <c r="Q79" s="1912"/>
      <c r="R79" s="1912"/>
      <c r="S79" s="1912"/>
      <c r="T79" s="1912"/>
      <c r="U79" s="1912"/>
      <c r="V79" s="1912"/>
    </row>
    <row r="80" spans="1:22" ht="12.75">
      <c r="A80" s="3413" t="s">
        <v>423</v>
      </c>
      <c r="B80" s="3414"/>
      <c r="C80" s="982"/>
      <c r="D80" s="982" t="s">
        <v>424</v>
      </c>
      <c r="E80" s="364" t="s">
        <v>425</v>
      </c>
      <c r="F80" s="42"/>
      <c r="G80" s="42"/>
      <c r="H80" s="991"/>
      <c r="I80" s="309"/>
      <c r="J80" s="1912"/>
      <c r="K80" s="3467"/>
      <c r="L80" s="3445"/>
      <c r="M80" s="2763"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33986</v>
      </c>
      <c r="D81" s="367"/>
      <c r="E81" s="368"/>
      <c r="F81" s="42"/>
      <c r="G81" s="42"/>
      <c r="H81" s="991"/>
      <c r="I81" s="309"/>
      <c r="J81" s="1912"/>
      <c r="K81" s="2758">
        <f>K79+1</f>
        <v>7</v>
      </c>
      <c r="L81" s="3443" t="s">
        <v>2866</v>
      </c>
      <c r="M81" s="3444"/>
      <c r="N81" s="1260"/>
      <c r="O81" s="1261" t="e">
        <f ca="1">ROUND(O79*10000/'数据-汇总表'!E3,0)</f>
        <v>#VALUE!</v>
      </c>
      <c r="P81" s="1262"/>
      <c r="Q81" s="1912"/>
      <c r="R81" s="1912"/>
      <c r="S81" s="1912"/>
      <c r="T81" s="1912"/>
      <c r="U81" s="1912"/>
      <c r="V81" s="1912"/>
    </row>
    <row r="82" spans="1:26" ht="13.5" thickTop="1">
      <c r="A82" s="369" t="s">
        <v>1815</v>
      </c>
      <c r="B82" s="370" t="s">
        <v>427</v>
      </c>
      <c r="C82" s="371">
        <f ca="1">D63</f>
        <v>35685</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59" t="s">
        <v>2854</v>
      </c>
      <c r="L83" s="2769" t="s">
        <v>2855</v>
      </c>
      <c r="M83" s="2759" t="e">
        <f>IF(N69&gt;10000,N69*0.5%,IF(AND(N69&gt;1000,N69&lt;=10000),N69*1%,IF(AND(N69&gt;100,N69&lt;=1000),N69*3%,IF(AND(N69&gt;10,N69&lt;=100),N69*5%,N69*8%))))</f>
        <v>#VALUE!</v>
      </c>
      <c r="N83" s="53" t="e">
        <f>ROUND(M83,1)</f>
        <v>#VALUE!</v>
      </c>
      <c r="O83" s="2762"/>
      <c r="P83" s="1912"/>
      <c r="Q83" s="1912"/>
      <c r="R83" s="1912"/>
      <c r="S83" s="1912"/>
      <c r="T83" s="1912"/>
      <c r="U83" s="1912"/>
      <c r="V83" s="1912"/>
    </row>
    <row r="84" spans="1:26" ht="12.75">
      <c r="A84" s="375" t="s">
        <v>1817</v>
      </c>
      <c r="B84" s="376" t="s">
        <v>429</v>
      </c>
      <c r="C84" s="377"/>
      <c r="D84" s="378" t="s">
        <v>19</v>
      </c>
      <c r="E84" s="2787" t="s">
        <v>2909</v>
      </c>
      <c r="F84" s="42"/>
      <c r="G84" s="42"/>
      <c r="H84" s="991"/>
      <c r="I84" s="309"/>
      <c r="J84" s="1912"/>
      <c r="K84" s="3459"/>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2857</v>
      </c>
      <c r="P84" s="1912"/>
      <c r="Q84" s="1912"/>
      <c r="R84" s="1912"/>
      <c r="S84" s="1912"/>
      <c r="T84" s="1912"/>
      <c r="U84" s="1912"/>
      <c r="V84" s="1912"/>
    </row>
    <row r="85" spans="1:26" ht="12.75">
      <c r="A85" s="375" t="s">
        <v>1818</v>
      </c>
      <c r="B85" s="376" t="s">
        <v>430</v>
      </c>
      <c r="C85" s="379">
        <f ca="1">C81-C84</f>
        <v>33986</v>
      </c>
      <c r="D85" s="372" t="s">
        <v>19</v>
      </c>
      <c r="E85" s="373"/>
      <c r="F85" s="42"/>
      <c r="G85" s="42"/>
      <c r="H85" s="991"/>
      <c r="I85" s="309"/>
      <c r="J85" s="1912"/>
      <c r="K85" s="3459"/>
      <c r="L85" s="2769" t="s">
        <v>2858</v>
      </c>
      <c r="M85" s="2759" t="e">
        <f>IF(N69&gt;1000,N69*0.1%,IF(AND(N69&gt;500,N69&lt;=1000),N69*0.5%,IF(AND(N69&gt;50,N69&lt;=500),N69*1%,IF(AND(N69&gt;1,N69&lt;=50),N69*1.5%))))</f>
        <v>#VALUE!</v>
      </c>
      <c r="N85" s="53" t="e">
        <f t="shared" si="2"/>
        <v>#VALUE!</v>
      </c>
      <c r="O85" s="1912" t="s">
        <v>2857</v>
      </c>
      <c r="P85" s="1912"/>
      <c r="Q85" s="1912"/>
      <c r="R85" s="1912"/>
      <c r="S85" s="1912"/>
      <c r="T85" s="1912"/>
      <c r="U85" s="1912"/>
      <c r="V85" s="1912"/>
    </row>
    <row r="86" spans="1:26" ht="13.5" thickBot="1">
      <c r="A86" s="380" t="s">
        <v>1819</v>
      </c>
      <c r="B86" s="381" t="s">
        <v>431</v>
      </c>
      <c r="C86" s="382">
        <f ca="1">IF(C85&lt;=0,0,ROUND(C85*D86,0))</f>
        <v>1903</v>
      </c>
      <c r="D86" s="383">
        <f>'数据-取费表'!B41</f>
        <v>5.6000000000000001E-2</v>
      </c>
      <c r="E86" s="384"/>
      <c r="F86" s="42"/>
      <c r="G86" s="42"/>
      <c r="H86" s="991"/>
      <c r="I86" s="309"/>
      <c r="J86" s="1912"/>
      <c r="K86" s="3459"/>
      <c r="L86" s="2769" t="s">
        <v>2859</v>
      </c>
      <c r="M86" s="2759" t="e">
        <f>N69*0.5%</f>
        <v>#VALUE!</v>
      </c>
      <c r="N86" s="53" t="e">
        <f>IF(M86&gt;0.5,0.5,ROUND(M86,0))</f>
        <v>#VALUE!</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59"/>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2"/>
      <c r="Q87" s="1912"/>
      <c r="R87" s="1912"/>
      <c r="S87" s="1912"/>
      <c r="T87" s="1912"/>
      <c r="U87" s="1912"/>
      <c r="V87" s="1912"/>
      <c r="W87" s="290"/>
      <c r="X87" s="290"/>
      <c r="Y87" s="290"/>
      <c r="Z87" s="290"/>
    </row>
    <row r="88" spans="1:26" s="1268" customFormat="1" ht="15" thickBot="1">
      <c r="A88" s="3438" t="s">
        <v>432</v>
      </c>
      <c r="B88" s="3439"/>
      <c r="C88" s="3439"/>
      <c r="D88" s="3439"/>
      <c r="E88" s="3439"/>
      <c r="F88" s="3439"/>
      <c r="G88" s="3439"/>
      <c r="H88" s="3439"/>
      <c r="I88" s="1269"/>
      <c r="J88" s="1920"/>
      <c r="K88" s="3459"/>
      <c r="L88" s="2769" t="s">
        <v>2862</v>
      </c>
      <c r="M88" s="2759" t="e">
        <f>IF(N69&gt;10000,N69*0.5%,IF(AND(N69&gt;5000,N69&lt;=10000),N69*1%,IF(AND(N69&gt;1000,N69&lt;=5000),N69*2%,IF(AND(N69&gt;200,N69&lt;=1000),N69*3%,N69*5%))))</f>
        <v>#VALUE!</v>
      </c>
      <c r="N88" s="53" t="e">
        <f>ROUND(M88,1)</f>
        <v>#VALUE!</v>
      </c>
      <c r="O88" s="2762"/>
      <c r="P88" s="1917"/>
      <c r="Q88" s="1917"/>
      <c r="R88" s="1917"/>
      <c r="S88" s="1917"/>
      <c r="T88" s="1917"/>
      <c r="U88" s="1917"/>
      <c r="V88" s="1917"/>
      <c r="W88" s="1921"/>
      <c r="X88" s="1921"/>
      <c r="Y88" s="1921"/>
      <c r="Z88" s="1921"/>
    </row>
    <row r="89" spans="1:26" s="1268" customFormat="1" ht="14.25">
      <c r="A89" s="3413" t="s">
        <v>423</v>
      </c>
      <c r="B89" s="3414"/>
      <c r="C89" s="982"/>
      <c r="D89" s="982" t="s">
        <v>424</v>
      </c>
      <c r="E89" s="385" t="s">
        <v>433</v>
      </c>
      <c r="F89" s="386"/>
      <c r="G89" s="386"/>
      <c r="H89" s="387"/>
      <c r="I89" s="1270"/>
      <c r="J89" s="1922"/>
      <c r="K89" s="3459"/>
      <c r="L89" s="2769" t="s">
        <v>27</v>
      </c>
      <c r="M89" s="2760"/>
      <c r="N89" s="53" t="e">
        <f>ROUND(SUM(N83:N88),0)</f>
        <v>#VALUE!</v>
      </c>
      <c r="O89" s="2770"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33986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204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5" t="s">
        <v>441</v>
      </c>
      <c r="F94" s="3394"/>
      <c r="G94" s="3394"/>
      <c r="H94" s="3437"/>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204</v>
      </c>
      <c r="D96" s="400">
        <f>'数据-取费表'!B43</f>
        <v>6.000000000000001E-3</v>
      </c>
      <c r="E96" s="3429" t="s">
        <v>2413</v>
      </c>
      <c r="F96" s="3430"/>
      <c r="G96" s="3430"/>
      <c r="H96" s="3431"/>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33782</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165.59803921568627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20198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8" t="s">
        <v>448</v>
      </c>
      <c r="B101" s="3439"/>
      <c r="C101" s="3439"/>
      <c r="D101" s="3439"/>
      <c r="E101" s="3439"/>
      <c r="F101" s="3439"/>
      <c r="G101" s="3439"/>
      <c r="H101" s="3439"/>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3" t="s">
        <v>423</v>
      </c>
      <c r="B102" s="3414"/>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33986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204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89" t="s">
        <v>2963</v>
      </c>
      <c r="H108" s="3390"/>
      <c r="I108" s="2859"/>
      <c r="J108" s="1917"/>
      <c r="K108" s="3244"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2" t="s">
        <v>456</v>
      </c>
      <c r="F109" s="3430"/>
      <c r="G109" s="3430"/>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2" t="s">
        <v>458</v>
      </c>
      <c r="F110" s="3430"/>
      <c r="G110" s="3430"/>
      <c r="H110" s="3431"/>
      <c r="I110" s="11"/>
      <c r="J110" s="1917"/>
      <c r="K110" s="3245"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204</v>
      </c>
      <c r="D111" s="400">
        <f>'数据-取费表'!B43</f>
        <v>6.000000000000001E-3</v>
      </c>
      <c r="E111" s="3429" t="s">
        <v>2413</v>
      </c>
      <c r="F111" s="3430"/>
      <c r="G111" s="3430"/>
      <c r="H111" s="3431"/>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2" t="s">
        <v>2436</v>
      </c>
      <c r="F112" s="3430"/>
      <c r="G112" s="3430"/>
      <c r="H112" s="3431"/>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33782</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165.59803921568627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20198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9" sqref="C9"/>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32739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2292</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6417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428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112862</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v>10000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112861.59999999998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ROUND(C8/10000*C9,0)</f>
        <v>112862</v>
      </c>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42858</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1286</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2143</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2857</v>
      </c>
      <c r="D16" s="2562">
        <f ca="1">IF(B1="",'数据-汇总表'!E3,INDIRECT("'数据-取费表'!K"&amp;$K$1)+INDIRECT("'数据-取费表'!S"&amp;$K$1))</f>
        <v>142861.59999999998</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643</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49787</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142861.59999999998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1071</v>
      </c>
      <c r="D20" s="2572"/>
      <c r="E20" s="2526"/>
      <c r="F20" s="2573"/>
      <c r="G20" s="2776"/>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1071</v>
      </c>
      <c r="D21" s="2562">
        <f ca="1">IF(B1="",'数据-汇总表'!E5,IF(INDIRECT("'数据-取费表'!c"&amp;$K$1)="住宅",INDIRECT("'数据-取费表'!k"&amp;$K$1),0))</f>
        <v>142861.59999999998</v>
      </c>
      <c r="E21" s="53">
        <f>'数据-取费表'!B27</f>
        <v>75</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75</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2814</v>
      </c>
      <c r="C23" s="2570">
        <f ca="1">ROUND((C18+C19+C20)*F23,0)</f>
        <v>1017</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2817</v>
      </c>
      <c r="C24" s="2570">
        <f>ROUND(C6*F24,0)</f>
        <v>2257</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2816</v>
      </c>
      <c r="C26" s="2575">
        <f ca="1">C28</f>
        <v>2571</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2818</v>
      </c>
      <c r="C28" s="2578">
        <f ca="1">ROUND(IF('数据-取费表'!B22&lt;=1,(C18+C19+C20+C23+C24)*F26*'数据-取费表'!B24/2,(C18+C19+C20+C23+C24)*(POWER((1+F26),'数据-取费表'!B24/2)-1)),0)</f>
        <v>2571</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6019</v>
      </c>
      <c r="D29" s="462"/>
      <c r="E29" s="462"/>
      <c r="F29" s="2750">
        <f>'数据-取费表'!B41</f>
        <v>5.6000000000000001E-2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62722</v>
      </c>
      <c r="D30" s="471">
        <f ca="1">C32</f>
        <v>0.12909999999999999</v>
      </c>
      <c r="E30" s="463" t="s">
        <v>489</v>
      </c>
      <c r="F30" s="465"/>
      <c r="G30" s="2538" t="s">
        <v>2937</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62722</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0.12909999999999999</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2813</v>
      </c>
      <c r="B33" s="2745" t="s">
        <v>2811</v>
      </c>
      <c r="C33" s="472">
        <f ca="1">C35</f>
        <v>8120</v>
      </c>
      <c r="D33" s="461">
        <f ca="1">C34</f>
        <v>0.15440000000000001</v>
      </c>
      <c r="E33" s="463" t="s">
        <v>489</v>
      </c>
      <c r="F33" s="473">
        <f ca="1">IF(B1="",'数据-取费表'!Q16,INDIRECT("'数据-取费表'!q"&amp;$K$1))</f>
        <v>0.15</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2819</v>
      </c>
      <c r="C35" s="1557">
        <f ca="1">ROUND((C18+C19+C20+C23+C24)*F33,0)</f>
        <v>8120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32739</v>
      </c>
      <c r="D36" s="2544"/>
      <c r="E36" s="2544"/>
      <c r="F36" s="2544"/>
      <c r="G36" s="2543" t="s">
        <v>2820</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42858</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1286</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2143</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2857</v>
      </c>
      <c r="D16" s="445">
        <f ca="1">IF(B1="",'数据-汇总表'!E3,INDIRECT("'数据-取费表'!K"&amp;$K$1)+INDIRECT("'数据-取费表'!S"&amp;$K$1))</f>
        <v>142861.59999999998</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643</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49787</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996</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2412</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2412</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2812</v>
      </c>
      <c r="C24" s="472">
        <f ca="1">C25</f>
        <v>7617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7617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5.33E-2</v>
      </c>
      <c r="D27" s="456" t="s">
        <v>2810</v>
      </c>
      <c r="E27" s="456"/>
      <c r="F27" s="460">
        <f>'数据-取费表'!B41</f>
        <v>5.6000000000000001E-2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65907</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8" t="str">
        <f>项目基本情况!B1</f>
        <v>出让国有建设用地使用权预评估</v>
      </c>
      <c r="C37" s="3298"/>
      <c r="D37" s="3298"/>
      <c r="E37" s="3298"/>
      <c r="F37" s="3298"/>
      <c r="G37" s="3298"/>
      <c r="H37" s="3298"/>
      <c r="I37" s="329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I49" sqref="I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31458</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2202</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6166</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411</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0" t="s">
        <v>516</v>
      </c>
      <c r="D6" s="3481"/>
      <c r="E6" s="3480" t="s">
        <v>517</v>
      </c>
      <c r="F6" s="3481"/>
      <c r="G6" s="3480" t="s">
        <v>518</v>
      </c>
      <c r="H6" s="3481"/>
      <c r="I6" s="3480" t="s">
        <v>519</v>
      </c>
      <c r="J6" s="3481"/>
      <c r="K6" s="508" t="s">
        <v>520</v>
      </c>
      <c r="L6" s="2016"/>
      <c r="M6" s="2015"/>
      <c r="N6" s="2015"/>
      <c r="O6" s="2017"/>
      <c r="P6" s="3482" t="s">
        <v>521</v>
      </c>
      <c r="Q6" s="3483"/>
      <c r="R6" s="3488" t="s">
        <v>517</v>
      </c>
      <c r="S6" s="3489"/>
      <c r="T6" s="3488" t="s">
        <v>518</v>
      </c>
      <c r="U6" s="3489"/>
      <c r="V6" s="3475" t="s">
        <v>519</v>
      </c>
      <c r="W6" s="3475"/>
      <c r="X6" s="1502"/>
      <c r="Y6" s="3488" t="s">
        <v>521</v>
      </c>
      <c r="Z6" s="3489"/>
      <c r="AA6" s="3477" t="s">
        <v>517</v>
      </c>
      <c r="AB6" s="3478" t="s">
        <v>518</v>
      </c>
      <c r="AC6" s="3477" t="s">
        <v>519</v>
      </c>
    </row>
    <row r="7" spans="1:30" ht="20.25">
      <c r="A7" s="509"/>
      <c r="B7" s="510"/>
      <c r="C7" s="3496" t="s">
        <v>2898</v>
      </c>
      <c r="D7" s="3497"/>
      <c r="E7" s="3496" t="str">
        <f>土地及销售案例!A16</f>
        <v>惠环街道</v>
      </c>
      <c r="F7" s="3497"/>
      <c r="G7" s="3496" t="str">
        <f>土地及销售案例!A30</f>
        <v>惠州仲恺高新区惠环街道平南片区</v>
      </c>
      <c r="H7" s="3497"/>
      <c r="I7" s="3496" t="str">
        <f>土地及销售案例!A45</f>
        <v>惠州仲恺高新区惠环街道</v>
      </c>
      <c r="J7" s="3497"/>
      <c r="K7" s="508"/>
      <c r="L7" s="2016"/>
      <c r="M7" s="2015"/>
      <c r="N7" s="2015"/>
      <c r="O7" s="2017"/>
      <c r="P7" s="3484"/>
      <c r="Q7" s="3485"/>
      <c r="R7" s="3490"/>
      <c r="S7" s="3491"/>
      <c r="T7" s="3490"/>
      <c r="U7" s="3491"/>
      <c r="V7" s="3475"/>
      <c r="W7" s="3475"/>
      <c r="X7" s="1502"/>
      <c r="Y7" s="3490"/>
      <c r="Z7" s="3491"/>
      <c r="AA7" s="3478"/>
      <c r="AB7" s="3478"/>
      <c r="AC7" s="3478"/>
    </row>
    <row r="8" spans="1:30" ht="21" thickBot="1">
      <c r="A8" s="509"/>
      <c r="B8" s="510"/>
      <c r="C8" s="3498" t="s">
        <v>2902</v>
      </c>
      <c r="D8" s="3499"/>
      <c r="E8" s="3498" t="s">
        <v>2902</v>
      </c>
      <c r="F8" s="3499"/>
      <c r="G8" s="3494" t="s">
        <v>2902</v>
      </c>
      <c r="H8" s="3495"/>
      <c r="I8" s="3494" t="s">
        <v>2902</v>
      </c>
      <c r="J8" s="3495"/>
      <c r="K8" s="508" t="s">
        <v>522</v>
      </c>
      <c r="L8" s="2016"/>
      <c r="M8" s="2015"/>
      <c r="N8" s="2015"/>
      <c r="O8" s="2017"/>
      <c r="P8" s="3486"/>
      <c r="Q8" s="3487"/>
      <c r="R8" s="3490"/>
      <c r="S8" s="3491"/>
      <c r="T8" s="3492"/>
      <c r="U8" s="3493"/>
      <c r="V8" s="3475"/>
      <c r="W8" s="3475"/>
      <c r="X8" s="1502"/>
      <c r="Y8" s="3492"/>
      <c r="Z8" s="3493"/>
      <c r="AA8" s="3479"/>
      <c r="AB8" s="3479"/>
      <c r="AC8" s="3479"/>
    </row>
    <row r="9" spans="1:30" s="1203" customFormat="1" ht="21" thickBot="1">
      <c r="A9" s="2629"/>
      <c r="B9" s="2636" t="s">
        <v>523</v>
      </c>
      <c r="C9" s="2628">
        <f>'数据-取费表'!B2</f>
        <v>44186</v>
      </c>
      <c r="D9" s="514">
        <v>100</v>
      </c>
      <c r="E9" s="515" t="str">
        <f>土地及销售案例!J16</f>
        <v>2020-09-30</v>
      </c>
      <c r="F9" s="516">
        <f>SUMIF(72:72,YEAR(E9)&amp;"-"&amp;INT((MONTH(E9)+2)/3),73:73)</f>
        <v>100</v>
      </c>
      <c r="G9" s="517" t="str">
        <f>土地及销售案例!J30</f>
        <v>2020-09-10</v>
      </c>
      <c r="H9" s="514">
        <f>SUMIF(72:72,YEAR(G9)&amp;"-"&amp;INT((MONTH(G9)+2)/3),73:73)</f>
        <v>100</v>
      </c>
      <c r="I9" s="517" t="str">
        <f>土地及销售案例!J45</f>
        <v>2020-06-30</v>
      </c>
      <c r="J9" s="514">
        <f>SUMIF(72:72,YEAR(I9)&amp;"-"&amp;INT((MONTH(I9)+2)/3),73:73)</f>
        <v>100</v>
      </c>
      <c r="K9" s="518"/>
      <c r="L9" s="2018"/>
      <c r="M9" s="2015"/>
      <c r="N9" s="2015"/>
      <c r="O9" s="2019"/>
      <c r="P9" s="3505" t="s">
        <v>524</v>
      </c>
      <c r="Q9" s="3507"/>
      <c r="R9" s="1503" t="s">
        <v>8</v>
      </c>
      <c r="S9" s="1504">
        <f t="shared" ref="S9:S17" si="0">F9</f>
        <v>100</v>
      </c>
      <c r="T9" s="1503" t="s">
        <v>8</v>
      </c>
      <c r="U9" s="1504">
        <f t="shared" ref="U9:U17" si="1">H9</f>
        <v>100</v>
      </c>
      <c r="V9" s="1503" t="s">
        <v>8</v>
      </c>
      <c r="W9" s="1504">
        <f t="shared" ref="W9:W17" si="2">J9</f>
        <v>100</v>
      </c>
      <c r="X9" s="1505"/>
      <c r="Y9" s="3505" t="s">
        <v>524</v>
      </c>
      <c r="Z9" s="3506"/>
      <c r="AA9" s="1506">
        <f>D9/F9</f>
        <v>1</v>
      </c>
      <c r="AB9" s="1506">
        <f>D9/H9</f>
        <v>1</v>
      </c>
      <c r="AC9" s="1506">
        <f>D9/J9</f>
        <v>1</v>
      </c>
    </row>
    <row r="10" spans="1:30" s="1203" customFormat="1" ht="21" thickBot="1">
      <c r="A10" s="2630"/>
      <c r="B10" s="2637" t="s">
        <v>525</v>
      </c>
      <c r="C10" s="845" t="s">
        <v>526</v>
      </c>
      <c r="D10" s="514">
        <v>100</v>
      </c>
      <c r="E10" s="519" t="s">
        <v>3031</v>
      </c>
      <c r="F10" s="516">
        <f>SUMIF(75:75,E10,76:76)-SUMIF(75:75,C10,76:76)+100</f>
        <v>100</v>
      </c>
      <c r="G10" s="519" t="s">
        <v>3031</v>
      </c>
      <c r="H10" s="514">
        <f>SUMIF(75:75,G10,76:76)-SUMIF(75:75,C10,76:76)+100</f>
        <v>100</v>
      </c>
      <c r="I10" s="519" t="s">
        <v>3031</v>
      </c>
      <c r="J10" s="514">
        <f>SUMIF(75:75,I10,76:76)-SUMIF(75:75,C10,76:76)+100</f>
        <v>100</v>
      </c>
      <c r="K10" s="518"/>
      <c r="L10" s="2018"/>
      <c r="M10" s="2015"/>
      <c r="N10" s="2015"/>
      <c r="O10" s="2019"/>
      <c r="P10" s="3505" t="s">
        <v>527</v>
      </c>
      <c r="Q10" s="3506"/>
      <c r="R10" s="1503" t="s">
        <v>8</v>
      </c>
      <c r="S10" s="1504">
        <f t="shared" si="0"/>
        <v>100</v>
      </c>
      <c r="T10" s="1503" t="s">
        <v>8</v>
      </c>
      <c r="U10" s="1504">
        <f t="shared" si="1"/>
        <v>100</v>
      </c>
      <c r="V10" s="1503" t="s">
        <v>8</v>
      </c>
      <c r="W10" s="1504">
        <f t="shared" si="2"/>
        <v>100</v>
      </c>
      <c r="X10" s="1505"/>
      <c r="Y10" s="3505" t="s">
        <v>527</v>
      </c>
      <c r="Z10" s="3506"/>
      <c r="AA10" s="1506">
        <f t="shared" ref="AA10:AA47" si="3">D10/F10</f>
        <v>1</v>
      </c>
      <c r="AB10" s="1506">
        <f t="shared" ref="AB10:AB47" si="4">D10/H10</f>
        <v>1</v>
      </c>
      <c r="AC10" s="1506">
        <f t="shared" ref="AC10:AC47" si="5">D10/J10</f>
        <v>1</v>
      </c>
    </row>
    <row r="11" spans="1:30" s="1203" customFormat="1" ht="20.25">
      <c r="A11" s="2631"/>
      <c r="B11" s="2638" t="s">
        <v>2737</v>
      </c>
      <c r="C11" s="3278" t="s">
        <v>3033</v>
      </c>
      <c r="D11" s="252">
        <v>100</v>
      </c>
      <c r="E11" s="3279" t="s">
        <v>3034</v>
      </c>
      <c r="F11" s="252">
        <f>SUMIF(77:77,E11,78:78)-SUMIF(77:77,C11,78:78)+100</f>
        <v>100</v>
      </c>
      <c r="G11" s="3279" t="s">
        <v>3034</v>
      </c>
      <c r="H11" s="252">
        <f>SUMIF(77:77,G11,78:78)-SUMIF(77:77,C11,78:78)+100</f>
        <v>100</v>
      </c>
      <c r="I11" s="3279" t="s">
        <v>3034</v>
      </c>
      <c r="J11" s="252">
        <f>SUMIF(77:77,I11,78:78)-SUMIF(77:77,C11,78:78)+100</f>
        <v>100</v>
      </c>
      <c r="K11" s="518"/>
      <c r="L11" s="2018"/>
      <c r="M11" s="2015"/>
      <c r="N11" s="2015"/>
      <c r="O11" s="2020"/>
      <c r="P11" s="3474"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74"/>
      <c r="Q12" s="1134" t="str">
        <f t="shared" si="6"/>
        <v>土地使用年限（年）</v>
      </c>
      <c r="R12" s="1503" t="s">
        <v>8</v>
      </c>
      <c r="S12" s="1504">
        <f t="shared" si="0"/>
        <v>100</v>
      </c>
      <c r="T12" s="1503" t="s">
        <v>8</v>
      </c>
      <c r="U12" s="1504">
        <f t="shared" si="1"/>
        <v>100</v>
      </c>
      <c r="V12" s="1503" t="s">
        <v>8</v>
      </c>
      <c r="W12" s="1504">
        <f t="shared" si="2"/>
        <v>100</v>
      </c>
      <c r="X12" s="1505"/>
      <c r="Y12" s="3420"/>
      <c r="Z12" s="1133" t="str">
        <f t="shared" si="7"/>
        <v>土地使用年限（年）</v>
      </c>
      <c r="AA12" s="1506">
        <f t="shared" si="3"/>
        <v>1</v>
      </c>
      <c r="AB12" s="1506">
        <f t="shared" si="4"/>
        <v>1</v>
      </c>
      <c r="AC12" s="1506">
        <f t="shared" si="5"/>
        <v>1</v>
      </c>
    </row>
    <row r="13" spans="1:30" ht="20.25">
      <c r="A13" s="2633"/>
      <c r="B13" s="2637" t="s">
        <v>2739</v>
      </c>
      <c r="C13" s="528">
        <f>'数据-汇总表'!I6</f>
        <v>2.8</v>
      </c>
      <c r="D13" s="253">
        <v>100</v>
      </c>
      <c r="E13" s="527">
        <v>3.5</v>
      </c>
      <c r="F13" s="253">
        <f>LOOKUP(E13,82:82,83:83)-LOOKUP(C13,82:82,83:83)+100</f>
        <v>98</v>
      </c>
      <c r="G13" s="528">
        <v>3.5</v>
      </c>
      <c r="H13" s="253">
        <f>LOOKUP(G13,82:82,83:83)-LOOKUP(C13,82:82,83:83)+100</f>
        <v>98</v>
      </c>
      <c r="I13" s="527">
        <v>3.5</v>
      </c>
      <c r="J13" s="253">
        <f>LOOKUP(I13,82:82,83:83)-LOOKUP(C13,82:82,83:83)+100</f>
        <v>98</v>
      </c>
      <c r="K13" s="529">
        <v>2</v>
      </c>
      <c r="L13" s="2023"/>
      <c r="M13" s="2015"/>
      <c r="N13" s="2015"/>
      <c r="O13" s="2024"/>
      <c r="P13" s="3474"/>
      <c r="Q13" s="1134" t="str">
        <f t="shared" si="6"/>
        <v>容积率</v>
      </c>
      <c r="R13" s="1503" t="s">
        <v>8</v>
      </c>
      <c r="S13" s="1504">
        <f t="shared" si="0"/>
        <v>98</v>
      </c>
      <c r="T13" s="1503" t="s">
        <v>8</v>
      </c>
      <c r="U13" s="1504">
        <f t="shared" si="1"/>
        <v>98</v>
      </c>
      <c r="V13" s="1503" t="s">
        <v>8</v>
      </c>
      <c r="W13" s="1504">
        <f t="shared" si="2"/>
        <v>98</v>
      </c>
      <c r="X13" s="1505"/>
      <c r="Y13" s="3420"/>
      <c r="Z13" s="1133" t="str">
        <f t="shared" si="7"/>
        <v>容积率</v>
      </c>
      <c r="AA13" s="1506">
        <f t="shared" si="3"/>
        <v>1.0204081632653061</v>
      </c>
      <c r="AB13" s="1506">
        <f t="shared" si="4"/>
        <v>1.0204081632653061</v>
      </c>
      <c r="AC13" s="1506">
        <f t="shared" si="5"/>
        <v>1.0204081632653061</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4"/>
      <c r="Q14" s="1134" t="str">
        <f t="shared" si="6"/>
        <v>配建</v>
      </c>
      <c r="R14" s="1503" t="s">
        <v>8</v>
      </c>
      <c r="S14" s="1504">
        <f t="shared" si="0"/>
        <v>100</v>
      </c>
      <c r="T14" s="1503" t="s">
        <v>8</v>
      </c>
      <c r="U14" s="1504">
        <f t="shared" si="1"/>
        <v>100</v>
      </c>
      <c r="V14" s="1503" t="s">
        <v>8</v>
      </c>
      <c r="W14" s="1504">
        <f t="shared" si="2"/>
        <v>100</v>
      </c>
      <c r="X14" s="1505"/>
      <c r="Y14" s="342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4"/>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4"/>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08" t="s">
        <v>534</v>
      </c>
      <c r="Q17" s="1507" t="str">
        <f t="shared" si="6"/>
        <v>居住社区成熟度</v>
      </c>
      <c r="R17" s="1508" t="s">
        <v>8</v>
      </c>
      <c r="S17" s="1509">
        <f t="shared" si="0"/>
        <v>100</v>
      </c>
      <c r="T17" s="1508" t="s">
        <v>8</v>
      </c>
      <c r="U17" s="1509">
        <f t="shared" si="1"/>
        <v>100</v>
      </c>
      <c r="V17" s="1508" t="s">
        <v>8</v>
      </c>
      <c r="W17" s="1509">
        <f t="shared" si="2"/>
        <v>100</v>
      </c>
      <c r="X17" s="1502"/>
      <c r="Y17" s="350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09"/>
      <c r="Q18" s="1507"/>
      <c r="R18" s="1508"/>
      <c r="S18" s="1509"/>
      <c r="T18" s="1508"/>
      <c r="U18" s="1509"/>
      <c r="V18" s="1508"/>
      <c r="W18" s="1509"/>
      <c r="X18" s="1502"/>
      <c r="Y18" s="350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09"/>
      <c r="Q19" s="1507" t="str">
        <f>B19</f>
        <v>商业繁华度</v>
      </c>
      <c r="R19" s="1508" t="s">
        <v>8</v>
      </c>
      <c r="S19" s="1509">
        <f>F19</f>
        <v>100</v>
      </c>
      <c r="T19" s="1508" t="s">
        <v>8</v>
      </c>
      <c r="U19" s="1509">
        <f>H19</f>
        <v>100</v>
      </c>
      <c r="V19" s="1508" t="s">
        <v>8</v>
      </c>
      <c r="W19" s="1509">
        <f>J19</f>
        <v>100</v>
      </c>
      <c r="X19" s="1502"/>
      <c r="Y19" s="350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09"/>
      <c r="Q20" s="1507"/>
      <c r="R20" s="1508"/>
      <c r="S20" s="1509"/>
      <c r="T20" s="1508"/>
      <c r="U20" s="1509"/>
      <c r="V20" s="1508"/>
      <c r="W20" s="1509"/>
      <c r="X20" s="1502"/>
      <c r="Y20" s="350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9"/>
      <c r="Q21" s="1507" t="str">
        <f>B21</f>
        <v>办公集聚程度</v>
      </c>
      <c r="R21" s="1508" t="s">
        <v>8</v>
      </c>
      <c r="S21" s="1509">
        <f>F21</f>
        <v>100</v>
      </c>
      <c r="T21" s="1508" t="s">
        <v>8</v>
      </c>
      <c r="U21" s="1509">
        <f>H21</f>
        <v>100</v>
      </c>
      <c r="V21" s="1508" t="s">
        <v>8</v>
      </c>
      <c r="W21" s="1509">
        <f>J21</f>
        <v>100</v>
      </c>
      <c r="X21" s="1502"/>
      <c r="Y21" s="350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09"/>
      <c r="Q22" s="1507"/>
      <c r="R22" s="1508"/>
      <c r="S22" s="1509"/>
      <c r="T22" s="1508"/>
      <c r="U22" s="1509"/>
      <c r="V22" s="1508"/>
      <c r="W22" s="1509"/>
      <c r="X22" s="1502"/>
      <c r="Y22" s="350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09"/>
      <c r="Q23" s="1507" t="str">
        <f>B23</f>
        <v>交通便捷度</v>
      </c>
      <c r="R23" s="1508" t="s">
        <v>8</v>
      </c>
      <c r="S23" s="1509">
        <f>F23</f>
        <v>100</v>
      </c>
      <c r="T23" s="1508" t="s">
        <v>8</v>
      </c>
      <c r="U23" s="1509">
        <f>H23</f>
        <v>100</v>
      </c>
      <c r="V23" s="1508" t="s">
        <v>8</v>
      </c>
      <c r="W23" s="1509">
        <f>J23</f>
        <v>100</v>
      </c>
      <c r="X23" s="1502"/>
      <c r="Y23" s="350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09"/>
      <c r="Q24" s="1507"/>
      <c r="R24" s="1508"/>
      <c r="S24" s="1509"/>
      <c r="T24" s="1508"/>
      <c r="U24" s="1509"/>
      <c r="V24" s="1508"/>
      <c r="W24" s="1509"/>
      <c r="X24" s="1502"/>
      <c r="Y24" s="350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09"/>
      <c r="Q25" s="1507" t="str">
        <f t="shared" ref="Q25:Q39" si="8">B25</f>
        <v>区域土地利用方向</v>
      </c>
      <c r="R25" s="1508" t="s">
        <v>8</v>
      </c>
      <c r="S25" s="1509">
        <f>F25</f>
        <v>100</v>
      </c>
      <c r="T25" s="1508" t="s">
        <v>8</v>
      </c>
      <c r="U25" s="1509">
        <f>H25</f>
        <v>100</v>
      </c>
      <c r="V25" s="1508" t="s">
        <v>8</v>
      </c>
      <c r="W25" s="1509">
        <f>J25</f>
        <v>100</v>
      </c>
      <c r="X25" s="1502"/>
      <c r="Y25" s="350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09"/>
      <c r="Q26" s="1507"/>
      <c r="R26" s="1508"/>
      <c r="S26" s="1509"/>
      <c r="T26" s="1508"/>
      <c r="U26" s="1509"/>
      <c r="V26" s="1508"/>
      <c r="W26" s="1509"/>
      <c r="X26" s="1502"/>
      <c r="Y26" s="350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09"/>
      <c r="Q27" s="1507" t="str">
        <f t="shared" si="8"/>
        <v>自然及人文环境状况</v>
      </c>
      <c r="R27" s="1508" t="s">
        <v>8</v>
      </c>
      <c r="S27" s="1509">
        <f>F27</f>
        <v>100</v>
      </c>
      <c r="T27" s="1508" t="s">
        <v>8</v>
      </c>
      <c r="U27" s="1509">
        <f>H27</f>
        <v>100</v>
      </c>
      <c r="V27" s="1508" t="s">
        <v>8</v>
      </c>
      <c r="W27" s="1509">
        <f>J27</f>
        <v>100</v>
      </c>
      <c r="X27" s="1502"/>
      <c r="Y27" s="350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09"/>
      <c r="Q28" s="1507"/>
      <c r="R28" s="1508"/>
      <c r="S28" s="1509"/>
      <c r="T28" s="1508"/>
      <c r="U28" s="1509"/>
      <c r="V28" s="1508"/>
      <c r="W28" s="1509"/>
      <c r="X28" s="1502"/>
      <c r="Y28" s="3509"/>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09"/>
      <c r="Q29" s="1134" t="str">
        <f t="shared" si="8"/>
        <v>公共配套设施</v>
      </c>
      <c r="R29" s="1503" t="s">
        <v>8</v>
      </c>
      <c r="S29" s="1504">
        <f>F29</f>
        <v>100</v>
      </c>
      <c r="T29" s="1503" t="s">
        <v>8</v>
      </c>
      <c r="U29" s="1504">
        <f>H29</f>
        <v>100</v>
      </c>
      <c r="V29" s="1503" t="s">
        <v>8</v>
      </c>
      <c r="W29" s="1504">
        <f>J29</f>
        <v>100</v>
      </c>
      <c r="X29" s="1505"/>
      <c r="Y29" s="350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09"/>
      <c r="Q30" s="1134"/>
      <c r="R30" s="1503"/>
      <c r="S30" s="1504"/>
      <c r="T30" s="1503"/>
      <c r="U30" s="1504"/>
      <c r="V30" s="1503"/>
      <c r="W30" s="1504"/>
      <c r="X30" s="1505"/>
      <c r="Y30" s="3509"/>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09"/>
      <c r="Q31" s="2429" t="str">
        <f t="shared" ref="Q31" si="9">B31</f>
        <v>基础设施水平</v>
      </c>
      <c r="R31" s="1503" t="s">
        <v>8</v>
      </c>
      <c r="S31" s="1504">
        <f>F31</f>
        <v>100</v>
      </c>
      <c r="T31" s="1503" t="s">
        <v>8</v>
      </c>
      <c r="U31" s="1504">
        <f>H31</f>
        <v>100</v>
      </c>
      <c r="V31" s="1503" t="s">
        <v>8</v>
      </c>
      <c r="W31" s="1504">
        <f>J31</f>
        <v>100</v>
      </c>
      <c r="X31" s="1505"/>
      <c r="Y31" s="3509"/>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09"/>
      <c r="Q32" s="2429"/>
      <c r="R32" s="1503"/>
      <c r="S32" s="1504"/>
      <c r="T32" s="1503"/>
      <c r="U32" s="1504"/>
      <c r="V32" s="1503"/>
      <c r="W32" s="1504"/>
      <c r="X32" s="1505"/>
      <c r="Y32" s="3509"/>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9"/>
      <c r="Q34" s="1507" t="str">
        <f t="shared" si="8"/>
        <v>毗邻道路的类型与等级</v>
      </c>
      <c r="R34" s="1508" t="s">
        <v>8</v>
      </c>
      <c r="S34" s="1509">
        <f t="shared" si="10"/>
        <v>100</v>
      </c>
      <c r="T34" s="1508" t="s">
        <v>8</v>
      </c>
      <c r="U34" s="1509">
        <f t="shared" si="11"/>
        <v>100</v>
      </c>
      <c r="V34" s="1508" t="s">
        <v>8</v>
      </c>
      <c r="W34" s="1509">
        <f t="shared" si="12"/>
        <v>100</v>
      </c>
      <c r="X34" s="1502"/>
      <c r="Y34" s="350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9"/>
      <c r="Q35" s="1507"/>
      <c r="R35" s="1508"/>
      <c r="S35" s="1509"/>
      <c r="T35" s="1508"/>
      <c r="U35" s="1509"/>
      <c r="V35" s="1508"/>
      <c r="W35" s="1509"/>
      <c r="X35" s="1502"/>
      <c r="Y35" s="350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9"/>
      <c r="Q36" s="1507" t="str">
        <f t="shared" si="8"/>
        <v>土地级别</v>
      </c>
      <c r="R36" s="1508" t="s">
        <v>8</v>
      </c>
      <c r="S36" s="1509">
        <f t="shared" si="10"/>
        <v>100</v>
      </c>
      <c r="T36" s="1508" t="s">
        <v>8</v>
      </c>
      <c r="U36" s="1509">
        <f t="shared" si="11"/>
        <v>100</v>
      </c>
      <c r="V36" s="1508" t="s">
        <v>8</v>
      </c>
      <c r="W36" s="1509">
        <f t="shared" si="12"/>
        <v>100</v>
      </c>
      <c r="X36" s="1502"/>
      <c r="Y36" s="350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9"/>
      <c r="Q37" s="1507">
        <f t="shared" si="8"/>
        <v>111</v>
      </c>
      <c r="R37" s="1508" t="s">
        <v>8</v>
      </c>
      <c r="S37" s="1509">
        <f t="shared" si="10"/>
        <v>100</v>
      </c>
      <c r="T37" s="1508" t="s">
        <v>8</v>
      </c>
      <c r="U37" s="1509">
        <f t="shared" si="11"/>
        <v>100</v>
      </c>
      <c r="V37" s="1508" t="s">
        <v>8</v>
      </c>
      <c r="W37" s="1509">
        <f t="shared" si="12"/>
        <v>100</v>
      </c>
      <c r="X37" s="1502"/>
      <c r="Y37" s="350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0" t="s">
        <v>544</v>
      </c>
      <c r="Q38" s="1507">
        <f t="shared" si="8"/>
        <v>111</v>
      </c>
      <c r="R38" s="1508" t="s">
        <v>8</v>
      </c>
      <c r="S38" s="1509">
        <f t="shared" si="10"/>
        <v>100</v>
      </c>
      <c r="T38" s="1508" t="s">
        <v>8</v>
      </c>
      <c r="U38" s="1509">
        <f t="shared" si="11"/>
        <v>100</v>
      </c>
      <c r="V38" s="1508" t="s">
        <v>8</v>
      </c>
      <c r="W38" s="1509">
        <f t="shared" si="12"/>
        <v>100</v>
      </c>
      <c r="X38" s="1502"/>
      <c r="Y38" s="351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1"/>
      <c r="Q39" s="1507">
        <f t="shared" si="8"/>
        <v>111</v>
      </c>
      <c r="R39" s="1512" t="s">
        <v>8</v>
      </c>
      <c r="S39" s="1513">
        <f t="shared" si="10"/>
        <v>100</v>
      </c>
      <c r="T39" s="1512" t="s">
        <v>8</v>
      </c>
      <c r="U39" s="1513">
        <f t="shared" si="11"/>
        <v>100</v>
      </c>
      <c r="V39" s="1512" t="s">
        <v>8</v>
      </c>
      <c r="W39" s="1513">
        <f t="shared" si="12"/>
        <v>100</v>
      </c>
      <c r="X39" s="1514"/>
      <c r="Y39" s="3511"/>
      <c r="Z39" s="1515">
        <f t="shared" si="13"/>
        <v>111</v>
      </c>
      <c r="AA39" s="1511">
        <f t="shared" si="3"/>
        <v>1</v>
      </c>
      <c r="AB39" s="1511">
        <f t="shared" si="4"/>
        <v>1</v>
      </c>
      <c r="AC39" s="1511">
        <f t="shared" si="5"/>
        <v>1</v>
      </c>
    </row>
    <row r="40" spans="1:29" ht="20.25">
      <c r="A40" s="2625" t="s">
        <v>2736</v>
      </c>
      <c r="B40" s="589" t="s">
        <v>546</v>
      </c>
      <c r="C40" s="590">
        <f>'数据-汇总表'!D19</f>
        <v>40307.71</v>
      </c>
      <c r="D40" s="591">
        <v>100</v>
      </c>
      <c r="E40" s="590">
        <f>土地及销售案例!G16</f>
        <v>26903</v>
      </c>
      <c r="F40" s="591">
        <f>LOOKUP(E40,119:119,120:120)-LOOKUP(C40,119:119,120:120)+100</f>
        <v>99</v>
      </c>
      <c r="G40" s="590">
        <f>土地及销售案例!G30</f>
        <v>111472</v>
      </c>
      <c r="H40" s="591">
        <f>LOOKUP(G40,119:119,120:120)-LOOKUP(C40,119:119,120:120)+100</f>
        <v>103</v>
      </c>
      <c r="I40" s="592">
        <f>土地及销售案例!G45</f>
        <v>96213</v>
      </c>
      <c r="J40" s="591">
        <f>LOOKUP(I40,119:119,120:120)-LOOKUP(C40,119:119,120:120)+100</f>
        <v>102</v>
      </c>
      <c r="K40" s="575"/>
      <c r="L40" s="2025"/>
      <c r="M40" s="2015"/>
      <c r="N40" s="2015"/>
      <c r="O40" s="2024"/>
      <c r="P40" s="3511"/>
      <c r="Q40" s="1507" t="str">
        <f>B40</f>
        <v>宗地面积</v>
      </c>
      <c r="R40" s="1508" t="s">
        <v>8</v>
      </c>
      <c r="S40" s="1509">
        <f t="shared" si="10"/>
        <v>99</v>
      </c>
      <c r="T40" s="1508" t="s">
        <v>8</v>
      </c>
      <c r="U40" s="1509">
        <f t="shared" si="11"/>
        <v>103</v>
      </c>
      <c r="V40" s="1508" t="s">
        <v>8</v>
      </c>
      <c r="W40" s="1509">
        <f t="shared" si="12"/>
        <v>102</v>
      </c>
      <c r="X40" s="1502"/>
      <c r="Y40" s="3511"/>
      <c r="Z40" s="1510" t="str">
        <f t="shared" si="13"/>
        <v>宗地面积</v>
      </c>
      <c r="AA40" s="1511">
        <f t="shared" si="3"/>
        <v>1.0101010101010102</v>
      </c>
      <c r="AB40" s="1511">
        <f t="shared" si="4"/>
        <v>0.970873786407767</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11"/>
      <c r="Q41" s="1507" t="str">
        <f t="shared" ref="Q41:Q47" si="14">B41</f>
        <v>宗地形状</v>
      </c>
      <c r="R41" s="1508" t="s">
        <v>8</v>
      </c>
      <c r="S41" s="1509">
        <f t="shared" si="10"/>
        <v>100</v>
      </c>
      <c r="T41" s="1508" t="s">
        <v>8</v>
      </c>
      <c r="U41" s="1509">
        <f t="shared" si="11"/>
        <v>100</v>
      </c>
      <c r="V41" s="1508" t="s">
        <v>8</v>
      </c>
      <c r="W41" s="1509">
        <f t="shared" si="12"/>
        <v>100</v>
      </c>
      <c r="X41" s="1502"/>
      <c r="Y41" s="351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1"/>
      <c r="Q42" s="1507" t="str">
        <f t="shared" si="14"/>
        <v>临街宽度及深度</v>
      </c>
      <c r="R42" s="1508" t="s">
        <v>8</v>
      </c>
      <c r="S42" s="1509">
        <f t="shared" si="10"/>
        <v>100</v>
      </c>
      <c r="T42" s="1508" t="s">
        <v>8</v>
      </c>
      <c r="U42" s="1509">
        <f t="shared" si="11"/>
        <v>100</v>
      </c>
      <c r="V42" s="1508" t="s">
        <v>8</v>
      </c>
      <c r="W42" s="1509">
        <f t="shared" si="12"/>
        <v>100</v>
      </c>
      <c r="X42" s="1502"/>
      <c r="Y42" s="3511"/>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11"/>
      <c r="Q43" s="1507" t="str">
        <f t="shared" si="14"/>
        <v>宗地开发程度</v>
      </c>
      <c r="R43" s="1503" t="s">
        <v>8</v>
      </c>
      <c r="S43" s="1504">
        <f t="shared" si="10"/>
        <v>100</v>
      </c>
      <c r="T43" s="1503" t="s">
        <v>8</v>
      </c>
      <c r="U43" s="1504">
        <f t="shared" si="11"/>
        <v>100</v>
      </c>
      <c r="V43" s="1503" t="s">
        <v>8</v>
      </c>
      <c r="W43" s="1504">
        <f t="shared" si="12"/>
        <v>100</v>
      </c>
      <c r="X43" s="1505"/>
      <c r="Y43" s="351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1" t="s">
        <v>544</v>
      </c>
      <c r="Q44" s="1507" t="str">
        <f t="shared" si="14"/>
        <v>工程地质条件</v>
      </c>
      <c r="R44" s="1508" t="s">
        <v>8</v>
      </c>
      <c r="S44" s="1509">
        <f t="shared" si="10"/>
        <v>100</v>
      </c>
      <c r="T44" s="1508" t="s">
        <v>8</v>
      </c>
      <c r="U44" s="1509">
        <f t="shared" si="11"/>
        <v>100</v>
      </c>
      <c r="V44" s="1508" t="s">
        <v>8</v>
      </c>
      <c r="W44" s="1509">
        <f t="shared" si="12"/>
        <v>100</v>
      </c>
      <c r="X44" s="1502"/>
      <c r="Y44" s="351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1"/>
      <c r="Q45" s="1507">
        <f t="shared" si="14"/>
        <v>111</v>
      </c>
      <c r="R45" s="1508" t="s">
        <v>8</v>
      </c>
      <c r="S45" s="1509">
        <f t="shared" si="10"/>
        <v>100</v>
      </c>
      <c r="T45" s="1508" t="s">
        <v>8</v>
      </c>
      <c r="U45" s="1509">
        <f t="shared" si="11"/>
        <v>100</v>
      </c>
      <c r="V45" s="1508" t="s">
        <v>8</v>
      </c>
      <c r="W45" s="1509">
        <f t="shared" si="12"/>
        <v>100</v>
      </c>
      <c r="X45" s="1502"/>
      <c r="Y45" s="351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1"/>
      <c r="Q46" s="1507">
        <f t="shared" si="14"/>
        <v>111</v>
      </c>
      <c r="R46" s="1508" t="s">
        <v>8</v>
      </c>
      <c r="S46" s="1509">
        <f t="shared" si="10"/>
        <v>100</v>
      </c>
      <c r="T46" s="1508" t="s">
        <v>8</v>
      </c>
      <c r="U46" s="1509">
        <f t="shared" si="11"/>
        <v>100</v>
      </c>
      <c r="V46" s="1508" t="s">
        <v>8</v>
      </c>
      <c r="W46" s="1509">
        <f t="shared" si="12"/>
        <v>100</v>
      </c>
      <c r="X46" s="1502"/>
      <c r="Y46" s="351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1"/>
      <c r="Q47" s="1507">
        <f t="shared" si="14"/>
        <v>111</v>
      </c>
      <c r="R47" s="1512" t="s">
        <v>8</v>
      </c>
      <c r="S47" s="1513">
        <f t="shared" si="10"/>
        <v>100</v>
      </c>
      <c r="T47" s="1512" t="s">
        <v>8</v>
      </c>
      <c r="U47" s="1513">
        <f t="shared" si="11"/>
        <v>100</v>
      </c>
      <c r="V47" s="1512" t="s">
        <v>8</v>
      </c>
      <c r="W47" s="1513">
        <f t="shared" si="12"/>
        <v>100</v>
      </c>
      <c r="X47" s="1514"/>
      <c r="Y47" s="3511"/>
      <c r="Z47" s="1515">
        <f t="shared" si="13"/>
        <v>111</v>
      </c>
      <c r="AA47" s="1511">
        <f t="shared" si="3"/>
        <v>1</v>
      </c>
      <c r="AB47" s="1511">
        <f t="shared" si="4"/>
        <v>1</v>
      </c>
      <c r="AC47" s="1511">
        <f t="shared" si="5"/>
        <v>1</v>
      </c>
    </row>
    <row r="48" spans="1:29" ht="20.25">
      <c r="A48" s="601" t="s">
        <v>550</v>
      </c>
      <c r="B48" s="602" t="s">
        <v>3032</v>
      </c>
      <c r="C48" s="603" t="s">
        <v>1</v>
      </c>
      <c r="D48" s="604"/>
      <c r="E48" s="605">
        <f>土地及销售案例!N16</f>
        <v>2332.61</v>
      </c>
      <c r="F48" s="606"/>
      <c r="G48" s="607">
        <f>土地及销售案例!N30</f>
        <v>2092.0300000000002</v>
      </c>
      <c r="H48" s="608"/>
      <c r="I48" s="605">
        <f>土地及销售案例!N45</f>
        <v>2127.0300000000002</v>
      </c>
      <c r="J48" s="608"/>
      <c r="K48" s="1294"/>
      <c r="L48" s="2027"/>
      <c r="M48" s="2015"/>
      <c r="N48" s="2015"/>
      <c r="O48" s="2028"/>
      <c r="P48" s="3474" t="str">
        <f>A48</f>
        <v>成交单价</v>
      </c>
      <c r="Q48" s="3474"/>
      <c r="R48" s="3475">
        <f>E48</f>
        <v>2332.61</v>
      </c>
      <c r="S48" s="3475"/>
      <c r="T48" s="3475">
        <f>G48</f>
        <v>2092.0300000000002</v>
      </c>
      <c r="U48" s="3475"/>
      <c r="V48" s="3475">
        <f>I48</f>
        <v>2127.0300000000002</v>
      </c>
      <c r="W48" s="3475"/>
      <c r="X48" s="1497"/>
      <c r="Y48" s="1516"/>
      <c r="Z48" s="1497"/>
      <c r="AA48" s="1497"/>
      <c r="AB48" s="1497"/>
      <c r="AC48" s="1497"/>
    </row>
    <row r="49" spans="1:29" ht="21" thickBot="1">
      <c r="A49" s="609" t="s">
        <v>2674</v>
      </c>
      <c r="B49" s="610"/>
      <c r="C49" s="611">
        <f>R50</f>
        <v>2202</v>
      </c>
      <c r="D49" s="3014" t="s">
        <v>2972</v>
      </c>
      <c r="E49" s="611">
        <f>R49</f>
        <v>2404</v>
      </c>
      <c r="F49" s="3015"/>
      <c r="G49" s="612">
        <f>T49</f>
        <v>2073</v>
      </c>
      <c r="H49" s="3015"/>
      <c r="I49" s="611">
        <f>V49</f>
        <v>2128</v>
      </c>
      <c r="J49" s="3015"/>
      <c r="K49" s="3016">
        <f>F49+H49+J49</f>
        <v>0</v>
      </c>
      <c r="L49" s="2027"/>
      <c r="M49" s="2015"/>
      <c r="N49" s="2015"/>
      <c r="O49" s="2028"/>
      <c r="P49" s="3474" t="str">
        <f>A49</f>
        <v>比较价格（元/平方米）</v>
      </c>
      <c r="Q49" s="3474"/>
      <c r="R49" s="3476">
        <f>ROUND(PRODUCT(R48,AA9:AA47),0)</f>
        <v>2404</v>
      </c>
      <c r="S49" s="3476"/>
      <c r="T49" s="3476">
        <f>ROUND(PRODUCT(T48,AB9:AB47),0)</f>
        <v>2073</v>
      </c>
      <c r="U49" s="3476"/>
      <c r="V49" s="3476">
        <f>ROUND(PRODUCT(V48,AC9:AC47),0)</f>
        <v>2128</v>
      </c>
      <c r="W49" s="3476"/>
      <c r="X49" s="1497"/>
      <c r="Y49" s="1497"/>
      <c r="Z49" s="1497"/>
      <c r="AA49" s="1497"/>
      <c r="AB49" s="1497"/>
      <c r="AC49" s="1497"/>
    </row>
    <row r="50" spans="1:29" ht="21" thickBot="1">
      <c r="A50" s="613" t="s">
        <v>2904</v>
      </c>
      <c r="B50" s="614"/>
      <c r="C50" s="615">
        <f>R50</f>
        <v>2202</v>
      </c>
      <c r="D50" s="615"/>
      <c r="E50" s="615"/>
      <c r="F50" s="615"/>
      <c r="G50" s="615"/>
      <c r="H50" s="615"/>
      <c r="I50" s="615"/>
      <c r="J50" s="615"/>
      <c r="K50" s="1295"/>
      <c r="L50" s="2027"/>
      <c r="M50" s="2015"/>
      <c r="N50" s="2015"/>
      <c r="O50" s="2028"/>
      <c r="P50" s="3471" t="str">
        <f>A50</f>
        <v>估价对象XX用房的比较价格（楼面单价，元/平方米）</v>
      </c>
      <c r="Q50" s="3472"/>
      <c r="R50" s="3473">
        <f>ROUND(IF(D49="简单平均",AVERAGE(R49:W49),R49*F49+T49*H49+V49*J49),0)</f>
        <v>2202</v>
      </c>
      <c r="S50" s="3473"/>
      <c r="T50" s="3473"/>
      <c r="U50" s="3473"/>
      <c r="V50" s="3473"/>
      <c r="W50" s="3473"/>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3.0605201898302736E-2</v>
      </c>
      <c r="F53" s="619" t="str">
        <f>IF(OR(E53&gt;=0.3,E53&lt;=-0.3),"超过30%","")</f>
        <v/>
      </c>
      <c r="G53" s="618">
        <f>IF(G48&lt;G49,G49/G48-1,G48/G49-1)</f>
        <v>9.1799324650265746E-3</v>
      </c>
      <c r="H53" s="619" t="str">
        <f>IF(OR(G53&gt;=0.3,G53&lt;=-0.3),"超过30%","")</f>
        <v/>
      </c>
      <c r="I53" s="618">
        <f>IF(I48&lt;I49,I49/I48-1,I48/I49-1)</f>
        <v>4.5603494073898077E-4</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0.15967197298601055</v>
      </c>
      <c r="F54" s="619" t="str">
        <f>IF(OR(E54&gt;=0.2,E54&lt;=-0.2),"超过20%","")</f>
        <v/>
      </c>
      <c r="G54" s="618">
        <f>IF(G49&lt;I49,I49/G49-1,G49/I49-1)</f>
        <v>2.6531596719729933E-2</v>
      </c>
      <c r="H54" s="619" t="str">
        <f>IF(OR(G54&gt;=0.2,G54&lt;=-0.2),"超过20%","")</f>
        <v/>
      </c>
      <c r="I54" s="618">
        <f>IF(I49&lt;E49,E49/I49-1,I49/E49-1)</f>
        <v>0.12969924812030076</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0.11499835088406951</v>
      </c>
      <c r="F55" s="619" t="str">
        <f>IF(OR(E55&gt;=0.3,E55&lt;=-0.3),"超过30%","")</f>
        <v/>
      </c>
      <c r="G55" s="618">
        <f>IF(G48&lt;I48,I48/G48-1,G48/I48-1)</f>
        <v>1.6730161613361272E-2</v>
      </c>
      <c r="H55" s="619" t="str">
        <f>IF(OR(G55&gt;=0.3,G55&lt;=-0.3),"超过30%","")</f>
        <v/>
      </c>
      <c r="I55" s="618">
        <f>IF(I48&lt;E48,E48/I48-1,I48/E48-1)</f>
        <v>9.665119908981068E-2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0" t="s">
        <v>2269</v>
      </c>
      <c r="H57" s="350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2202</v>
      </c>
      <c r="C58" s="627">
        <v>1</v>
      </c>
      <c r="D58" s="2109">
        <v>1</v>
      </c>
      <c r="E58" s="627">
        <f>'数据-汇总表'!E8+'数据-汇总表'!E9</f>
        <v>142861.59999999998</v>
      </c>
      <c r="F58" s="628">
        <f t="shared" ref="F58:F67" si="15">ROUND(B58*E58/10000,0)</f>
        <v>31458</v>
      </c>
      <c r="G58" s="3502"/>
      <c r="H58" s="350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04"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04"/>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04"/>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04"/>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142861.59999999998</v>
      </c>
      <c r="F68" s="636">
        <f>IF(B48="楼面地价",SUM(F58:F67),ROUND(C50*E68/10000,0))</f>
        <v>31458</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722">
        <v>100</v>
      </c>
      <c r="E73" s="722">
        <v>100</v>
      </c>
      <c r="F73" s="722">
        <v>100</v>
      </c>
      <c r="G73" s="722">
        <v>100</v>
      </c>
      <c r="H73" s="722">
        <v>100</v>
      </c>
      <c r="I73" s="722">
        <v>100</v>
      </c>
      <c r="J73" s="722">
        <v>100</v>
      </c>
      <c r="K73" s="722">
        <v>100</v>
      </c>
      <c r="L73" s="722">
        <v>100</v>
      </c>
      <c r="M73" s="722">
        <v>100</v>
      </c>
      <c r="N73" s="722">
        <v>100</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692">
        <v>102</v>
      </c>
      <c r="F120" s="718">
        <v>103</v>
      </c>
      <c r="G120" s="692">
        <v>104</v>
      </c>
      <c r="H120" s="718">
        <v>105</v>
      </c>
      <c r="I120" s="692">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0" t="s">
        <v>516</v>
      </c>
      <c r="D6" s="3481"/>
      <c r="E6" s="3514" t="s">
        <v>517</v>
      </c>
      <c r="F6" s="3515"/>
      <c r="G6" s="3480" t="s">
        <v>518</v>
      </c>
      <c r="H6" s="3481"/>
      <c r="I6" s="3480" t="s">
        <v>519</v>
      </c>
      <c r="J6" s="3481"/>
      <c r="K6" s="508" t="s">
        <v>520</v>
      </c>
      <c r="L6" s="2016"/>
      <c r="M6" s="2017"/>
      <c r="N6" s="2017"/>
      <c r="O6" s="2017"/>
      <c r="P6" s="3482" t="s">
        <v>521</v>
      </c>
      <c r="Q6" s="3483"/>
      <c r="R6" s="3488" t="s">
        <v>517</v>
      </c>
      <c r="S6" s="3489"/>
      <c r="T6" s="3488" t="s">
        <v>518</v>
      </c>
      <c r="U6" s="3489"/>
      <c r="V6" s="3475" t="s">
        <v>519</v>
      </c>
      <c r="W6" s="3475"/>
      <c r="X6" s="1502"/>
      <c r="Y6" s="3488" t="s">
        <v>521</v>
      </c>
      <c r="Z6" s="3489"/>
      <c r="AA6" s="3477" t="s">
        <v>517</v>
      </c>
      <c r="AB6" s="3478" t="s">
        <v>518</v>
      </c>
      <c r="AC6" s="3477" t="s">
        <v>519</v>
      </c>
    </row>
    <row r="7" spans="1:29" ht="15">
      <c r="A7" s="509"/>
      <c r="B7" s="510"/>
      <c r="C7" s="3496" t="s">
        <v>2898</v>
      </c>
      <c r="D7" s="3497"/>
      <c r="E7" s="3516" t="s">
        <v>2899</v>
      </c>
      <c r="F7" s="3517"/>
      <c r="G7" s="3496" t="s">
        <v>2900</v>
      </c>
      <c r="H7" s="3497"/>
      <c r="I7" s="3496" t="s">
        <v>2901</v>
      </c>
      <c r="J7" s="3497"/>
      <c r="K7" s="508"/>
      <c r="L7" s="2016"/>
      <c r="M7" s="2017"/>
      <c r="N7" s="2017"/>
      <c r="O7" s="2017"/>
      <c r="P7" s="3484"/>
      <c r="Q7" s="3485"/>
      <c r="R7" s="3490"/>
      <c r="S7" s="3491"/>
      <c r="T7" s="3490"/>
      <c r="U7" s="3491"/>
      <c r="V7" s="3475"/>
      <c r="W7" s="3475"/>
      <c r="X7" s="1502"/>
      <c r="Y7" s="3490"/>
      <c r="Z7" s="3491"/>
      <c r="AA7" s="3478"/>
      <c r="AB7" s="3478"/>
      <c r="AC7" s="3478"/>
    </row>
    <row r="8" spans="1:29" ht="15.75" thickBot="1">
      <c r="A8" s="511"/>
      <c r="B8" s="512"/>
      <c r="C8" s="3494" t="s">
        <v>2902</v>
      </c>
      <c r="D8" s="3495"/>
      <c r="E8" s="3512" t="s">
        <v>2902</v>
      </c>
      <c r="F8" s="3513"/>
      <c r="G8" s="3494" t="s">
        <v>2902</v>
      </c>
      <c r="H8" s="3495"/>
      <c r="I8" s="3494" t="s">
        <v>2902</v>
      </c>
      <c r="J8" s="3495"/>
      <c r="K8" s="508" t="s">
        <v>522</v>
      </c>
      <c r="L8" s="2016"/>
      <c r="M8" s="2017"/>
      <c r="N8" s="2017"/>
      <c r="O8" s="2017"/>
      <c r="P8" s="3486"/>
      <c r="Q8" s="3487"/>
      <c r="R8" s="3490"/>
      <c r="S8" s="3491"/>
      <c r="T8" s="3492"/>
      <c r="U8" s="3493"/>
      <c r="V8" s="3475"/>
      <c r="W8" s="3475"/>
      <c r="X8" s="1502"/>
      <c r="Y8" s="3492"/>
      <c r="Z8" s="3493"/>
      <c r="AA8" s="3479"/>
      <c r="AB8" s="3479"/>
      <c r="AC8" s="3479"/>
    </row>
    <row r="9" spans="1:29" s="1203" customFormat="1" ht="15.75" thickBot="1">
      <c r="A9" s="2629"/>
      <c r="B9" s="2636" t="s">
        <v>523</v>
      </c>
      <c r="C9" s="513">
        <f>'数据-取费表'!B2</f>
        <v>44186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5" t="s">
        <v>524</v>
      </c>
      <c r="Q9" s="3507"/>
      <c r="R9" s="1503" t="s">
        <v>8</v>
      </c>
      <c r="S9" s="1504">
        <f t="shared" ref="S9:S17" si="0">F9</f>
        <v>0</v>
      </c>
      <c r="T9" s="1503" t="s">
        <v>8</v>
      </c>
      <c r="U9" s="1504">
        <f t="shared" ref="U9:U17" si="1">H9</f>
        <v>0</v>
      </c>
      <c r="V9" s="1503" t="s">
        <v>8</v>
      </c>
      <c r="W9" s="1504">
        <f t="shared" ref="W9:W17" si="2">J9</f>
        <v>0</v>
      </c>
      <c r="X9" s="1505"/>
      <c r="Y9" s="3505" t="s">
        <v>524</v>
      </c>
      <c r="Z9" s="3506"/>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5" t="s">
        <v>527</v>
      </c>
      <c r="Q10" s="3506"/>
      <c r="R10" s="1503" t="s">
        <v>8</v>
      </c>
      <c r="S10" s="1504">
        <f t="shared" si="0"/>
        <v>0</v>
      </c>
      <c r="T10" s="1503" t="s">
        <v>8</v>
      </c>
      <c r="U10" s="1504">
        <f t="shared" si="1"/>
        <v>0</v>
      </c>
      <c r="V10" s="1503" t="s">
        <v>8</v>
      </c>
      <c r="W10" s="1504">
        <f t="shared" si="2"/>
        <v>0</v>
      </c>
      <c r="X10" s="1505"/>
      <c r="Y10" s="3505" t="s">
        <v>527</v>
      </c>
      <c r="Z10" s="3506"/>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4"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74"/>
      <c r="Q12" s="1134" t="str">
        <f t="shared" si="6"/>
        <v>土地使用年限（年）</v>
      </c>
      <c r="R12" s="1503" t="s">
        <v>8</v>
      </c>
      <c r="S12" s="1504">
        <f t="shared" si="0"/>
        <v>100</v>
      </c>
      <c r="T12" s="1503" t="s">
        <v>8</v>
      </c>
      <c r="U12" s="1504">
        <f t="shared" si="1"/>
        <v>100</v>
      </c>
      <c r="V12" s="1503" t="s">
        <v>8</v>
      </c>
      <c r="W12" s="1504">
        <f t="shared" si="2"/>
        <v>100</v>
      </c>
      <c r="X12" s="1505"/>
      <c r="Y12" s="3420"/>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4"/>
      <c r="Q13" s="1134" t="str">
        <f t="shared" si="6"/>
        <v>容积率</v>
      </c>
      <c r="R13" s="1503" t="s">
        <v>8</v>
      </c>
      <c r="S13" s="1504" t="e">
        <f t="shared" si="0"/>
        <v>#N/A</v>
      </c>
      <c r="T13" s="1503" t="s">
        <v>8</v>
      </c>
      <c r="U13" s="1504" t="e">
        <f t="shared" si="1"/>
        <v>#N/A</v>
      </c>
      <c r="V13" s="1503" t="s">
        <v>8</v>
      </c>
      <c r="W13" s="1504" t="e">
        <f t="shared" si="2"/>
        <v>#N/A</v>
      </c>
      <c r="X13" s="1505"/>
      <c r="Y13" s="3420"/>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4"/>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4"/>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8" t="s">
        <v>534</v>
      </c>
      <c r="Q17" s="1507" t="str">
        <f t="shared" si="6"/>
        <v>产业集聚程度</v>
      </c>
      <c r="R17" s="1508" t="s">
        <v>8</v>
      </c>
      <c r="S17" s="1509">
        <f t="shared" si="0"/>
        <v>100</v>
      </c>
      <c r="T17" s="1508" t="s">
        <v>8</v>
      </c>
      <c r="U17" s="1509">
        <f t="shared" si="1"/>
        <v>100</v>
      </c>
      <c r="V17" s="1508" t="s">
        <v>8</v>
      </c>
      <c r="W17" s="1509">
        <f t="shared" si="2"/>
        <v>100</v>
      </c>
      <c r="X17" s="1502"/>
      <c r="Y17" s="350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9"/>
      <c r="Q18" s="1507"/>
      <c r="R18" s="1508"/>
      <c r="S18" s="1509"/>
      <c r="T18" s="1508"/>
      <c r="U18" s="1509"/>
      <c r="V18" s="1508"/>
      <c r="W18" s="1509"/>
      <c r="X18" s="1502"/>
      <c r="Y18" s="350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9"/>
      <c r="Q19" s="1507" t="str">
        <f>B19</f>
        <v>交通便捷度</v>
      </c>
      <c r="R19" s="1508" t="s">
        <v>8</v>
      </c>
      <c r="S19" s="1509">
        <f>F19</f>
        <v>100</v>
      </c>
      <c r="T19" s="1508" t="s">
        <v>8</v>
      </c>
      <c r="U19" s="1509">
        <f>H19</f>
        <v>100</v>
      </c>
      <c r="V19" s="1508" t="s">
        <v>8</v>
      </c>
      <c r="W19" s="1509">
        <f>J19</f>
        <v>100</v>
      </c>
      <c r="X19" s="1502"/>
      <c r="Y19" s="350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9"/>
      <c r="Q20" s="1507"/>
      <c r="R20" s="1508"/>
      <c r="S20" s="1509"/>
      <c r="T20" s="1508"/>
      <c r="U20" s="1509"/>
      <c r="V20" s="1508"/>
      <c r="W20" s="1509"/>
      <c r="X20" s="1502"/>
      <c r="Y20" s="350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9"/>
      <c r="Q21" s="1507" t="str">
        <f t="shared" ref="Q21:Q35" si="8">B21</f>
        <v>区域土地利用方向</v>
      </c>
      <c r="R21" s="1508" t="s">
        <v>8</v>
      </c>
      <c r="S21" s="1509">
        <f>F21</f>
        <v>100</v>
      </c>
      <c r="T21" s="1508" t="s">
        <v>8</v>
      </c>
      <c r="U21" s="1509">
        <f>H21</f>
        <v>100</v>
      </c>
      <c r="V21" s="1508" t="s">
        <v>8</v>
      </c>
      <c r="W21" s="1509">
        <f>J21</f>
        <v>100</v>
      </c>
      <c r="X21" s="1502"/>
      <c r="Y21" s="350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9"/>
      <c r="Q22" s="1507"/>
      <c r="R22" s="1508"/>
      <c r="S22" s="1509"/>
      <c r="T22" s="1508"/>
      <c r="U22" s="1509"/>
      <c r="V22" s="1508"/>
      <c r="W22" s="1509"/>
      <c r="X22" s="1502"/>
      <c r="Y22" s="350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9"/>
      <c r="Q23" s="1507" t="str">
        <f t="shared" si="8"/>
        <v>环境状况</v>
      </c>
      <c r="R23" s="1508" t="s">
        <v>8</v>
      </c>
      <c r="S23" s="1509">
        <f>F23</f>
        <v>100</v>
      </c>
      <c r="T23" s="1508" t="s">
        <v>8</v>
      </c>
      <c r="U23" s="1509">
        <f>H23</f>
        <v>100</v>
      </c>
      <c r="V23" s="1508" t="s">
        <v>8</v>
      </c>
      <c r="W23" s="1509">
        <f>J23</f>
        <v>100</v>
      </c>
      <c r="X23" s="1502"/>
      <c r="Y23" s="350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9"/>
      <c r="Q24" s="1507"/>
      <c r="R24" s="1508"/>
      <c r="S24" s="1509"/>
      <c r="T24" s="1508"/>
      <c r="U24" s="1509"/>
      <c r="V24" s="1508"/>
      <c r="W24" s="1509"/>
      <c r="X24" s="1502"/>
      <c r="Y24" s="3509"/>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9"/>
      <c r="Q25" s="1134" t="str">
        <f t="shared" si="8"/>
        <v>公共配套设施</v>
      </c>
      <c r="R25" s="1503" t="s">
        <v>8</v>
      </c>
      <c r="S25" s="1504">
        <f>F25</f>
        <v>100</v>
      </c>
      <c r="T25" s="1503" t="s">
        <v>8</v>
      </c>
      <c r="U25" s="1504">
        <f>H25</f>
        <v>100</v>
      </c>
      <c r="V25" s="1503" t="s">
        <v>8</v>
      </c>
      <c r="W25" s="1504">
        <f>J25</f>
        <v>100</v>
      </c>
      <c r="X25" s="1505"/>
      <c r="Y25" s="3509"/>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9"/>
      <c r="Q26" s="1134"/>
      <c r="R26" s="1503"/>
      <c r="S26" s="1504"/>
      <c r="T26" s="1503"/>
      <c r="U26" s="1504"/>
      <c r="V26" s="1503"/>
      <c r="W26" s="1504"/>
      <c r="X26" s="1505"/>
      <c r="Y26" s="3509"/>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9"/>
      <c r="Q27" s="2429" t="str">
        <f t="shared" ref="Q27" si="9">B27</f>
        <v>基础设施水平</v>
      </c>
      <c r="R27" s="1503" t="s">
        <v>8</v>
      </c>
      <c r="S27" s="1504">
        <f>F27</f>
        <v>100</v>
      </c>
      <c r="T27" s="1503" t="s">
        <v>8</v>
      </c>
      <c r="U27" s="1504">
        <f>H27</f>
        <v>100</v>
      </c>
      <c r="V27" s="1503" t="s">
        <v>8</v>
      </c>
      <c r="W27" s="1504">
        <f>J27</f>
        <v>100</v>
      </c>
      <c r="X27" s="1505"/>
      <c r="Y27" s="3509"/>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9"/>
      <c r="Q28" s="2429"/>
      <c r="R28" s="1503"/>
      <c r="S28" s="1504"/>
      <c r="T28" s="1503"/>
      <c r="U28" s="1504"/>
      <c r="V28" s="1503"/>
      <c r="W28" s="1504"/>
      <c r="X28" s="1505"/>
      <c r="Y28" s="3509"/>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9"/>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9"/>
      <c r="Q30" s="1507" t="str">
        <f t="shared" si="8"/>
        <v>毗邻道路的类型与等级</v>
      </c>
      <c r="R30" s="1508" t="s">
        <v>8</v>
      </c>
      <c r="S30" s="1509">
        <f t="shared" si="10"/>
        <v>100</v>
      </c>
      <c r="T30" s="1508" t="s">
        <v>8</v>
      </c>
      <c r="U30" s="1509">
        <f t="shared" si="11"/>
        <v>100</v>
      </c>
      <c r="V30" s="1508" t="s">
        <v>8</v>
      </c>
      <c r="W30" s="1509">
        <f t="shared" si="12"/>
        <v>100</v>
      </c>
      <c r="X30" s="1502"/>
      <c r="Y30" s="350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9"/>
      <c r="Q31" s="1507"/>
      <c r="R31" s="1508"/>
      <c r="S31" s="1509"/>
      <c r="T31" s="1508"/>
      <c r="U31" s="1509"/>
      <c r="V31" s="1508"/>
      <c r="W31" s="1509"/>
      <c r="X31" s="1502"/>
      <c r="Y31" s="3509"/>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9"/>
      <c r="Q32" s="1507" t="str">
        <f t="shared" si="8"/>
        <v>土地级别</v>
      </c>
      <c r="R32" s="1508" t="s">
        <v>8</v>
      </c>
      <c r="S32" s="1509">
        <f t="shared" si="10"/>
        <v>100</v>
      </c>
      <c r="T32" s="1508" t="s">
        <v>8</v>
      </c>
      <c r="U32" s="1509">
        <f t="shared" si="11"/>
        <v>100</v>
      </c>
      <c r="V32" s="1508" t="s">
        <v>8</v>
      </c>
      <c r="W32" s="1509">
        <f t="shared" si="12"/>
        <v>100</v>
      </c>
      <c r="X32" s="1502"/>
      <c r="Y32" s="350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9"/>
      <c r="Q33" s="1507">
        <f t="shared" si="8"/>
        <v>111</v>
      </c>
      <c r="R33" s="1508" t="s">
        <v>8</v>
      </c>
      <c r="S33" s="1509">
        <f t="shared" si="10"/>
        <v>100</v>
      </c>
      <c r="T33" s="1508" t="s">
        <v>8</v>
      </c>
      <c r="U33" s="1509">
        <f t="shared" si="11"/>
        <v>100</v>
      </c>
      <c r="V33" s="1508" t="s">
        <v>8</v>
      </c>
      <c r="W33" s="1509">
        <f t="shared" si="12"/>
        <v>100</v>
      </c>
      <c r="X33" s="1502"/>
      <c r="Y33" s="350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0" t="s">
        <v>544</v>
      </c>
      <c r="Q34" s="1507">
        <f t="shared" si="8"/>
        <v>111</v>
      </c>
      <c r="R34" s="1508" t="s">
        <v>8</v>
      </c>
      <c r="S34" s="1509">
        <f t="shared" si="10"/>
        <v>100</v>
      </c>
      <c r="T34" s="1508" t="s">
        <v>8</v>
      </c>
      <c r="U34" s="1509">
        <f t="shared" si="11"/>
        <v>100</v>
      </c>
      <c r="V34" s="1508" t="s">
        <v>8</v>
      </c>
      <c r="W34" s="1509">
        <f t="shared" si="12"/>
        <v>100</v>
      </c>
      <c r="X34" s="1502"/>
      <c r="Y34" s="3511"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1"/>
      <c r="Q35" s="1507">
        <f t="shared" si="8"/>
        <v>111</v>
      </c>
      <c r="R35" s="1512" t="s">
        <v>8</v>
      </c>
      <c r="S35" s="1513">
        <f t="shared" si="10"/>
        <v>100</v>
      </c>
      <c r="T35" s="1512" t="s">
        <v>8</v>
      </c>
      <c r="U35" s="1513">
        <f t="shared" si="11"/>
        <v>100</v>
      </c>
      <c r="V35" s="1512" t="s">
        <v>8</v>
      </c>
      <c r="W35" s="1513">
        <f t="shared" si="12"/>
        <v>100</v>
      </c>
      <c r="X35" s="1514"/>
      <c r="Y35" s="3511"/>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1"/>
      <c r="Q36" s="1507" t="str">
        <f>B36</f>
        <v>宗地面积</v>
      </c>
      <c r="R36" s="1508" t="s">
        <v>8</v>
      </c>
      <c r="S36" s="1509" t="e">
        <f t="shared" si="10"/>
        <v>#N/A</v>
      </c>
      <c r="T36" s="1508" t="s">
        <v>8</v>
      </c>
      <c r="U36" s="1509" t="e">
        <f t="shared" si="11"/>
        <v>#N/A</v>
      </c>
      <c r="V36" s="1508" t="s">
        <v>8</v>
      </c>
      <c r="W36" s="1509" t="e">
        <f t="shared" si="12"/>
        <v>#N/A</v>
      </c>
      <c r="X36" s="1502"/>
      <c r="Y36" s="351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1"/>
      <c r="Q37" s="1507" t="str">
        <f t="shared" ref="Q37:Q42" si="14">B37</f>
        <v>宗地形状</v>
      </c>
      <c r="R37" s="1508" t="s">
        <v>8</v>
      </c>
      <c r="S37" s="1509">
        <f t="shared" si="10"/>
        <v>100</v>
      </c>
      <c r="T37" s="1508" t="s">
        <v>8</v>
      </c>
      <c r="U37" s="1509">
        <f t="shared" si="11"/>
        <v>100</v>
      </c>
      <c r="V37" s="1508" t="s">
        <v>8</v>
      </c>
      <c r="W37" s="1509">
        <f t="shared" si="12"/>
        <v>100</v>
      </c>
      <c r="X37" s="1502"/>
      <c r="Y37" s="3511"/>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1"/>
      <c r="Q38" s="1507" t="str">
        <f t="shared" si="14"/>
        <v>宗地开发程度</v>
      </c>
      <c r="R38" s="1503" t="s">
        <v>8</v>
      </c>
      <c r="S38" s="1504">
        <f t="shared" si="10"/>
        <v>100</v>
      </c>
      <c r="T38" s="1503" t="s">
        <v>8</v>
      </c>
      <c r="U38" s="1504">
        <f t="shared" si="11"/>
        <v>100</v>
      </c>
      <c r="V38" s="1503" t="s">
        <v>8</v>
      </c>
      <c r="W38" s="1504">
        <f t="shared" si="12"/>
        <v>100</v>
      </c>
      <c r="X38" s="1505"/>
      <c r="Y38" s="351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1" t="s">
        <v>595</v>
      </c>
      <c r="Q39" s="1507" t="str">
        <f t="shared" si="14"/>
        <v>工程地质条件</v>
      </c>
      <c r="R39" s="1508" t="s">
        <v>8</v>
      </c>
      <c r="S39" s="1509">
        <f t="shared" si="10"/>
        <v>100</v>
      </c>
      <c r="T39" s="1508" t="s">
        <v>8</v>
      </c>
      <c r="U39" s="1509">
        <f t="shared" si="11"/>
        <v>100</v>
      </c>
      <c r="V39" s="1508" t="s">
        <v>8</v>
      </c>
      <c r="W39" s="1509">
        <f t="shared" si="12"/>
        <v>100</v>
      </c>
      <c r="X39" s="1502"/>
      <c r="Y39" s="351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1"/>
      <c r="Q40" s="1507">
        <f t="shared" si="14"/>
        <v>111</v>
      </c>
      <c r="R40" s="1508" t="s">
        <v>8</v>
      </c>
      <c r="S40" s="1509">
        <f t="shared" si="10"/>
        <v>100</v>
      </c>
      <c r="T40" s="1508" t="s">
        <v>8</v>
      </c>
      <c r="U40" s="1509">
        <f t="shared" si="11"/>
        <v>100</v>
      </c>
      <c r="V40" s="1508" t="s">
        <v>8</v>
      </c>
      <c r="W40" s="1509">
        <f t="shared" si="12"/>
        <v>100</v>
      </c>
      <c r="X40" s="1502"/>
      <c r="Y40" s="351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1"/>
      <c r="Q41" s="1507">
        <f t="shared" si="14"/>
        <v>111</v>
      </c>
      <c r="R41" s="1508" t="s">
        <v>8</v>
      </c>
      <c r="S41" s="1509">
        <f t="shared" si="10"/>
        <v>100</v>
      </c>
      <c r="T41" s="1508" t="s">
        <v>8</v>
      </c>
      <c r="U41" s="1509">
        <f t="shared" si="11"/>
        <v>100</v>
      </c>
      <c r="V41" s="1508" t="s">
        <v>8</v>
      </c>
      <c r="W41" s="1509">
        <f t="shared" si="12"/>
        <v>100</v>
      </c>
      <c r="X41" s="1502"/>
      <c r="Y41" s="351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1"/>
      <c r="Q42" s="1507">
        <f t="shared" si="14"/>
        <v>111</v>
      </c>
      <c r="R42" s="1512" t="s">
        <v>8</v>
      </c>
      <c r="S42" s="1513">
        <f t="shared" si="10"/>
        <v>100</v>
      </c>
      <c r="T42" s="1512" t="s">
        <v>8</v>
      </c>
      <c r="U42" s="1513">
        <f t="shared" si="11"/>
        <v>100</v>
      </c>
      <c r="V42" s="1512" t="s">
        <v>8</v>
      </c>
      <c r="W42" s="1513">
        <f t="shared" si="12"/>
        <v>100</v>
      </c>
      <c r="X42" s="1514"/>
      <c r="Y42" s="3511"/>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74" t="str">
        <f>A43</f>
        <v>成交单价</v>
      </c>
      <c r="Q43" s="3474"/>
      <c r="R43" s="3475">
        <f>E43</f>
        <v>0</v>
      </c>
      <c r="S43" s="3475"/>
      <c r="T43" s="3475">
        <f>G43</f>
        <v>0</v>
      </c>
      <c r="U43" s="3475"/>
      <c r="V43" s="3475">
        <f>I43</f>
        <v>0</v>
      </c>
      <c r="W43" s="3475"/>
      <c r="X43" s="1497"/>
      <c r="Y43" s="1516"/>
      <c r="Z43" s="1497"/>
      <c r="AA43" s="1497"/>
      <c r="AB43" s="1497"/>
      <c r="AC43" s="1497"/>
    </row>
    <row r="44" spans="1:29" ht="15.75" thickBot="1">
      <c r="A44" s="609" t="s">
        <v>2674</v>
      </c>
      <c r="B44" s="610"/>
      <c r="C44" s="611" t="e">
        <f>R45</f>
        <v>#DIV/0!</v>
      </c>
      <c r="D44" s="3014" t="s">
        <v>2972</v>
      </c>
      <c r="E44" s="611" t="e">
        <f>R44</f>
        <v>#DIV/0!</v>
      </c>
      <c r="F44" s="3015"/>
      <c r="G44" s="612" t="e">
        <f>T44</f>
        <v>#DIV/0!</v>
      </c>
      <c r="H44" s="3015"/>
      <c r="I44" s="611" t="e">
        <f>V44</f>
        <v>#DIV/0!</v>
      </c>
      <c r="J44" s="3015"/>
      <c r="K44" s="3016">
        <f>F44+H44+J44</f>
        <v>0</v>
      </c>
      <c r="L44" s="2027"/>
      <c r="M44" s="2017"/>
      <c r="N44" s="2017"/>
      <c r="O44" s="2028"/>
      <c r="P44" s="3474" t="str">
        <f>A44</f>
        <v>比较价格（元/平方米）</v>
      </c>
      <c r="Q44" s="3474"/>
      <c r="R44" s="3476" t="e">
        <f>ROUND(PRODUCT(R43,AA9:AA42),0)</f>
        <v>#DIV/0!</v>
      </c>
      <c r="S44" s="3476"/>
      <c r="T44" s="3476" t="e">
        <f>ROUND(PRODUCT(T43,AB9:AB42),0)</f>
        <v>#DIV/0!</v>
      </c>
      <c r="U44" s="3476"/>
      <c r="V44" s="3476" t="e">
        <f>ROUND(PRODUCT(V43,AC9:AC42),0)</f>
        <v>#DIV/0!</v>
      </c>
      <c r="W44" s="3476"/>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471" t="str">
        <f>A45</f>
        <v>估价对象XX用房的比较价格（楼面单价，元/平方米）</v>
      </c>
      <c r="Q45" s="3472"/>
      <c r="R45" s="3523" t="e">
        <f>ROUND(IF(D44="简单平均",AVERAGE(R44:W44),R44*F44+T44*H44+V44*J44),0)</f>
        <v>#DIV/0!</v>
      </c>
      <c r="S45" s="3523"/>
      <c r="T45" s="3523"/>
      <c r="U45" s="3523"/>
      <c r="V45" s="3523"/>
      <c r="W45" s="3523"/>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8" t="s">
        <v>2272</v>
      </c>
      <c r="H52" s="3519"/>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142861.59999999998</v>
      </c>
      <c r="F53" s="1865" t="e">
        <f t="shared" ref="F53:F62" si="15">ROUND(B53*E53/10000,0)</f>
        <v>#DIV/0!</v>
      </c>
      <c r="G53" s="3520"/>
      <c r="H53" s="3521"/>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2"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2"/>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2"/>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2"/>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51022</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2020-12-1</v>
      </c>
      <c r="D65" s="2517">
        <f>EDATE(C65,-3)</f>
        <v>44075</v>
      </c>
      <c r="E65" s="2517">
        <f t="shared" ref="E65:N65" si="18">EDATE(D65,-3)</f>
        <v>43983</v>
      </c>
      <c r="F65" s="2517">
        <f t="shared" si="18"/>
        <v>43891</v>
      </c>
      <c r="G65" s="2517">
        <f t="shared" si="18"/>
        <v>43800</v>
      </c>
      <c r="H65" s="2517">
        <f t="shared" si="18"/>
        <v>43709</v>
      </c>
      <c r="I65" s="2517">
        <f t="shared" si="18"/>
        <v>43617</v>
      </c>
      <c r="J65" s="2517">
        <f t="shared" si="18"/>
        <v>43525</v>
      </c>
      <c r="K65" s="2517">
        <f t="shared" si="18"/>
        <v>43435</v>
      </c>
      <c r="L65" s="2517">
        <f t="shared" si="18"/>
        <v>43344</v>
      </c>
      <c r="M65" s="2517">
        <f t="shared" si="18"/>
        <v>43252</v>
      </c>
      <c r="N65" s="2517">
        <f t="shared" si="18"/>
        <v>43160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3" t="s">
        <v>2742</v>
      </c>
      <c r="S1" s="2653" t="s">
        <v>2743</v>
      </c>
      <c r="T1" s="2653" t="s">
        <v>2764</v>
      </c>
      <c r="U1" s="2653" t="s">
        <v>2765</v>
      </c>
      <c r="V1" s="2653"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1"/>
      <c r="X6" s="2071"/>
      <c r="Y6" s="2071"/>
      <c r="Z6" s="2071"/>
      <c r="AA6" s="2071"/>
      <c r="AB6" s="2071"/>
      <c r="AC6" s="2073"/>
      <c r="AD6" s="1368"/>
      <c r="AE6" s="1368"/>
      <c r="AF6" s="1368"/>
      <c r="AG6" s="1368"/>
      <c r="AH6" s="1368"/>
      <c r="AI6" s="1368"/>
      <c r="AJ6" s="1369"/>
    </row>
    <row r="7" spans="1:39" ht="24">
      <c r="A7" s="3538"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2745</v>
      </c>
      <c r="X7" s="2644">
        <f>G2</f>
        <v>0</v>
      </c>
      <c r="Y7" s="2644" t="s">
        <v>2746</v>
      </c>
      <c r="Z7" s="2645">
        <f>G3</f>
        <v>0</v>
      </c>
      <c r="AA7" s="2074"/>
      <c r="AB7" s="2074"/>
      <c r="AC7" s="2075"/>
      <c r="AD7" s="2646"/>
      <c r="AE7" s="2646"/>
      <c r="AF7" s="2646"/>
      <c r="AG7" s="2646"/>
      <c r="AH7" s="2646"/>
      <c r="AI7" s="2646"/>
      <c r="AJ7" s="2647"/>
    </row>
    <row r="8" spans="1:39" ht="15">
      <c r="A8" s="3539"/>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4">
        <v>7</v>
      </c>
      <c r="S8" s="2643"/>
      <c r="T8" s="2654" t="e">
        <f t="shared" si="0"/>
        <v>#DIV/0!</v>
      </c>
      <c r="U8" s="2643"/>
      <c r="V8" s="2654" t="e">
        <f t="shared" si="1"/>
        <v>#DIV/0!</v>
      </c>
      <c r="W8" s="3525" t="s">
        <v>2763</v>
      </c>
      <c r="X8" s="3526"/>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39"/>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4">
        <v>8</v>
      </c>
      <c r="S9" s="2643"/>
      <c r="T9" s="2654" t="e">
        <f t="shared" si="0"/>
        <v>#DIV/0!</v>
      </c>
      <c r="U9" s="2643"/>
      <c r="V9" s="2654" t="e">
        <f t="shared" si="1"/>
        <v>#DIV/0!</v>
      </c>
      <c r="W9" s="3524"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9"/>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4">
        <v>9</v>
      </c>
      <c r="S10" s="2643"/>
      <c r="T10" s="2654" t="e">
        <f t="shared" si="0"/>
        <v>#DIV/0!</v>
      </c>
      <c r="U10" s="2643"/>
      <c r="V10" s="2654" t="e">
        <f t="shared" si="1"/>
        <v>#DIV/0!</v>
      </c>
      <c r="W10" s="3524"/>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9"/>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4">
        <v>10</v>
      </c>
      <c r="S11" s="2643"/>
      <c r="T11" s="2654" t="e">
        <f t="shared" si="0"/>
        <v>#DIV/0!</v>
      </c>
      <c r="U11" s="2643"/>
      <c r="V11" s="2654" t="e">
        <f t="shared" si="1"/>
        <v>#DIV/0!</v>
      </c>
      <c r="W11" s="3524"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38"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4">
        <v>11</v>
      </c>
      <c r="S12" s="2643"/>
      <c r="T12" s="2654" t="e">
        <f t="shared" si="0"/>
        <v>#DIV/0!</v>
      </c>
      <c r="U12" s="2643"/>
      <c r="V12" s="2654" t="e">
        <f t="shared" si="1"/>
        <v>#DIV/0!</v>
      </c>
      <c r="W12" s="3524"/>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0"/>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4">
        <v>12</v>
      </c>
      <c r="S13" s="2643"/>
      <c r="T13" s="2654" t="e">
        <f t="shared" si="0"/>
        <v>#DIV/0!</v>
      </c>
      <c r="U13" s="2643"/>
      <c r="V13" s="2654" t="e">
        <f t="shared" si="1"/>
        <v>#DIV/0!</v>
      </c>
      <c r="W13" s="3524"/>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40"/>
      <c r="B14" s="1400"/>
      <c r="C14" s="1401"/>
      <c r="D14" s="1402"/>
      <c r="E14" s="1402"/>
      <c r="F14" s="1403"/>
      <c r="G14" s="1404" t="s">
        <v>940</v>
      </c>
      <c r="H14" s="1405"/>
      <c r="I14" s="1406"/>
      <c r="J14" s="1407"/>
      <c r="K14" s="3236"/>
      <c r="L14" s="3236"/>
      <c r="M14" s="3236"/>
      <c r="N14" s="3236"/>
      <c r="O14" s="3236"/>
      <c r="P14" s="2071"/>
      <c r="Q14" s="2071"/>
      <c r="R14" s="2654">
        <v>13</v>
      </c>
      <c r="S14" s="2643"/>
      <c r="T14" s="2654" t="e">
        <f t="shared" si="0"/>
        <v>#DIV/0!</v>
      </c>
      <c r="U14" s="2643"/>
      <c r="V14" s="2654" t="e">
        <f t="shared" si="1"/>
        <v>#DIV/0!</v>
      </c>
      <c r="W14" s="2071"/>
      <c r="X14" s="2071"/>
      <c r="Y14" s="2071"/>
      <c r="Z14" s="2071"/>
      <c r="AA14" s="2071"/>
      <c r="AB14" s="2071"/>
      <c r="AC14" s="2072"/>
    </row>
    <row r="15" spans="1:39" ht="13.5" customHeight="1" thickBot="1">
      <c r="A15" s="3541"/>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4">
        <v>14</v>
      </c>
      <c r="S15" s="2643"/>
      <c r="T15" s="2654" t="e">
        <f t="shared" si="0"/>
        <v>#DIV/0!</v>
      </c>
      <c r="U15" s="2643"/>
      <c r="V15" s="2654" t="e">
        <f t="shared" si="1"/>
        <v>#DIV/0!</v>
      </c>
      <c r="W15" s="2071"/>
      <c r="X15" s="2071"/>
      <c r="Y15" s="2071"/>
      <c r="Z15" s="2071"/>
      <c r="AA15" s="2071"/>
      <c r="AB15" s="2071"/>
      <c r="AC15" s="2072"/>
    </row>
    <row r="16" spans="1:39" ht="24.6" customHeight="1">
      <c r="A16" s="3538" t="s">
        <v>1829</v>
      </c>
      <c r="B16" s="1376" t="s">
        <v>941</v>
      </c>
      <c r="C16" s="1039" t="e">
        <f>ROUND(IF(F17="与级别开发程度一致",0,(G17-E17)/C17),0)</f>
        <v>#DIV/0!</v>
      </c>
      <c r="D16" s="3532" t="s">
        <v>945</v>
      </c>
      <c r="E16" s="3533"/>
      <c r="F16" s="3532" t="s">
        <v>942</v>
      </c>
      <c r="G16" s="3533"/>
      <c r="H16" s="1408"/>
      <c r="I16" s="1408"/>
      <c r="J16" s="1408"/>
      <c r="K16" s="1408"/>
      <c r="L16" s="1408"/>
      <c r="M16" s="1408"/>
      <c r="N16" s="1408"/>
      <c r="O16" s="2853"/>
      <c r="P16" s="2071"/>
      <c r="Q16" s="2074"/>
      <c r="R16" s="2654">
        <v>15</v>
      </c>
      <c r="S16" s="2643"/>
      <c r="T16" s="2654" t="e">
        <f t="shared" si="0"/>
        <v>#DIV/0!</v>
      </c>
      <c r="U16" s="2643"/>
      <c r="V16" s="2654" t="e">
        <f t="shared" si="1"/>
        <v>#DIV/0!</v>
      </c>
      <c r="W16" s="2074"/>
      <c r="X16" s="2074"/>
      <c r="Y16" s="2074"/>
      <c r="Z16" s="2074"/>
      <c r="AA16" s="2074"/>
      <c r="AB16" s="2074"/>
      <c r="AC16" s="2075"/>
    </row>
    <row r="17" spans="1:40" ht="13.5" thickBot="1">
      <c r="A17" s="3542"/>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44186</v>
      </c>
      <c r="H19" s="1416" t="s">
        <v>2956</v>
      </c>
      <c r="I19" s="2504" t="str">
        <f>IF(H19="季度增幅（自定义）",SUMIF(N21:N24,E2,O21:O24),"")</f>
        <v/>
      </c>
      <c r="J19" s="1412"/>
      <c r="K19" s="3234"/>
      <c r="L19" s="2753" t="s">
        <v>2821</v>
      </c>
      <c r="M19" s="2754">
        <f>ROUND(SUMIF(地价!B2:F2,E2,地价!B32:F32),0)</f>
        <v>0</v>
      </c>
      <c r="N19" s="2506" t="s">
        <v>1667</v>
      </c>
      <c r="O19" s="2505">
        <f>ROUNDDOWN(DATEDIF(E19,G19,"M")/3,0)</f>
        <v>27</v>
      </c>
      <c r="P19" s="2075"/>
      <c r="Q19" s="2642"/>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2822</v>
      </c>
      <c r="M20" s="2837">
        <f>ROUND(SUMPRODUCT((地价!A4:A32=YEAR(G19)&amp;"-"&amp;ROUNDUP(MONTH(G19)/3,0))*(地价!B2:F2=E2)*(地价!B4:F32)),0)</f>
        <v>0</v>
      </c>
      <c r="N20" s="2509" t="s">
        <v>2626</v>
      </c>
      <c r="O20" s="2507" t="s">
        <v>2625</v>
      </c>
      <c r="P20" s="2508" t="s">
        <v>2631</v>
      </c>
      <c r="Q20" s="2642"/>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4"/>
      <c r="L21" s="1422"/>
      <c r="M21" s="1422"/>
      <c r="N21" s="1419" t="s">
        <v>966</v>
      </c>
      <c r="O21" s="1482"/>
      <c r="P21" s="2496">
        <f>SUMPRODUCT((地价!A3:A32=YEAR(G19)&amp;"-"&amp;ROUNDUP(MONTH(G19)/3,0))*(地价!AD2:AH2=N21)*(地价!AD3:AH32))</f>
        <v>1.14E-2</v>
      </c>
      <c r="Q21" s="2642"/>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SUMPRODUCT((地价!A3:A32=YEAR(G19)&amp;"-"&amp;ROUNDUP(MONTH(G19)/3,0))*(地价!AD2:AH2=N22)*(地价!AD3:AH32))</f>
        <v>1.14E-2</v>
      </c>
      <c r="Q22" s="2642"/>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SUMPRODUCT((地价!A3:A32=YEAR(G19)&amp;"-"&amp;ROUNDUP(MONTH(G19)/3,0))*(地价!AD2:AH2=N23)*(地价!AD3:AH32))</f>
        <v>1.9199999999999998E-2</v>
      </c>
      <c r="Q23" s="2642"/>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SUMPRODUCT((地价!A3:A32=YEAR(G19)&amp;"-"&amp;ROUNDUP(MONTH(G19)/3,0))*(地价!AD2:AH2=N24)*(地价!AD3:AH32))</f>
        <v>1.23E-2</v>
      </c>
      <c r="Q24" s="2642"/>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2629</v>
      </c>
      <c r="O25" s="2839"/>
      <c r="P25" s="2303">
        <f>SUMPRODUCT((地价!A3:A32=YEAR(G19)&amp;"-"&amp;ROUNDUP(MONTH(G19)/3,0))*(地价!AD2:AH2=N25)*(地价!AD3:AH32))</f>
        <v>1.7399999999999999E-2</v>
      </c>
      <c r="Q25" s="2642"/>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2"/>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2"/>
      <c r="S27" s="2642"/>
      <c r="T27" s="2642"/>
      <c r="U27" s="2642"/>
      <c r="V27" s="2642"/>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7"/>
      <c r="R28" s="2642"/>
      <c r="S28" s="2642"/>
      <c r="T28" s="2642"/>
      <c r="U28" s="2642"/>
      <c r="V28" s="2642"/>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2"/>
      <c r="X29" s="2642"/>
      <c r="Y29" s="2642"/>
      <c r="Z29" s="2642"/>
      <c r="AA29" s="2642"/>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4"/>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4" t="s">
        <v>2996</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5"/>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5"/>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5"/>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5"/>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6"/>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6"/>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2950</v>
      </c>
      <c r="C41" s="828" t="e">
        <f>ROUND(POWER(1+E41,H41-G41)*(POWER(1+E41,G41)-1)/(POWER(1+E41,H41)-1),4)</f>
        <v>#DIV/0!</v>
      </c>
      <c r="D41" s="372" t="s">
        <v>2948</v>
      </c>
      <c r="E41" s="2832">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3" t="s">
        <v>1624</v>
      </c>
      <c r="B90" s="3543"/>
      <c r="C90" s="3543"/>
      <c r="D90" s="3543"/>
      <c r="E90" s="3543"/>
      <c r="F90" s="3543"/>
      <c r="G90" s="3543"/>
      <c r="H90" s="3543"/>
      <c r="I90" s="3543"/>
      <c r="J90" s="3543"/>
      <c r="K90" s="2306"/>
      <c r="L90" s="2306"/>
      <c r="M90" s="2306"/>
      <c r="N90" s="2306"/>
    </row>
    <row r="91" spans="1:40">
      <c r="A91" s="3544" t="s">
        <v>1434</v>
      </c>
      <c r="B91" s="3544" t="s">
        <v>1625</v>
      </c>
      <c r="C91" s="1123" t="s">
        <v>1626</v>
      </c>
      <c r="D91" s="1124"/>
      <c r="E91" s="1124"/>
      <c r="F91" s="1124"/>
      <c r="G91" s="1124"/>
      <c r="H91" s="1124"/>
      <c r="I91" s="1124"/>
      <c r="J91" s="1125"/>
      <c r="K91" s="1117"/>
      <c r="L91" s="1117"/>
      <c r="M91" s="1117"/>
      <c r="N91" s="1117"/>
    </row>
    <row r="92" spans="1:40">
      <c r="A92" s="3544"/>
      <c r="B92" s="3544"/>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9"/>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7"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28"/>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28"/>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28"/>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28"/>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28"/>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28"/>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28"/>
      <c r="B108" s="3530"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9"/>
      <c r="B109" s="3531"/>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7" t="s">
        <v>1630</v>
      </c>
      <c r="B110" s="3537"/>
      <c r="C110" s="3537"/>
      <c r="D110" s="3537"/>
      <c r="E110" s="3537"/>
      <c r="F110" s="3537"/>
      <c r="G110" s="3537"/>
      <c r="H110" s="3537"/>
      <c r="I110" s="3537"/>
      <c r="J110" s="3537"/>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2953</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4" t="s">
        <v>998</v>
      </c>
      <c r="B18" s="1137" t="s">
        <v>1437</v>
      </c>
      <c r="C18" s="1114" t="s">
        <v>1438</v>
      </c>
      <c r="D18" s="1115"/>
      <c r="E18" s="1137">
        <v>1</v>
      </c>
      <c r="F18" s="1116" t="s">
        <v>1439</v>
      </c>
      <c r="G18" s="1117"/>
      <c r="H18" s="1088"/>
      <c r="I18" s="1088"/>
    </row>
    <row r="19" spans="1:9" s="1530" customFormat="1" ht="19.5" customHeight="1">
      <c r="A19" s="3544"/>
      <c r="B19" s="3544" t="s">
        <v>1440</v>
      </c>
      <c r="C19" s="1114" t="s">
        <v>1441</v>
      </c>
      <c r="D19" s="1115"/>
      <c r="E19" s="1137">
        <v>0.9</v>
      </c>
      <c r="F19" s="1116" t="s">
        <v>1442</v>
      </c>
      <c r="G19" s="1117"/>
      <c r="H19" s="1088"/>
      <c r="I19" s="1088"/>
    </row>
    <row r="20" spans="1:9" s="1530" customFormat="1" ht="19.5" customHeight="1">
      <c r="A20" s="3544"/>
      <c r="B20" s="3544"/>
      <c r="C20" s="1114" t="s">
        <v>1443</v>
      </c>
      <c r="D20" s="1115"/>
      <c r="E20" s="1137">
        <v>1.1000000000000001</v>
      </c>
      <c r="F20" s="1116" t="s">
        <v>1444</v>
      </c>
      <c r="G20" s="1117"/>
      <c r="H20" s="1088"/>
      <c r="I20" s="1088"/>
    </row>
    <row r="21" spans="1:9" s="1530" customFormat="1" ht="19.5" customHeight="1">
      <c r="A21" s="3544"/>
      <c r="B21" s="3544"/>
      <c r="C21" s="1114" t="s">
        <v>1445</v>
      </c>
      <c r="D21" s="1115"/>
      <c r="E21" s="1137">
        <v>0.8</v>
      </c>
      <c r="F21" s="1116" t="s">
        <v>1446</v>
      </c>
      <c r="G21" s="1117"/>
      <c r="H21" s="1088"/>
      <c r="I21" s="1088"/>
    </row>
    <row r="22" spans="1:9" s="1530" customFormat="1" ht="19.5" customHeight="1">
      <c r="A22" s="3544"/>
      <c r="B22" s="3544"/>
      <c r="C22" s="1114" t="s">
        <v>1447</v>
      </c>
      <c r="D22" s="1115"/>
      <c r="E22" s="1137">
        <v>0.5</v>
      </c>
      <c r="F22" s="1116"/>
      <c r="G22" s="1117"/>
      <c r="H22" s="1088"/>
      <c r="I22" s="1088"/>
    </row>
    <row r="23" spans="1:9" s="1530" customFormat="1" ht="19.5" customHeight="1">
      <c r="A23" s="3544" t="s">
        <v>1020</v>
      </c>
      <c r="B23" s="1137" t="s">
        <v>1437</v>
      </c>
      <c r="C23" s="1114" t="s">
        <v>1448</v>
      </c>
      <c r="D23" s="1115"/>
      <c r="E23" s="1137">
        <v>1</v>
      </c>
      <c r="F23" s="1116" t="s">
        <v>1449</v>
      </c>
      <c r="G23" s="1117"/>
      <c r="H23" s="1088"/>
      <c r="I23" s="1088"/>
    </row>
    <row r="24" spans="1:9" s="1530" customFormat="1" ht="19.5" customHeight="1">
      <c r="A24" s="3544"/>
      <c r="B24" s="3544" t="s">
        <v>1440</v>
      </c>
      <c r="C24" s="1114" t="s">
        <v>1450</v>
      </c>
      <c r="D24" s="1115"/>
      <c r="E24" s="1137">
        <v>0.5</v>
      </c>
      <c r="F24" s="1116"/>
      <c r="G24" s="1117"/>
      <c r="H24" s="1088"/>
      <c r="I24" s="1088"/>
    </row>
    <row r="25" spans="1:9" s="1530" customFormat="1" ht="19.5" customHeight="1">
      <c r="A25" s="3544"/>
      <c r="B25" s="3544"/>
      <c r="C25" s="1114" t="s">
        <v>1451</v>
      </c>
      <c r="D25" s="1115"/>
      <c r="E25" s="1137">
        <v>1.1000000000000001</v>
      </c>
      <c r="F25" s="1116"/>
      <c r="G25" s="1117"/>
      <c r="H25" s="1088"/>
      <c r="I25" s="1088"/>
    </row>
    <row r="26" spans="1:9" s="1530" customFormat="1" ht="19.5" customHeight="1">
      <c r="A26" s="3544"/>
      <c r="B26" s="3544"/>
      <c r="C26" s="1114" t="s">
        <v>1452</v>
      </c>
      <c r="D26" s="1115"/>
      <c r="E26" s="1137">
        <v>1.1000000000000001</v>
      </c>
      <c r="F26" s="1116"/>
      <c r="G26" s="1117"/>
      <c r="H26" s="1088"/>
      <c r="I26" s="1088"/>
    </row>
    <row r="27" spans="1:9" s="1530" customFormat="1" ht="19.5" customHeight="1">
      <c r="A27" s="3544"/>
      <c r="B27" s="3544"/>
      <c r="C27" s="1114" t="s">
        <v>1453</v>
      </c>
      <c r="D27" s="1115"/>
      <c r="E27" s="1137">
        <v>0.9</v>
      </c>
      <c r="F27" s="1116" t="s">
        <v>1454</v>
      </c>
      <c r="G27" s="1117"/>
      <c r="H27" s="1088"/>
      <c r="I27" s="1088"/>
    </row>
    <row r="28" spans="1:9" s="1530" customFormat="1" ht="19.5" customHeight="1">
      <c r="A28" s="3544"/>
      <c r="B28" s="3544"/>
      <c r="C28" s="1114" t="s">
        <v>1455</v>
      </c>
      <c r="D28" s="1115"/>
      <c r="E28" s="1137">
        <v>0.9</v>
      </c>
      <c r="F28" s="1116" t="s">
        <v>1456</v>
      </c>
      <c r="G28" s="1117"/>
      <c r="H28" s="1088"/>
      <c r="I28" s="1088"/>
    </row>
    <row r="29" spans="1:9" s="1530" customFormat="1" ht="19.5" customHeight="1">
      <c r="A29" s="3544"/>
      <c r="B29" s="3544"/>
      <c r="C29" s="1114" t="s">
        <v>1457</v>
      </c>
      <c r="D29" s="1115"/>
      <c r="E29" s="1137">
        <v>0.9</v>
      </c>
      <c r="F29" s="1116" t="s">
        <v>1458</v>
      </c>
      <c r="G29" s="1117"/>
      <c r="H29" s="1088"/>
      <c r="I29" s="1088"/>
    </row>
    <row r="30" spans="1:9" s="1530" customFormat="1" ht="19.5" customHeight="1">
      <c r="A30" s="3544"/>
      <c r="B30" s="3544"/>
      <c r="C30" s="1114" t="s">
        <v>1459</v>
      </c>
      <c r="D30" s="1115"/>
      <c r="E30" s="1137">
        <v>0.9</v>
      </c>
      <c r="F30" s="1116" t="s">
        <v>1460</v>
      </c>
      <c r="G30" s="1117"/>
      <c r="H30" s="1088"/>
      <c r="I30" s="1088"/>
    </row>
    <row r="31" spans="1:9" s="1530" customFormat="1" ht="19.5" customHeight="1">
      <c r="A31" s="3544"/>
      <c r="B31" s="3544"/>
      <c r="C31" s="1114" t="s">
        <v>1461</v>
      </c>
      <c r="D31" s="1115"/>
      <c r="E31" s="1137">
        <v>0.8</v>
      </c>
      <c r="F31" s="1116" t="s">
        <v>1462</v>
      </c>
      <c r="G31" s="1117"/>
      <c r="H31" s="1088"/>
      <c r="I31" s="1088"/>
    </row>
    <row r="32" spans="1:9" s="1530" customFormat="1" ht="19.5" customHeight="1">
      <c r="A32" s="3544"/>
      <c r="B32" s="3544"/>
      <c r="C32" s="1114" t="s">
        <v>1463</v>
      </c>
      <c r="D32" s="1115"/>
      <c r="E32" s="1137">
        <v>0.8</v>
      </c>
      <c r="F32" s="1116" t="s">
        <v>1464</v>
      </c>
      <c r="G32" s="1117"/>
      <c r="H32" s="1088"/>
      <c r="I32" s="1088"/>
    </row>
    <row r="33" spans="1:9" s="1530" customFormat="1" ht="19.5" customHeight="1">
      <c r="A33" s="3544" t="s">
        <v>1465</v>
      </c>
      <c r="B33" s="1137" t="s">
        <v>1437</v>
      </c>
      <c r="C33" s="1114" t="s">
        <v>1466</v>
      </c>
      <c r="D33" s="1115"/>
      <c r="E33" s="1137">
        <v>1</v>
      </c>
      <c r="F33" s="1116" t="s">
        <v>1467</v>
      </c>
      <c r="G33" s="1117"/>
      <c r="H33" s="1088"/>
      <c r="I33" s="1088"/>
    </row>
    <row r="34" spans="1:9" s="1530" customFormat="1" ht="19.5" customHeight="1">
      <c r="A34" s="3544"/>
      <c r="B34" s="1137" t="s">
        <v>1440</v>
      </c>
      <c r="C34" s="1114" t="s">
        <v>1468</v>
      </c>
      <c r="D34" s="1115"/>
      <c r="E34" s="1137">
        <v>1.5</v>
      </c>
      <c r="F34" s="1116" t="s">
        <v>1469</v>
      </c>
      <c r="G34" s="1117"/>
      <c r="H34" s="1088"/>
      <c r="I34" s="1088"/>
    </row>
    <row r="35" spans="1:9" s="1530" customFormat="1" ht="19.5" customHeight="1">
      <c r="A35" s="3544" t="s">
        <v>1423</v>
      </c>
      <c r="B35" s="1137" t="s">
        <v>1437</v>
      </c>
      <c r="C35" s="1114" t="s">
        <v>1470</v>
      </c>
      <c r="D35" s="1115"/>
      <c r="E35" s="1137">
        <v>1</v>
      </c>
      <c r="F35" s="1116" t="s">
        <v>1471</v>
      </c>
      <c r="G35" s="1117"/>
      <c r="H35" s="1088"/>
      <c r="I35" s="1088"/>
    </row>
    <row r="36" spans="1:9" s="1530" customFormat="1" ht="19.5" customHeight="1">
      <c r="A36" s="3544"/>
      <c r="B36" s="3544" t="s">
        <v>1440</v>
      </c>
      <c r="C36" s="1114" t="s">
        <v>1472</v>
      </c>
      <c r="D36" s="1115"/>
      <c r="E36" s="1137">
        <v>1</v>
      </c>
      <c r="F36" s="1116" t="s">
        <v>1473</v>
      </c>
      <c r="G36" s="1117"/>
      <c r="H36" s="1088"/>
      <c r="I36" s="1088"/>
    </row>
    <row r="37" spans="1:9" s="1530" customFormat="1" ht="19.5" customHeight="1">
      <c r="A37" s="3544"/>
      <c r="B37" s="3544"/>
      <c r="C37" s="1114" t="s">
        <v>1474</v>
      </c>
      <c r="D37" s="1115"/>
      <c r="E37" s="1137">
        <v>1.5</v>
      </c>
      <c r="F37" s="1116" t="s">
        <v>1475</v>
      </c>
      <c r="G37" s="1117"/>
      <c r="H37" s="1088"/>
      <c r="I37" s="1088"/>
    </row>
    <row r="38" spans="1:9" s="1530" customFormat="1" ht="19.5" customHeight="1">
      <c r="A38" s="3544"/>
      <c r="B38" s="3544"/>
      <c r="C38" s="1114" t="s">
        <v>1476</v>
      </c>
      <c r="D38" s="1115"/>
      <c r="E38" s="1137">
        <v>1</v>
      </c>
      <c r="F38" s="1116" t="s">
        <v>1477</v>
      </c>
      <c r="G38" s="1117"/>
      <c r="H38" s="1088"/>
      <c r="I38" s="1088"/>
    </row>
    <row r="39" spans="1:9" s="1530" customFormat="1" ht="19.5" customHeight="1">
      <c r="A39" s="3544"/>
      <c r="B39" s="3544"/>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4" t="s">
        <v>1492</v>
      </c>
      <c r="C61" s="1051" t="s">
        <v>1493</v>
      </c>
      <c r="D61" s="1051" t="s">
        <v>1494</v>
      </c>
      <c r="E61" s="1122">
        <v>0.5</v>
      </c>
      <c r="F61" s="1137">
        <v>80</v>
      </c>
      <c r="H61" s="1088">
        <f>SUMIF(C59:C119,基准地价!C8,E59:E119)</f>
        <v>0</v>
      </c>
    </row>
    <row r="62" spans="1:8" s="1088" customFormat="1" ht="24">
      <c r="A62" s="1137">
        <v>2</v>
      </c>
      <c r="B62" s="3544"/>
      <c r="C62" s="1051" t="s">
        <v>1495</v>
      </c>
      <c r="D62" s="1051" t="s">
        <v>1496</v>
      </c>
      <c r="E62" s="1122">
        <v>0.5</v>
      </c>
      <c r="F62" s="1137">
        <v>80</v>
      </c>
    </row>
    <row r="63" spans="1:8" s="1088" customFormat="1" ht="36">
      <c r="A63" s="1137">
        <v>3</v>
      </c>
      <c r="B63" s="3544"/>
      <c r="C63" s="1051" t="s">
        <v>1497</v>
      </c>
      <c r="D63" s="1051" t="s">
        <v>1498</v>
      </c>
      <c r="E63" s="1122">
        <v>0.5</v>
      </c>
      <c r="F63" s="1137">
        <v>80</v>
      </c>
    </row>
    <row r="64" spans="1:8" s="1088" customFormat="1" ht="36">
      <c r="A64" s="1137">
        <v>4</v>
      </c>
      <c r="B64" s="3544"/>
      <c r="C64" s="1051" t="s">
        <v>1499</v>
      </c>
      <c r="D64" s="1051" t="s">
        <v>1500</v>
      </c>
      <c r="E64" s="1122">
        <v>0.4</v>
      </c>
      <c r="F64" s="1137">
        <v>60</v>
      </c>
    </row>
    <row r="65" spans="1:6" s="1088" customFormat="1" ht="36">
      <c r="A65" s="1137">
        <v>5</v>
      </c>
      <c r="B65" s="3544"/>
      <c r="C65" s="1051" t="s">
        <v>1501</v>
      </c>
      <c r="D65" s="1051" t="s">
        <v>1502</v>
      </c>
      <c r="E65" s="1122">
        <v>0.2</v>
      </c>
      <c r="F65" s="1137">
        <v>30</v>
      </c>
    </row>
    <row r="66" spans="1:6" s="1088" customFormat="1" ht="36">
      <c r="A66" s="1137">
        <v>6</v>
      </c>
      <c r="B66" s="3544"/>
      <c r="C66" s="1051" t="s">
        <v>1503</v>
      </c>
      <c r="D66" s="1051" t="s">
        <v>1504</v>
      </c>
      <c r="E66" s="1122">
        <v>0.3</v>
      </c>
      <c r="F66" s="1137">
        <v>50</v>
      </c>
    </row>
    <row r="67" spans="1:6" s="1088" customFormat="1" ht="36">
      <c r="A67" s="1137">
        <v>7</v>
      </c>
      <c r="B67" s="3544"/>
      <c r="C67" s="1051" t="s">
        <v>1505</v>
      </c>
      <c r="D67" s="1051" t="s">
        <v>1506</v>
      </c>
      <c r="E67" s="1122">
        <v>0.2</v>
      </c>
      <c r="F67" s="1137">
        <v>30</v>
      </c>
    </row>
    <row r="68" spans="1:6" s="1088" customFormat="1" ht="36">
      <c r="A68" s="1137">
        <v>8</v>
      </c>
      <c r="B68" s="3544"/>
      <c r="C68" s="1051" t="s">
        <v>1507</v>
      </c>
      <c r="D68" s="1051" t="s">
        <v>1508</v>
      </c>
      <c r="E68" s="1122">
        <v>0.2</v>
      </c>
      <c r="F68" s="1137">
        <v>30</v>
      </c>
    </row>
    <row r="69" spans="1:6" s="1088" customFormat="1" ht="36">
      <c r="A69" s="1137">
        <v>9</v>
      </c>
      <c r="B69" s="3544"/>
      <c r="C69" s="1051" t="s">
        <v>1509</v>
      </c>
      <c r="D69" s="1051" t="s">
        <v>1510</v>
      </c>
      <c r="E69" s="1122">
        <v>0.2</v>
      </c>
      <c r="F69" s="1137">
        <v>30</v>
      </c>
    </row>
    <row r="70" spans="1:6" s="1088" customFormat="1" ht="48">
      <c r="A70" s="1137">
        <v>10</v>
      </c>
      <c r="B70" s="3544"/>
      <c r="C70" s="1051" t="s">
        <v>1511</v>
      </c>
      <c r="D70" s="1051" t="s">
        <v>1512</v>
      </c>
      <c r="E70" s="1122">
        <v>0.2</v>
      </c>
      <c r="F70" s="1137">
        <v>30</v>
      </c>
    </row>
    <row r="71" spans="1:6" s="1088" customFormat="1" ht="48">
      <c r="A71" s="1137">
        <v>11</v>
      </c>
      <c r="B71" s="3544"/>
      <c r="C71" s="1051" t="s">
        <v>1513</v>
      </c>
      <c r="D71" s="1051" t="s">
        <v>1514</v>
      </c>
      <c r="E71" s="1122">
        <v>0.2</v>
      </c>
      <c r="F71" s="1137">
        <v>30</v>
      </c>
    </row>
    <row r="72" spans="1:6" s="1088" customFormat="1" ht="36">
      <c r="A72" s="1137">
        <v>12</v>
      </c>
      <c r="B72" s="3544"/>
      <c r="C72" s="1051" t="s">
        <v>1515</v>
      </c>
      <c r="D72" s="1051" t="s">
        <v>1516</v>
      </c>
      <c r="E72" s="1122">
        <v>0.5</v>
      </c>
      <c r="F72" s="1137">
        <v>80</v>
      </c>
    </row>
    <row r="73" spans="1:6" s="1088" customFormat="1" ht="24">
      <c r="A73" s="1137">
        <v>13</v>
      </c>
      <c r="B73" s="3544"/>
      <c r="C73" s="1051" t="s">
        <v>1517</v>
      </c>
      <c r="D73" s="1051" t="s">
        <v>1518</v>
      </c>
      <c r="E73" s="1122">
        <v>0.4</v>
      </c>
      <c r="F73" s="1137">
        <v>60</v>
      </c>
    </row>
    <row r="74" spans="1:6" s="1088" customFormat="1" ht="24">
      <c r="A74" s="1137">
        <v>14</v>
      </c>
      <c r="B74" s="3544"/>
      <c r="C74" s="1051" t="s">
        <v>1519</v>
      </c>
      <c r="D74" s="1051" t="s">
        <v>1520</v>
      </c>
      <c r="E74" s="1122">
        <v>0.2</v>
      </c>
      <c r="F74" s="1137">
        <v>30</v>
      </c>
    </row>
    <row r="75" spans="1:6" s="1088" customFormat="1" ht="24">
      <c r="A75" s="1137">
        <v>15</v>
      </c>
      <c r="B75" s="3544"/>
      <c r="C75" s="1051" t="s">
        <v>1521</v>
      </c>
      <c r="D75" s="1051" t="s">
        <v>1522</v>
      </c>
      <c r="E75" s="1122">
        <v>0.2</v>
      </c>
      <c r="F75" s="1137">
        <v>30</v>
      </c>
    </row>
    <row r="76" spans="1:6" s="1088" customFormat="1" ht="24">
      <c r="A76" s="1137">
        <v>16</v>
      </c>
      <c r="B76" s="3544" t="s">
        <v>1523</v>
      </c>
      <c r="C76" s="1051" t="s">
        <v>1524</v>
      </c>
      <c r="D76" s="1051" t="s">
        <v>1525</v>
      </c>
      <c r="E76" s="1122">
        <v>0.5</v>
      </c>
      <c r="F76" s="1137">
        <v>80</v>
      </c>
    </row>
    <row r="77" spans="1:6" s="1088" customFormat="1" ht="24">
      <c r="A77" s="1137">
        <v>17</v>
      </c>
      <c r="B77" s="3544"/>
      <c r="C77" s="1051" t="s">
        <v>1526</v>
      </c>
      <c r="D77" s="1051" t="s">
        <v>1527</v>
      </c>
      <c r="E77" s="1122">
        <v>0.5</v>
      </c>
      <c r="F77" s="1137">
        <v>80</v>
      </c>
    </row>
    <row r="78" spans="1:6" s="1088" customFormat="1" ht="24">
      <c r="A78" s="1137">
        <v>18</v>
      </c>
      <c r="B78" s="3544"/>
      <c r="C78" s="1051" t="s">
        <v>1528</v>
      </c>
      <c r="D78" s="1051" t="s">
        <v>1529</v>
      </c>
      <c r="E78" s="1122">
        <v>0.2</v>
      </c>
      <c r="F78" s="1137">
        <v>30</v>
      </c>
    </row>
    <row r="79" spans="1:6" s="1088" customFormat="1" ht="24">
      <c r="A79" s="1137">
        <v>19</v>
      </c>
      <c r="B79" s="3544"/>
      <c r="C79" s="1051" t="s">
        <v>1530</v>
      </c>
      <c r="D79" s="1051" t="s">
        <v>1531</v>
      </c>
      <c r="E79" s="1122">
        <v>0.5</v>
      </c>
      <c r="F79" s="1137">
        <v>80</v>
      </c>
    </row>
    <row r="80" spans="1:6" s="1088" customFormat="1" ht="36">
      <c r="A80" s="1137">
        <v>20</v>
      </c>
      <c r="B80" s="3544"/>
      <c r="C80" s="1051" t="s">
        <v>1532</v>
      </c>
      <c r="D80" s="1051" t="s">
        <v>1533</v>
      </c>
      <c r="E80" s="1122">
        <v>0.2</v>
      </c>
      <c r="F80" s="1137">
        <v>30</v>
      </c>
    </row>
    <row r="81" spans="1:6" s="1088" customFormat="1" ht="36">
      <c r="A81" s="1137">
        <v>21</v>
      </c>
      <c r="B81" s="3544"/>
      <c r="C81" s="1051" t="s">
        <v>1534</v>
      </c>
      <c r="D81" s="1051" t="s">
        <v>1535</v>
      </c>
      <c r="E81" s="1122">
        <v>0.2</v>
      </c>
      <c r="F81" s="1137">
        <v>30</v>
      </c>
    </row>
    <row r="82" spans="1:6" s="1088" customFormat="1" ht="48">
      <c r="A82" s="1137">
        <v>22</v>
      </c>
      <c r="B82" s="3544"/>
      <c r="C82" s="1051" t="s">
        <v>1536</v>
      </c>
      <c r="D82" s="1051" t="s">
        <v>1537</v>
      </c>
      <c r="E82" s="1122">
        <v>0.2</v>
      </c>
      <c r="F82" s="1137">
        <v>30</v>
      </c>
    </row>
    <row r="83" spans="1:6" s="1088" customFormat="1" ht="48">
      <c r="A83" s="1137">
        <v>23</v>
      </c>
      <c r="B83" s="3544"/>
      <c r="C83" s="1051" t="s">
        <v>1538</v>
      </c>
      <c r="D83" s="1051" t="s">
        <v>1539</v>
      </c>
      <c r="E83" s="1122">
        <v>0.2</v>
      </c>
      <c r="F83" s="1137">
        <v>30</v>
      </c>
    </row>
    <row r="84" spans="1:6" s="1088" customFormat="1" ht="36">
      <c r="A84" s="1137">
        <v>24</v>
      </c>
      <c r="B84" s="3544"/>
      <c r="C84" s="1051" t="s">
        <v>1540</v>
      </c>
      <c r="D84" s="1051" t="s">
        <v>1541</v>
      </c>
      <c r="E84" s="1122">
        <v>0.2</v>
      </c>
      <c r="F84" s="1137">
        <v>30</v>
      </c>
    </row>
    <row r="85" spans="1:6" s="1088" customFormat="1" ht="36">
      <c r="A85" s="1137">
        <v>25</v>
      </c>
      <c r="B85" s="3544"/>
      <c r="C85" s="1051" t="s">
        <v>1542</v>
      </c>
      <c r="D85" s="1051" t="s">
        <v>1543</v>
      </c>
      <c r="E85" s="1122">
        <v>0.5</v>
      </c>
      <c r="F85" s="1137">
        <v>80</v>
      </c>
    </row>
    <row r="86" spans="1:6" s="1088" customFormat="1" ht="36">
      <c r="A86" s="1137">
        <v>26</v>
      </c>
      <c r="B86" s="3544"/>
      <c r="C86" s="1051" t="s">
        <v>1544</v>
      </c>
      <c r="D86" s="1051" t="s">
        <v>1545</v>
      </c>
      <c r="E86" s="1122">
        <v>0.2</v>
      </c>
      <c r="F86" s="1137">
        <v>30</v>
      </c>
    </row>
    <row r="87" spans="1:6" s="1088" customFormat="1" ht="36">
      <c r="A87" s="1137">
        <v>27</v>
      </c>
      <c r="B87" s="3544"/>
      <c r="C87" s="1051" t="s">
        <v>1546</v>
      </c>
      <c r="D87" s="1051" t="s">
        <v>1547</v>
      </c>
      <c r="E87" s="1122">
        <v>0.2</v>
      </c>
      <c r="F87" s="1137">
        <v>30</v>
      </c>
    </row>
    <row r="88" spans="1:6" s="1088" customFormat="1" ht="36">
      <c r="A88" s="1137">
        <v>28</v>
      </c>
      <c r="B88" s="3544"/>
      <c r="C88" s="1051" t="s">
        <v>1548</v>
      </c>
      <c r="D88" s="1051" t="s">
        <v>1549</v>
      </c>
      <c r="E88" s="1122">
        <v>0.2</v>
      </c>
      <c r="F88" s="1137">
        <v>30</v>
      </c>
    </row>
    <row r="89" spans="1:6" s="1088" customFormat="1" ht="24">
      <c r="A89" s="1137">
        <v>29</v>
      </c>
      <c r="B89" s="3544"/>
      <c r="C89" s="1051" t="s">
        <v>1550</v>
      </c>
      <c r="D89" s="1051" t="s">
        <v>1551</v>
      </c>
      <c r="E89" s="1122">
        <v>0.2</v>
      </c>
      <c r="F89" s="1137">
        <v>30</v>
      </c>
    </row>
    <row r="90" spans="1:6" s="1088" customFormat="1" ht="24">
      <c r="A90" s="1137">
        <v>30</v>
      </c>
      <c r="B90" s="3544"/>
      <c r="C90" s="1051" t="s">
        <v>1552</v>
      </c>
      <c r="D90" s="1051" t="s">
        <v>1553</v>
      </c>
      <c r="E90" s="1122">
        <v>0.2</v>
      </c>
      <c r="F90" s="1137">
        <v>30</v>
      </c>
    </row>
    <row r="91" spans="1:6" s="1088" customFormat="1" ht="36">
      <c r="A91" s="1137">
        <v>31</v>
      </c>
      <c r="B91" s="3544"/>
      <c r="C91" s="1051" t="s">
        <v>1554</v>
      </c>
      <c r="D91" s="1051" t="s">
        <v>1555</v>
      </c>
      <c r="E91" s="1122">
        <v>0.2</v>
      </c>
      <c r="F91" s="1137">
        <v>30</v>
      </c>
    </row>
    <row r="92" spans="1:6" s="1088" customFormat="1" ht="24">
      <c r="A92" s="1137">
        <v>32</v>
      </c>
      <c r="B92" s="3544" t="s">
        <v>1556</v>
      </c>
      <c r="C92" s="1137" t="s">
        <v>1557</v>
      </c>
      <c r="D92" s="1051" t="s">
        <v>1558</v>
      </c>
      <c r="E92" s="1122">
        <v>0.2</v>
      </c>
      <c r="F92" s="1137">
        <v>30</v>
      </c>
    </row>
    <row r="93" spans="1:6" s="1088" customFormat="1" ht="36">
      <c r="A93" s="1137">
        <v>33</v>
      </c>
      <c r="B93" s="3544"/>
      <c r="C93" s="1137" t="s">
        <v>1559</v>
      </c>
      <c r="D93" s="1051" t="s">
        <v>1560</v>
      </c>
      <c r="E93" s="1122">
        <v>0.2</v>
      </c>
      <c r="F93" s="1137">
        <v>30</v>
      </c>
    </row>
    <row r="94" spans="1:6" s="1088" customFormat="1" ht="48">
      <c r="A94" s="1137">
        <v>34</v>
      </c>
      <c r="B94" s="3544"/>
      <c r="C94" s="1137" t="s">
        <v>1561</v>
      </c>
      <c r="D94" s="1051" t="s">
        <v>1562</v>
      </c>
      <c r="E94" s="1122">
        <v>0.2</v>
      </c>
      <c r="F94" s="1137">
        <v>30</v>
      </c>
    </row>
    <row r="95" spans="1:6" s="1088" customFormat="1" ht="36">
      <c r="A95" s="1137">
        <v>35</v>
      </c>
      <c r="B95" s="3544"/>
      <c r="C95" s="1137" t="s">
        <v>1563</v>
      </c>
      <c r="D95" s="1051" t="s">
        <v>1564</v>
      </c>
      <c r="E95" s="1122">
        <v>0.2</v>
      </c>
      <c r="F95" s="1137">
        <v>30</v>
      </c>
    </row>
    <row r="96" spans="1:6" s="1088" customFormat="1" ht="48">
      <c r="A96" s="1137">
        <v>36</v>
      </c>
      <c r="B96" s="3544"/>
      <c r="C96" s="1051" t="s">
        <v>1565</v>
      </c>
      <c r="D96" s="1051" t="s">
        <v>1566</v>
      </c>
      <c r="E96" s="1122">
        <v>0.2</v>
      </c>
      <c r="F96" s="1137">
        <v>30</v>
      </c>
    </row>
    <row r="97" spans="1:6" s="1088" customFormat="1" ht="36">
      <c r="A97" s="1137">
        <v>37</v>
      </c>
      <c r="B97" s="3544"/>
      <c r="C97" s="1137" t="s">
        <v>1567</v>
      </c>
      <c r="D97" s="1051" t="s">
        <v>1568</v>
      </c>
      <c r="E97" s="1122">
        <v>0.2</v>
      </c>
      <c r="F97" s="1137">
        <v>30</v>
      </c>
    </row>
    <row r="98" spans="1:6" s="1088" customFormat="1" ht="36">
      <c r="A98" s="1137">
        <v>38</v>
      </c>
      <c r="B98" s="3544"/>
      <c r="C98" s="1137" t="s">
        <v>1569</v>
      </c>
      <c r="D98" s="1051" t="s">
        <v>1570</v>
      </c>
      <c r="E98" s="1122">
        <v>0.2</v>
      </c>
      <c r="F98" s="1137">
        <v>30</v>
      </c>
    </row>
    <row r="99" spans="1:6" s="1088" customFormat="1" ht="36">
      <c r="A99" s="1137">
        <v>39</v>
      </c>
      <c r="B99" s="3544" t="s">
        <v>1571</v>
      </c>
      <c r="C99" s="1137" t="s">
        <v>1572</v>
      </c>
      <c r="D99" s="1051" t="s">
        <v>1573</v>
      </c>
      <c r="E99" s="1122">
        <v>0.3</v>
      </c>
      <c r="F99" s="1137">
        <v>50</v>
      </c>
    </row>
    <row r="100" spans="1:6" s="1088" customFormat="1" ht="24">
      <c r="A100" s="1137">
        <v>40</v>
      </c>
      <c r="B100" s="3544"/>
      <c r="C100" s="1137" t="s">
        <v>1574</v>
      </c>
      <c r="D100" s="1051" t="s">
        <v>1575</v>
      </c>
      <c r="E100" s="1122">
        <v>0.2</v>
      </c>
      <c r="F100" s="1137">
        <v>30</v>
      </c>
    </row>
    <row r="101" spans="1:6" s="1088" customFormat="1" ht="36">
      <c r="A101" s="1137">
        <v>41</v>
      </c>
      <c r="B101" s="3544"/>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4" t="s">
        <v>1586</v>
      </c>
      <c r="C105" s="1137" t="s">
        <v>1587</v>
      </c>
      <c r="D105" s="1051" t="s">
        <v>1588</v>
      </c>
      <c r="E105" s="1122">
        <v>0.2</v>
      </c>
      <c r="F105" s="1137">
        <v>30</v>
      </c>
    </row>
    <row r="106" spans="1:6" s="1088" customFormat="1" ht="36">
      <c r="A106" s="1137">
        <v>46</v>
      </c>
      <c r="B106" s="3544"/>
      <c r="C106" s="1137" t="s">
        <v>1589</v>
      </c>
      <c r="D106" s="1051" t="s">
        <v>1590</v>
      </c>
      <c r="E106" s="1122">
        <v>0.2</v>
      </c>
      <c r="F106" s="1137">
        <v>30</v>
      </c>
    </row>
    <row r="107" spans="1:6" s="1088" customFormat="1" ht="36">
      <c r="A107" s="1137">
        <v>47</v>
      </c>
      <c r="B107" s="3544" t="s">
        <v>1591</v>
      </c>
      <c r="C107" s="1137" t="s">
        <v>1592</v>
      </c>
      <c r="D107" s="1051" t="s">
        <v>1593</v>
      </c>
      <c r="E107" s="1122">
        <v>0.3</v>
      </c>
      <c r="F107" s="1137">
        <v>50</v>
      </c>
    </row>
    <row r="108" spans="1:6" s="1088" customFormat="1" ht="36">
      <c r="A108" s="1137">
        <v>48</v>
      </c>
      <c r="B108" s="3544"/>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4" t="s">
        <v>1602</v>
      </c>
      <c r="C111" s="1137" t="s">
        <v>1603</v>
      </c>
      <c r="D111" s="1051" t="s">
        <v>1604</v>
      </c>
      <c r="E111" s="1122">
        <v>0.2</v>
      </c>
      <c r="F111" s="1137">
        <v>30</v>
      </c>
    </row>
    <row r="112" spans="1:6" s="1088" customFormat="1" ht="24">
      <c r="A112" s="1137">
        <v>52</v>
      </c>
      <c r="B112" s="3544"/>
      <c r="C112" s="1137" t="s">
        <v>1605</v>
      </c>
      <c r="D112" s="1051" t="s">
        <v>1606</v>
      </c>
      <c r="E112" s="1122">
        <v>0.2</v>
      </c>
      <c r="F112" s="1137">
        <v>30</v>
      </c>
    </row>
    <row r="113" spans="1:14" s="1088" customFormat="1" ht="24">
      <c r="A113" s="1137">
        <v>53</v>
      </c>
      <c r="B113" s="3544"/>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4" t="s">
        <v>1615</v>
      </c>
      <c r="C116" s="1137" t="s">
        <v>1616</v>
      </c>
      <c r="D116" s="1051" t="s">
        <v>1617</v>
      </c>
      <c r="E116" s="1122">
        <v>0.2</v>
      </c>
      <c r="F116" s="1137">
        <v>30</v>
      </c>
    </row>
    <row r="117" spans="1:14" ht="36">
      <c r="A117" s="1137">
        <v>57</v>
      </c>
      <c r="B117" s="3544"/>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3" t="s">
        <v>1624</v>
      </c>
      <c r="B121" s="3543"/>
      <c r="C121" s="3543"/>
      <c r="D121" s="3543"/>
      <c r="E121" s="3543"/>
      <c r="F121" s="3543"/>
      <c r="G121" s="3543"/>
      <c r="H121" s="3543"/>
      <c r="I121" s="3543"/>
      <c r="J121" s="354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5" t="s">
        <v>1030</v>
      </c>
      <c r="B1" s="3545"/>
      <c r="C1" s="3545"/>
      <c r="D1" s="3545"/>
      <c r="E1" s="3545"/>
      <c r="F1" s="354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6" t="s">
        <v>1043</v>
      </c>
      <c r="B2" s="3546"/>
      <c r="C2" s="3546"/>
      <c r="D2" s="3546"/>
      <c r="E2" s="3546"/>
      <c r="F2" s="354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9" t="s">
        <v>2068</v>
      </c>
      <c r="B1" s="3549"/>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41" sqref="Q4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7" t="s">
        <v>2557</v>
      </c>
      <c r="C1" s="3557"/>
      <c r="D1" s="3557"/>
      <c r="E1" s="3557"/>
      <c r="F1" s="3557"/>
      <c r="G1" s="3556" t="s">
        <v>2558</v>
      </c>
      <c r="H1" s="3556"/>
      <c r="I1" s="3556"/>
      <c r="J1" s="3556"/>
      <c r="K1" s="3556"/>
      <c r="L1" s="3556"/>
      <c r="N1" s="3556" t="s">
        <v>2559</v>
      </c>
      <c r="O1" s="3556"/>
      <c r="P1" s="3556"/>
      <c r="Q1" s="3556"/>
      <c r="S1" s="3556" t="s">
        <v>2560</v>
      </c>
      <c r="T1" s="3556"/>
      <c r="U1" s="3556"/>
      <c r="V1" s="3556"/>
      <c r="X1" s="3555" t="s">
        <v>2620</v>
      </c>
      <c r="Y1" s="3556"/>
      <c r="Z1" s="3556"/>
      <c r="AA1" s="3556"/>
      <c r="AB1" s="3556"/>
      <c r="AD1" s="3555" t="s">
        <v>2624</v>
      </c>
      <c r="AE1" s="3556"/>
      <c r="AF1" s="3556"/>
      <c r="AG1" s="3556"/>
      <c r="AH1" s="355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3003</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3002</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2964</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2962</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2959</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2958</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2955</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2954</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2951</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2944</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2945</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2941</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52"/>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2933</v>
      </c>
      <c r="B17" s="2915">
        <v>439</v>
      </c>
      <c r="C17" s="2915">
        <v>327</v>
      </c>
      <c r="D17" s="2915">
        <f t="shared" si="120"/>
        <v>327</v>
      </c>
      <c r="E17" s="2915">
        <v>627</v>
      </c>
      <c r="F17" s="2916">
        <v>283</v>
      </c>
      <c r="G17" s="3550">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52"/>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50">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54"/>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53">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54"/>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53">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54"/>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58">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59"/>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59"/>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0"/>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53">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54"/>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53">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54">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53">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54">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53">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54">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53">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54">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53">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54">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53">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54">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53">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54">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53">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54">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53">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54">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53">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54">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28" zoomScaleNormal="60" zoomScaleSheetLayoutView="100" workbookViewId="0">
      <selection activeCell="F34" sqref="F34"/>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62" t="s">
        <v>2445</v>
      </c>
      <c r="C8" s="1741">
        <f ca="1">ROUND(F8*F10*F9*(1-F11)/10000,0)</f>
        <v>0</v>
      </c>
      <c r="D8" s="1738" t="s">
        <v>2516</v>
      </c>
      <c r="E8" s="61" t="s">
        <v>631</v>
      </c>
      <c r="F8" s="775">
        <f ca="1">INDIRECT("'数据-取费表'!u"&amp;$G$1)</f>
        <v>0</v>
      </c>
      <c r="G8" s="1527"/>
      <c r="H8" s="2358" t="s">
        <v>1815</v>
      </c>
      <c r="I8" s="3562" t="s">
        <v>2445</v>
      </c>
      <c r="J8" s="773">
        <f ca="1">ROUND(M8*M10*M9*(1-M11)/10000,0)</f>
        <v>0</v>
      </c>
      <c r="K8" s="339" t="s">
        <v>2516</v>
      </c>
      <c r="L8" s="774" t="s">
        <v>1729</v>
      </c>
      <c r="M8" s="775">
        <f ca="1">INDIRECT("'数据-取费表'!z"&amp;$G$1)</f>
        <v>0</v>
      </c>
    </row>
    <row r="9" spans="1:25" ht="18" customHeight="1">
      <c r="A9" s="2354"/>
      <c r="B9" s="3563"/>
      <c r="C9" s="1742"/>
      <c r="D9" s="1739"/>
      <c r="E9" s="61" t="s">
        <v>632</v>
      </c>
      <c r="F9" s="775">
        <f ca="1">IF(INDIRECT("'数据-取费表'!ah"&amp;$G$1)="",INDIRECT("'数据-取费表'!k"&amp;$G$1),INDIRECT("'数据-取费表'!ah"&amp;$G$1))</f>
        <v>0</v>
      </c>
      <c r="G9" s="1527"/>
      <c r="H9" s="2343"/>
      <c r="I9" s="3563"/>
      <c r="J9" s="778"/>
      <c r="K9" s="779"/>
      <c r="L9" s="774" t="s">
        <v>1730</v>
      </c>
      <c r="M9" s="775">
        <f ca="1">F9</f>
        <v>0</v>
      </c>
    </row>
    <row r="10" spans="1:25" ht="18" customHeight="1">
      <c r="A10" s="2347"/>
      <c r="B10" s="3564"/>
      <c r="C10" s="1742"/>
      <c r="D10" s="1739"/>
      <c r="E10" s="61" t="s">
        <v>633</v>
      </c>
      <c r="F10" s="775">
        <f ca="1">INDIRECT("'数据-取费表'!ai"&amp;$G$1)</f>
        <v>0</v>
      </c>
      <c r="G10" s="1527"/>
      <c r="H10" s="2343"/>
      <c r="I10" s="3564"/>
      <c r="J10" s="778"/>
      <c r="K10" s="779"/>
      <c r="L10" s="774" t="s">
        <v>1731</v>
      </c>
      <c r="M10" s="775">
        <f ca="1">INDIRECT("'数据-取费表'!ai"&amp;$G$1)</f>
        <v>0</v>
      </c>
    </row>
    <row r="11" spans="1:25" ht="18" customHeight="1">
      <c r="A11" s="776"/>
      <c r="B11" s="3565"/>
      <c r="C11" s="1742"/>
      <c r="D11" s="1739"/>
      <c r="E11" s="61" t="s">
        <v>634</v>
      </c>
      <c r="F11" s="784">
        <f ca="1">INDIRECT("'数据-取费表'!w"&amp;$G$1)</f>
        <v>0</v>
      </c>
      <c r="G11" s="1527"/>
      <c r="H11" s="2359"/>
      <c r="I11" s="3564"/>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5"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61"/>
      <c r="J36" s="1963"/>
      <c r="K36" s="1964"/>
      <c r="L36" s="1963"/>
      <c r="M36" s="1963"/>
    </row>
    <row r="37" spans="1:18" ht="18" customHeight="1">
      <c r="A37" s="804"/>
      <c r="B37" s="783"/>
      <c r="C37" s="69"/>
      <c r="D37" s="805"/>
      <c r="E37" s="774" t="s">
        <v>668</v>
      </c>
      <c r="F37" s="775">
        <f ca="1">INDIRECT("'数据-取费表'!r"&amp;$G$1)</f>
        <v>0</v>
      </c>
      <c r="G37" s="1946"/>
      <c r="H37" s="1949"/>
      <c r="I37" s="3561"/>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2928</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2943</v>
      </c>
      <c r="J54" s="2858">
        <f ca="1">IF(M48="住宅",MAX(J52,L49-'数据-取费表'!B20),MIN(J52,L49-'数据-取费表'!B20))</f>
        <v>-2</v>
      </c>
      <c r="K54" s="3566"/>
      <c r="L54" s="3567"/>
      <c r="O54" s="2257" t="s">
        <v>2373</v>
      </c>
      <c r="P54" s="2255" t="s">
        <v>2374</v>
      </c>
      <c r="Q54" s="2256">
        <f ca="1">J54</f>
        <v>-2</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2911</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51022平方米。根据《建设工程规划许可证》[]、《出让合同》[]，估价对象规划建筑面积为142861.6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2020年12月21日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根据《国有土地使用证》[]，估价对象（分摊）出让国有建设用地使用权面积为51022平方米。根据《建设工程规划许可证》[]、《出让合同》[]，估价对象规划建筑面积为142861.6平方米。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本次估价对象为出让国有建设用地使用权，《国有土地使用证》[]证载土地终止日期为住宅2090年12月22日。截至估价期日，出让国有建设用地使用权剩余土地使用年限为。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2020年12月21日，在规划利用条件下、设定土地开发程度为红线外“七通”、宗地内场地平整，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60" zoomScaleNormal="60" workbookViewId="0">
      <selection activeCell="Q41" sqref="Q4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562" t="s">
        <v>2445</v>
      </c>
      <c r="C6" s="773">
        <f ca="1">ROUND(F6*F8*F7*(1-F9)/10000,0)</f>
        <v>0</v>
      </c>
      <c r="D6" s="2351" t="s">
        <v>2444</v>
      </c>
      <c r="E6" s="774" t="s">
        <v>1729</v>
      </c>
      <c r="F6" s="775">
        <f ca="1">INDIRECT("'数据-取费表'!u"&amp;$G$1)</f>
        <v>0</v>
      </c>
      <c r="G6" s="1946"/>
      <c r="H6" s="2358" t="s">
        <v>2450</v>
      </c>
      <c r="I6" s="3562" t="s">
        <v>2445</v>
      </c>
      <c r="J6" s="773">
        <f ca="1">ROUND(M6*M8*M7*(1-M9)/10000,0)</f>
        <v>0</v>
      </c>
      <c r="K6" s="339" t="s">
        <v>1728</v>
      </c>
      <c r="L6" s="774" t="s">
        <v>1729</v>
      </c>
      <c r="M6" s="775">
        <f ca="1">INDIRECT("'数据-取费表'!z"&amp;$G$1)</f>
        <v>0</v>
      </c>
    </row>
    <row r="7" spans="1:33" ht="18" customHeight="1">
      <c r="A7" s="2354"/>
      <c r="B7" s="3563"/>
      <c r="C7" s="778"/>
      <c r="D7" s="779"/>
      <c r="E7" s="774" t="s">
        <v>1730</v>
      </c>
      <c r="F7" s="775">
        <f ca="1">IF(INDIRECT("'数据-取费表'!ah"&amp;$G$1)="",INDIRECT("'数据-取费表'!k"&amp;$G$1),INDIRECT("'数据-取费表'!ah"&amp;$G$1))</f>
        <v>0</v>
      </c>
      <c r="G7" s="1946"/>
      <c r="H7" s="2343"/>
      <c r="I7" s="3563"/>
      <c r="J7" s="778"/>
      <c r="K7" s="779"/>
      <c r="L7" s="774" t="s">
        <v>1730</v>
      </c>
      <c r="M7" s="775">
        <f ca="1">F7</f>
        <v>0</v>
      </c>
    </row>
    <row r="8" spans="1:33" ht="18" customHeight="1">
      <c r="A8" s="2347"/>
      <c r="B8" s="3564"/>
      <c r="C8" s="778"/>
      <c r="D8" s="779"/>
      <c r="E8" s="774" t="s">
        <v>1731</v>
      </c>
      <c r="F8" s="775">
        <f ca="1">INDIRECT("'数据-取费表'!ai"&amp;$G$1)</f>
        <v>0</v>
      </c>
      <c r="G8" s="1946"/>
      <c r="H8" s="2343"/>
      <c r="I8" s="3564"/>
      <c r="J8" s="778"/>
      <c r="K8" s="779"/>
      <c r="L8" s="774" t="s">
        <v>1731</v>
      </c>
      <c r="M8" s="775">
        <f ca="1">INDIRECT("'数据-取费表'!ai"&amp;$G$1)</f>
        <v>0</v>
      </c>
    </row>
    <row r="9" spans="1:33" ht="18" customHeight="1">
      <c r="A9" s="776"/>
      <c r="B9" s="3565"/>
      <c r="C9" s="778"/>
      <c r="D9" s="779"/>
      <c r="E9" s="774" t="s">
        <v>1732</v>
      </c>
      <c r="F9" s="784">
        <f ca="1">INDIRECT("'数据-取费表'!w"&amp;$G$1)</f>
        <v>0</v>
      </c>
      <c r="G9" s="1946"/>
      <c r="H9" s="2359"/>
      <c r="I9" s="3564"/>
      <c r="J9" s="778"/>
      <c r="K9" s="779"/>
      <c r="L9" s="785" t="s">
        <v>1732</v>
      </c>
      <c r="M9" s="786">
        <f ca="1">INDIRECT("'数据-取费表'!ab"&amp;$G$1)</f>
        <v>0</v>
      </c>
    </row>
    <row r="10" spans="1:33" ht="18" customHeight="1">
      <c r="A10" s="1746" t="s">
        <v>2448</v>
      </c>
      <c r="B10" s="2348" t="s">
        <v>2441</v>
      </c>
      <c r="C10" s="789">
        <f ca="1">ROUND(IF(F10="押一",C6/12*F11,IF(F10="押二",C6/12*2*F11,IF(F10="押三",C6/12*3*F11,C11*F11))),0)</f>
        <v>0</v>
      </c>
      <c r="D10" s="2355" t="s">
        <v>2939</v>
      </c>
      <c r="E10" s="2352" t="s">
        <v>2446</v>
      </c>
      <c r="F10" s="2466"/>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2806</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2517</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2802</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0</v>
      </c>
      <c r="D31" s="1894" t="s">
        <v>1783</v>
      </c>
      <c r="E31" s="1892" t="s">
        <v>1784</v>
      </c>
      <c r="F31" s="3018" t="str">
        <f>IF(项目基本情况!B11="企业","——",IF('数据-取费表'!B10="住宅",IF(F6*F7*F8/12/(1+'数据-取费表'!F30)&gt;100000,4%,2.5%),IF(F6*F7*F8/12/(1+'数据-取费表'!F30)&gt;100000,12%,7%)))</f>
        <v>——</v>
      </c>
      <c r="G31" s="1946"/>
      <c r="H31" s="3258" t="s">
        <v>2998</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2802</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2"/>
      <c r="E46" s="3262"/>
      <c r="F46" s="3262"/>
      <c r="I46" s="2234" t="s">
        <v>2328</v>
      </c>
      <c r="J46" s="2235"/>
      <c r="K46" s="2236"/>
      <c r="L46" s="2811" t="e">
        <f ca="1">IF(OR(M47="住宅",D1="土地（套用方法）"),0,IF(L48&gt;J51,L60,J60))</f>
        <v>#DIV/0!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f ca="1">ROUND(-PV(INDIRECT("'数据-取费表'!h"&amp;$G$1),J51,(C39-C13*J36),0),0)</f>
        <v>0</v>
      </c>
      <c r="M51" s="3263"/>
      <c r="O51" s="2257" t="s">
        <v>2369</v>
      </c>
      <c r="P51" s="2255" t="s">
        <v>2370</v>
      </c>
      <c r="Q51" s="2258" t="e">
        <f ca="1">J58</f>
        <v>#DIV/0!</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2555</v>
      </c>
      <c r="C53" s="2353"/>
      <c r="D53" s="2355"/>
      <c r="E53" s="2352"/>
      <c r="F53" s="790"/>
      <c r="I53" s="2805" t="s">
        <v>2943</v>
      </c>
      <c r="J53" s="2858">
        <f ca="1">IF(M47="住宅",IF(D1="——",MAX(J51,L48),MAX(J51,L48-'数据-取费表'!B20)),IF(D1="——",MIN(J51,L48),MIN(J51,L48-'数据-取费表'!B20)))</f>
        <v>0</v>
      </c>
      <c r="K53" s="3568" t="s">
        <v>2932</v>
      </c>
      <c r="L53" s="3569"/>
      <c r="M53" s="3263"/>
      <c r="O53" s="2257" t="s">
        <v>2373</v>
      </c>
      <c r="P53" s="2255" t="s">
        <v>2374</v>
      </c>
      <c r="Q53" s="2256">
        <f ca="1">J53</f>
        <v>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f ca="1">C29</f>
        <v>0</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19" t="s">
        <v>2343</v>
      </c>
      <c r="J57" s="2820">
        <f ca="1">IF(OR(M47="住宅",J51&lt;L48,J56="是"),"——",J51-L48)</f>
        <v>0</v>
      </c>
      <c r="K57" s="2799" t="s">
        <v>2348</v>
      </c>
      <c r="L57" s="1823">
        <f ca="1">IF(L48&lt;J51,"——",IF(L55="比较法",L49,IF(L55="基准地价",L50,L51)))</f>
        <v>0</v>
      </c>
      <c r="M57" s="3263"/>
      <c r="O57" s="2254" t="s">
        <v>2364</v>
      </c>
      <c r="P57" s="2255" t="s">
        <v>2394</v>
      </c>
      <c r="Q57" s="2256" t="e">
        <f ca="1">C40+J29</f>
        <v>#DIV/0!</v>
      </c>
      <c r="R57" s="2255" t="s">
        <v>2365</v>
      </c>
    </row>
    <row r="58" spans="1:18" s="1943" customFormat="1" ht="28.5" customHeight="1" thickBot="1">
      <c r="A58" s="1578" t="s">
        <v>1815</v>
      </c>
      <c r="B58" s="774" t="s">
        <v>650</v>
      </c>
      <c r="C58" s="3019">
        <f ca="1">ROUND(IF(AND(项目基本情况!B11="自然人",项目基本情况!B10="北京市"),C48*F58/(1+'数据-取费表'!C42),C59+C60+C61),0)</f>
        <v>0</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2911</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4" t="s">
        <v>2355</v>
      </c>
      <c r="J63" s="2825">
        <v>70</v>
      </c>
      <c r="K63" s="2825">
        <v>50</v>
      </c>
      <c r="L63" s="2825">
        <v>80</v>
      </c>
      <c r="M63" s="2827">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2802</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41" sqref="Q41"/>
    </sheetView>
  </sheetViews>
  <sheetFormatPr defaultRowHeight="13.5"/>
  <cols>
    <col min="1" max="1" width="10.5" customWidth="1"/>
    <col min="2" max="2" width="12.875" customWidth="1"/>
    <col min="3" max="3" width="8.75" customWidth="1"/>
  </cols>
  <sheetData>
    <row r="1" spans="1:9" ht="14.25">
      <c r="A1" s="3570" t="s">
        <v>2453</v>
      </c>
      <c r="B1" s="3571"/>
      <c r="C1" s="3572"/>
      <c r="D1" s="3573">
        <f>SUM(I10,I15,I20,I21,I23)</f>
        <v>0</v>
      </c>
      <c r="E1" s="3573"/>
      <c r="F1" s="3573"/>
      <c r="G1" s="3573"/>
      <c r="H1" s="3573"/>
      <c r="I1" s="3574"/>
    </row>
    <row r="2" spans="1:9">
      <c r="A2" s="3575" t="s">
        <v>2454</v>
      </c>
      <c r="B2" s="3576" t="s">
        <v>2455</v>
      </c>
      <c r="C2" s="3576"/>
      <c r="D2" s="2361" t="s">
        <v>2456</v>
      </c>
      <c r="E2" s="2361" t="s">
        <v>2457</v>
      </c>
      <c r="F2" s="2361" t="s">
        <v>2458</v>
      </c>
      <c r="G2" s="2361" t="s">
        <v>2459</v>
      </c>
      <c r="H2" s="2361" t="s">
        <v>2460</v>
      </c>
      <c r="I2" s="2362" t="s">
        <v>2461</v>
      </c>
    </row>
    <row r="3" spans="1:9">
      <c r="A3" s="3575"/>
      <c r="B3" s="3576" t="s">
        <v>2462</v>
      </c>
      <c r="C3" s="3576"/>
      <c r="D3" s="2363"/>
      <c r="E3" s="2361"/>
      <c r="F3" s="2364"/>
      <c r="G3" s="2364"/>
      <c r="H3" s="2365"/>
      <c r="I3" s="2366">
        <f>ROUND(D3*E3*F3*G3*H3/10000,0)</f>
        <v>0</v>
      </c>
    </row>
    <row r="4" spans="1:9">
      <c r="A4" s="3575"/>
      <c r="B4" s="3576" t="s">
        <v>2463</v>
      </c>
      <c r="C4" s="3576"/>
      <c r="D4" s="2363"/>
      <c r="E4" s="2361"/>
      <c r="F4" s="2364"/>
      <c r="G4" s="2364"/>
      <c r="H4" s="2365"/>
      <c r="I4" s="2366">
        <f t="shared" ref="I4:I9" si="0">ROUND(D4*E4*F4*G4*H4/10000,0)</f>
        <v>0</v>
      </c>
    </row>
    <row r="5" spans="1:9">
      <c r="A5" s="3575"/>
      <c r="B5" s="3576" t="s">
        <v>2464</v>
      </c>
      <c r="C5" s="3576"/>
      <c r="D5" s="2363"/>
      <c r="E5" s="2361"/>
      <c r="F5" s="2364"/>
      <c r="G5" s="2364"/>
      <c r="H5" s="2365"/>
      <c r="I5" s="2366">
        <f t="shared" si="0"/>
        <v>0</v>
      </c>
    </row>
    <row r="6" spans="1:9">
      <c r="A6" s="3575"/>
      <c r="B6" s="3576" t="s">
        <v>2465</v>
      </c>
      <c r="C6" s="3576"/>
      <c r="D6" s="2363"/>
      <c r="E6" s="2361"/>
      <c r="F6" s="2364"/>
      <c r="G6" s="2364"/>
      <c r="H6" s="2365"/>
      <c r="I6" s="2366">
        <f t="shared" si="0"/>
        <v>0</v>
      </c>
    </row>
    <row r="7" spans="1:9">
      <c r="A7" s="3575"/>
      <c r="B7" s="3576" t="s">
        <v>2466</v>
      </c>
      <c r="C7" s="3576"/>
      <c r="D7" s="2363"/>
      <c r="E7" s="2361"/>
      <c r="F7" s="2364"/>
      <c r="G7" s="2364"/>
      <c r="H7" s="2365"/>
      <c r="I7" s="2366">
        <f t="shared" si="0"/>
        <v>0</v>
      </c>
    </row>
    <row r="8" spans="1:9">
      <c r="A8" s="3575"/>
      <c r="B8" s="3576" t="s">
        <v>2467</v>
      </c>
      <c r="C8" s="3576"/>
      <c r="D8" s="2363"/>
      <c r="E8" s="2361"/>
      <c r="F8" s="2364"/>
      <c r="G8" s="2364"/>
      <c r="H8" s="2365"/>
      <c r="I8" s="2366">
        <f t="shared" si="0"/>
        <v>0</v>
      </c>
    </row>
    <row r="9" spans="1:9">
      <c r="A9" s="3575"/>
      <c r="B9" s="3576" t="s">
        <v>2468</v>
      </c>
      <c r="C9" s="3576"/>
      <c r="D9" s="2363"/>
      <c r="E9" s="2361"/>
      <c r="F9" s="2364"/>
      <c r="G9" s="2364"/>
      <c r="H9" s="2365"/>
      <c r="I9" s="2366">
        <f t="shared" si="0"/>
        <v>0</v>
      </c>
    </row>
    <row r="10" spans="1:9">
      <c r="A10" s="3575"/>
      <c r="B10" s="3577" t="s">
        <v>2469</v>
      </c>
      <c r="C10" s="3577"/>
      <c r="D10" s="2367">
        <v>527</v>
      </c>
      <c r="E10" s="2367" t="e">
        <f>ROUND(D1*10000/D10/H9,0)</f>
        <v>#DIV/0!</v>
      </c>
      <c r="F10" s="2368"/>
      <c r="G10" s="2368"/>
      <c r="H10" s="2369"/>
      <c r="I10" s="2370">
        <f>SUM(I3:I9)</f>
        <v>0</v>
      </c>
    </row>
    <row r="11" spans="1:9" ht="14.25">
      <c r="A11" s="3575" t="s">
        <v>2470</v>
      </c>
      <c r="B11" s="3576" t="s">
        <v>2471</v>
      </c>
      <c r="C11" s="3576"/>
      <c r="D11" s="2363" t="s">
        <v>2472</v>
      </c>
      <c r="E11" s="2363" t="s">
        <v>2473</v>
      </c>
      <c r="F11" s="2364" t="s">
        <v>2474</v>
      </c>
      <c r="G11" s="2364" t="s">
        <v>2475</v>
      </c>
      <c r="H11" s="2371" t="s">
        <v>2476</v>
      </c>
      <c r="I11" s="2362" t="s">
        <v>2477</v>
      </c>
    </row>
    <row r="12" spans="1:9">
      <c r="A12" s="3575"/>
      <c r="B12" s="3576" t="s">
        <v>2478</v>
      </c>
      <c r="C12" s="3576"/>
      <c r="D12" s="2363"/>
      <c r="E12" s="2363"/>
      <c r="F12" s="2364"/>
      <c r="G12" s="2365"/>
      <c r="H12" s="2372"/>
      <c r="I12" s="2362">
        <f>ROUND(D12*E12*F12*G12/10000,0)</f>
        <v>0</v>
      </c>
    </row>
    <row r="13" spans="1:9">
      <c r="A13" s="3575"/>
      <c r="B13" s="3576" t="s">
        <v>2479</v>
      </c>
      <c r="C13" s="3576"/>
      <c r="D13" s="2363"/>
      <c r="E13" s="2363"/>
      <c r="F13" s="2364"/>
      <c r="G13" s="2365"/>
      <c r="H13" s="2372"/>
      <c r="I13" s="2362">
        <f>ROUND(D13*E13*F13*G13/10000,0)</f>
        <v>0</v>
      </c>
    </row>
    <row r="14" spans="1:9">
      <c r="A14" s="3575"/>
      <c r="B14" s="3576" t="s">
        <v>2480</v>
      </c>
      <c r="C14" s="3576"/>
      <c r="D14" s="2363"/>
      <c r="E14" s="2363"/>
      <c r="F14" s="2364"/>
      <c r="G14" s="2365"/>
      <c r="H14" s="2372"/>
      <c r="I14" s="2362">
        <f>ROUND(D14*E14*F14*G14/10000,0)</f>
        <v>0</v>
      </c>
    </row>
    <row r="15" spans="1:9">
      <c r="A15" s="3575"/>
      <c r="B15" s="3577" t="s">
        <v>2469</v>
      </c>
      <c r="C15" s="3577"/>
      <c r="D15" s="2367"/>
      <c r="E15" s="2367">
        <f>SUM(E12:E14)</f>
        <v>0</v>
      </c>
      <c r="F15" s="2368"/>
      <c r="G15" s="2365"/>
      <c r="H15" s="2372"/>
      <c r="I15" s="2373">
        <f>SUM(I12:I14)</f>
        <v>0</v>
      </c>
    </row>
    <row r="16" spans="1:9" ht="24">
      <c r="A16" s="3575" t="s">
        <v>2481</v>
      </c>
      <c r="B16" s="3576" t="s">
        <v>2482</v>
      </c>
      <c r="C16" s="3576"/>
      <c r="D16" s="2363" t="s">
        <v>2483</v>
      </c>
      <c r="E16" s="2374" t="s">
        <v>2484</v>
      </c>
      <c r="F16" s="2364" t="s">
        <v>2485</v>
      </c>
      <c r="G16" s="2365" t="s">
        <v>2475</v>
      </c>
      <c r="H16" s="2371" t="s">
        <v>2476</v>
      </c>
      <c r="I16" s="2362" t="s">
        <v>2477</v>
      </c>
    </row>
    <row r="17" spans="1:9" ht="14.25">
      <c r="A17" s="3575"/>
      <c r="B17" s="3576" t="s">
        <v>2486</v>
      </c>
      <c r="C17" s="3576"/>
      <c r="D17" s="2363"/>
      <c r="E17" s="2363"/>
      <c r="F17" s="2364"/>
      <c r="G17" s="2365"/>
      <c r="H17" s="2375"/>
      <c r="I17" s="2376">
        <f>ROUND(D17*E17*F17*G17/10000,0)</f>
        <v>0</v>
      </c>
    </row>
    <row r="18" spans="1:9" ht="14.25">
      <c r="A18" s="3575"/>
      <c r="B18" s="3576" t="s">
        <v>2487</v>
      </c>
      <c r="C18" s="3576"/>
      <c r="D18" s="2363"/>
      <c r="E18" s="2363"/>
      <c r="F18" s="2364"/>
      <c r="G18" s="2365"/>
      <c r="H18" s="2375"/>
      <c r="I18" s="2376">
        <f>ROUND(D18*E18*F18*G18/10000,0)</f>
        <v>0</v>
      </c>
    </row>
    <row r="19" spans="1:9" ht="14.25">
      <c r="A19" s="3575"/>
      <c r="B19" s="3576" t="s">
        <v>2488</v>
      </c>
      <c r="C19" s="3576"/>
      <c r="D19" s="2363"/>
      <c r="E19" s="2363"/>
      <c r="F19" s="2364"/>
      <c r="G19" s="2365"/>
      <c r="H19" s="2375"/>
      <c r="I19" s="2376">
        <f>ROUND(D19*E19*F19*G19/10000,0)</f>
        <v>0</v>
      </c>
    </row>
    <row r="20" spans="1:9">
      <c r="A20" s="3575"/>
      <c r="B20" s="3577" t="s">
        <v>2469</v>
      </c>
      <c r="C20" s="3577"/>
      <c r="D20" s="2367">
        <f>SUM(D17:D19)</f>
        <v>0</v>
      </c>
      <c r="E20" s="2367"/>
      <c r="F20" s="2368"/>
      <c r="G20" s="2365"/>
      <c r="H20" s="2372"/>
      <c r="I20" s="2373">
        <f>SUM(I17:I19)</f>
        <v>0</v>
      </c>
    </row>
    <row r="21" spans="1:9">
      <c r="A21" s="3575" t="s">
        <v>2489</v>
      </c>
      <c r="B21" s="3579"/>
      <c r="C21" s="3579"/>
      <c r="D21" s="3579"/>
      <c r="E21" s="3579"/>
      <c r="F21" s="3579"/>
      <c r="G21" s="3579"/>
      <c r="H21" s="2377">
        <v>0.1</v>
      </c>
      <c r="I21" s="2370">
        <f>ROUND(I10*H21,0)</f>
        <v>0</v>
      </c>
    </row>
    <row r="22" spans="1:9" ht="14.25">
      <c r="A22" s="3580" t="s">
        <v>2490</v>
      </c>
      <c r="B22" s="3581"/>
      <c r="C22" s="3582"/>
      <c r="D22" s="2378" t="s">
        <v>2491</v>
      </c>
      <c r="E22" s="2378" t="s">
        <v>2492</v>
      </c>
      <c r="F22" s="2379" t="s">
        <v>2493</v>
      </c>
      <c r="G22" s="2379" t="s">
        <v>2494</v>
      </c>
      <c r="H22" s="2371" t="s">
        <v>2495</v>
      </c>
      <c r="I22" s="2362" t="s">
        <v>2496</v>
      </c>
    </row>
    <row r="23" spans="1:9" ht="14.25" thickBot="1">
      <c r="A23" s="3583"/>
      <c r="B23" s="3584"/>
      <c r="C23" s="3585"/>
      <c r="D23" s="2380"/>
      <c r="E23" s="2380"/>
      <c r="F23" s="2380"/>
      <c r="G23" s="2381"/>
      <c r="H23" s="2382"/>
      <c r="I23" s="2383">
        <f>ROUND(E23*D23*F23*(1-G23)/10000,0)</f>
        <v>0</v>
      </c>
    </row>
    <row r="26" spans="1:9">
      <c r="A26" s="2384" t="s">
        <v>2497</v>
      </c>
      <c r="B26" s="2384"/>
      <c r="C26" s="2384"/>
      <c r="D26" s="2384"/>
      <c r="E26" s="3586">
        <f>C27-C30-C31-C32</f>
        <v>0</v>
      </c>
      <c r="F26" s="3586"/>
      <c r="G26" s="3586"/>
      <c r="H26" s="2756" t="s">
        <v>2823</v>
      </c>
    </row>
    <row r="27" spans="1:9">
      <c r="A27" s="2385">
        <v>1</v>
      </c>
      <c r="B27" s="2386" t="s">
        <v>2498</v>
      </c>
      <c r="C27" s="2386"/>
      <c r="D27" s="2386"/>
      <c r="E27" s="3587"/>
      <c r="F27" s="3587"/>
      <c r="G27" s="3587"/>
    </row>
    <row r="28" spans="1:9">
      <c r="A28" s="2387" t="s">
        <v>2499</v>
      </c>
      <c r="B28" s="2386" t="s">
        <v>2500</v>
      </c>
      <c r="C28" s="2386"/>
      <c r="D28" s="2386"/>
      <c r="E28" s="3587"/>
      <c r="F28" s="3587"/>
      <c r="G28" s="3587"/>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78"/>
      <c r="F32" s="3578"/>
      <c r="G32" s="3578"/>
    </row>
    <row r="33" spans="1:7" hidden="1">
      <c r="A33" s="3588" t="s">
        <v>2508</v>
      </c>
      <c r="B33" s="3589"/>
      <c r="C33" s="3589"/>
      <c r="D33" s="3590"/>
      <c r="E33" s="3586"/>
      <c r="F33" s="3586"/>
      <c r="G33" s="3586"/>
    </row>
    <row r="34" spans="1:7" hidden="1">
      <c r="A34" s="2389">
        <v>1</v>
      </c>
      <c r="B34" s="2386" t="s">
        <v>2509</v>
      </c>
      <c r="C34" s="2386"/>
      <c r="D34" s="2386"/>
      <c r="E34" s="3587"/>
      <c r="F34" s="3587"/>
      <c r="G34" s="3587"/>
    </row>
    <row r="35" spans="1:7" hidden="1">
      <c r="A35" s="2389">
        <v>2</v>
      </c>
      <c r="B35" s="2386" t="s">
        <v>2510</v>
      </c>
      <c r="C35" s="2386"/>
      <c r="D35" s="2386"/>
      <c r="E35" s="3587"/>
      <c r="F35" s="3587"/>
      <c r="G35" s="3587"/>
    </row>
    <row r="36" spans="1:7" hidden="1">
      <c r="A36" s="2389">
        <v>3</v>
      </c>
      <c r="B36" s="2386" t="s">
        <v>2511</v>
      </c>
      <c r="C36" s="2386"/>
      <c r="D36" s="2386"/>
      <c r="E36" s="3587"/>
      <c r="F36" s="3587"/>
      <c r="G36" s="3587"/>
    </row>
    <row r="37" spans="1:7" hidden="1">
      <c r="A37" s="2389">
        <v>4</v>
      </c>
      <c r="B37" s="2386" t="s">
        <v>2512</v>
      </c>
      <c r="C37" s="2386"/>
      <c r="D37" s="2386"/>
      <c r="E37" s="3587"/>
      <c r="F37" s="3587"/>
      <c r="G37" s="3587"/>
    </row>
    <row r="38" spans="1:7" hidden="1">
      <c r="A38" s="3588" t="s">
        <v>2513</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41" sqref="Q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1071</v>
      </c>
      <c r="D12" s="3271">
        <f>'数据-汇总表'!E5</f>
        <v>142861.59999999998</v>
      </c>
      <c r="E12" s="3271">
        <f>'数据-取费表'!B27</f>
        <v>75</v>
      </c>
      <c r="F12" s="746"/>
      <c r="G12" s="749"/>
    </row>
    <row r="13" spans="1:25" s="2065" customFormat="1" ht="13.5" customHeight="1">
      <c r="A13" s="2330" t="s">
        <v>2430</v>
      </c>
      <c r="B13" s="747" t="s">
        <v>606</v>
      </c>
      <c r="C13" s="748">
        <f>ROUND(D13*E13/10000,0)</f>
        <v>0</v>
      </c>
      <c r="D13" s="3271">
        <f>'数据-汇总表'!E6</f>
        <v>0</v>
      </c>
      <c r="E13" s="3271">
        <f>'数据-取费表'!B28</f>
        <v>75</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0.95399999999999996</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85" zoomScaleNormal="60" zoomScaleSheetLayoutView="85" workbookViewId="0">
      <selection activeCell="C33" sqref="C33"/>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0" t="s">
        <v>516</v>
      </c>
      <c r="D4" s="3481"/>
      <c r="E4" s="3514" t="s">
        <v>517</v>
      </c>
      <c r="F4" s="3515"/>
      <c r="G4" s="3480" t="s">
        <v>518</v>
      </c>
      <c r="H4" s="3481"/>
      <c r="I4" s="3480" t="s">
        <v>519</v>
      </c>
      <c r="J4" s="3481"/>
      <c r="K4" s="842" t="s">
        <v>520</v>
      </c>
      <c r="L4" s="2016"/>
      <c r="M4" s="2017"/>
      <c r="N4" s="2017"/>
      <c r="O4" s="2017"/>
      <c r="P4" s="3482" t="s">
        <v>521</v>
      </c>
      <c r="Q4" s="3483"/>
      <c r="R4" s="3488" t="s">
        <v>517</v>
      </c>
      <c r="S4" s="3489"/>
      <c r="T4" s="3488" t="s">
        <v>518</v>
      </c>
      <c r="U4" s="3489"/>
      <c r="V4" s="3475" t="s">
        <v>519</v>
      </c>
      <c r="W4" s="3475"/>
      <c r="X4" s="1502"/>
      <c r="Y4" s="3488" t="s">
        <v>521</v>
      </c>
      <c r="Z4" s="3489"/>
      <c r="AA4" s="3477" t="s">
        <v>517</v>
      </c>
      <c r="AB4" s="3477" t="s">
        <v>518</v>
      </c>
      <c r="AC4" s="3477" t="s">
        <v>519</v>
      </c>
    </row>
    <row r="5" spans="1:29" ht="15">
      <c r="A5" s="509"/>
      <c r="B5" s="510"/>
      <c r="C5" s="3496" t="s">
        <v>2898</v>
      </c>
      <c r="D5" s="3497"/>
      <c r="E5" s="3516" t="str">
        <f>土地及销售案例!D20</f>
        <v>惠环街道</v>
      </c>
      <c r="F5" s="3517"/>
      <c r="G5" s="3496" t="str">
        <f>土地及销售案例!D22</f>
        <v>小金口街道</v>
      </c>
      <c r="H5" s="3497"/>
      <c r="I5" s="3496" t="str">
        <f>土地及销售案例!D23</f>
        <v>--</v>
      </c>
      <c r="J5" s="3497"/>
      <c r="K5" s="843"/>
      <c r="L5" s="2016"/>
      <c r="M5" s="2017"/>
      <c r="N5" s="2017"/>
      <c r="O5" s="2017"/>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843" t="s">
        <v>522</v>
      </c>
      <c r="L6" s="2016"/>
      <c r="M6" s="2017"/>
      <c r="N6" s="2017"/>
      <c r="O6" s="2017"/>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44186</v>
      </c>
      <c r="D7" s="514">
        <v>100</v>
      </c>
      <c r="E7" s="515" t="str">
        <f>土地及销售案例!J20</f>
        <v>2020-09-24</v>
      </c>
      <c r="F7" s="516">
        <f>SUMIF(58:58,YEAR(E7)&amp;"-"&amp;MONTH(E7),59:59)</f>
        <v>0</v>
      </c>
      <c r="G7" s="517" t="str">
        <f>土地及销售案例!J22</f>
        <v>2020-09-24</v>
      </c>
      <c r="H7" s="514">
        <f>SUMIF(58:58,YEAR(G7)&amp;"-"&amp;MONTH(G7),59:59)</f>
        <v>0</v>
      </c>
      <c r="I7" s="517" t="str">
        <f>土地及销售案例!J23</f>
        <v>2020-09-23</v>
      </c>
      <c r="J7" s="514">
        <f>SUMIF(58:58,YEAR(I7)&amp;"-"&amp;MONTH(I7),59:59)</f>
        <v>0</v>
      </c>
      <c r="K7" s="844"/>
      <c r="L7" s="2018"/>
      <c r="M7" s="2019"/>
      <c r="N7" s="2019"/>
      <c r="O7" s="2019"/>
      <c r="P7" s="3505" t="s">
        <v>524</v>
      </c>
      <c r="Q7" s="3507"/>
      <c r="R7" s="1503" t="s">
        <v>13</v>
      </c>
      <c r="S7" s="1504">
        <f t="shared" ref="S7:S15" si="0">F7</f>
        <v>0</v>
      </c>
      <c r="T7" s="1503" t="s">
        <v>13</v>
      </c>
      <c r="U7" s="1504">
        <f t="shared" ref="U7:U15" si="1">H7</f>
        <v>0</v>
      </c>
      <c r="V7" s="1503" t="s">
        <v>13</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845" t="s">
        <v>3031</v>
      </c>
      <c r="F8" s="516">
        <f>SUMIF(61:61,E8,62:62)-SUMIF(61:61,C8,62:62)+100</f>
        <v>100</v>
      </c>
      <c r="G8" s="519" t="s">
        <v>3031</v>
      </c>
      <c r="H8" s="514">
        <f>SUMIF(61:61,G8,62:62)-SUMIF(61:61,C8,62:62)+100</f>
        <v>100</v>
      </c>
      <c r="I8" s="845" t="s">
        <v>3031</v>
      </c>
      <c r="J8" s="514">
        <f>SUMIF(61:61,I8,62:62)-SUMIF(61:61,C8,62:62)+100</f>
        <v>100</v>
      </c>
      <c r="K8" s="844"/>
      <c r="L8" s="2018"/>
      <c r="M8" s="2019"/>
      <c r="N8" s="2019"/>
      <c r="O8" s="2019"/>
      <c r="P8" s="3505" t="s">
        <v>527</v>
      </c>
      <c r="Q8" s="3506"/>
      <c r="R8" s="1503" t="s">
        <v>13</v>
      </c>
      <c r="S8" s="1504">
        <f t="shared" si="0"/>
        <v>100</v>
      </c>
      <c r="T8" s="1503" t="s">
        <v>13</v>
      </c>
      <c r="U8" s="1504">
        <f t="shared" si="1"/>
        <v>100</v>
      </c>
      <c r="V8" s="1503" t="s">
        <v>13</v>
      </c>
      <c r="W8" s="1504">
        <f t="shared" si="2"/>
        <v>100</v>
      </c>
      <c r="X8" s="1505"/>
      <c r="Y8" s="3505" t="s">
        <v>527</v>
      </c>
      <c r="Z8" s="3506"/>
      <c r="AA8" s="1506">
        <f t="shared" ref="AA8:AA46" si="3">D8/F8</f>
        <v>1</v>
      </c>
      <c r="AB8" s="1506">
        <f t="shared" ref="AB8:AB46" si="4">D8/H8</f>
        <v>1</v>
      </c>
      <c r="AC8" s="1506">
        <f t="shared" ref="AC8:AC46" si="5">D8/J8</f>
        <v>1</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4"/>
      <c r="Q11" s="1134" t="str">
        <f t="shared" si="6"/>
        <v>容积率</v>
      </c>
      <c r="R11" s="1503" t="s">
        <v>11</v>
      </c>
      <c r="S11" s="1504" t="e">
        <f t="shared" si="0"/>
        <v>#N/A</v>
      </c>
      <c r="T11" s="1503" t="s">
        <v>11</v>
      </c>
      <c r="U11" s="1504" t="e">
        <f t="shared" si="1"/>
        <v>#N/A</v>
      </c>
      <c r="V11" s="1503" t="s">
        <v>11</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4"/>
      <c r="Q12" s="1134">
        <f t="shared" si="6"/>
        <v>111</v>
      </c>
      <c r="R12" s="1503" t="s">
        <v>11</v>
      </c>
      <c r="S12" s="1504">
        <f t="shared" si="0"/>
        <v>100</v>
      </c>
      <c r="T12" s="1503" t="s">
        <v>11</v>
      </c>
      <c r="U12" s="1504">
        <f t="shared" si="1"/>
        <v>100</v>
      </c>
      <c r="V12" s="1503" t="s">
        <v>11</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4"/>
      <c r="Q13" s="1134">
        <f t="shared" si="6"/>
        <v>111</v>
      </c>
      <c r="R13" s="1503" t="s">
        <v>11</v>
      </c>
      <c r="S13" s="1504">
        <f t="shared" si="0"/>
        <v>100</v>
      </c>
      <c r="T13" s="1503" t="s">
        <v>11</v>
      </c>
      <c r="U13" s="1504">
        <f t="shared" si="1"/>
        <v>100</v>
      </c>
      <c r="V13" s="1503" t="s">
        <v>11</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4"/>
      <c r="Q14" s="1134">
        <f t="shared" si="6"/>
        <v>111</v>
      </c>
      <c r="R14" s="1503" t="s">
        <v>11</v>
      </c>
      <c r="S14" s="1504">
        <f t="shared" si="0"/>
        <v>100</v>
      </c>
      <c r="T14" s="1503" t="s">
        <v>11</v>
      </c>
      <c r="U14" s="1504">
        <f t="shared" si="1"/>
        <v>100</v>
      </c>
      <c r="V14" s="1503" t="s">
        <v>11</v>
      </c>
      <c r="W14" s="1504">
        <f t="shared" si="2"/>
        <v>100</v>
      </c>
      <c r="X14" s="1505"/>
      <c r="Y14" s="342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08" t="s">
        <v>534</v>
      </c>
      <c r="Q15" s="1507" t="str">
        <f t="shared" si="6"/>
        <v>居住社区成熟度</v>
      </c>
      <c r="R15" s="1508" t="s">
        <v>11</v>
      </c>
      <c r="S15" s="1509">
        <f t="shared" si="0"/>
        <v>100</v>
      </c>
      <c r="T15" s="1508" t="s">
        <v>11</v>
      </c>
      <c r="U15" s="1509">
        <f t="shared" si="1"/>
        <v>100</v>
      </c>
      <c r="V15" s="1508" t="s">
        <v>11</v>
      </c>
      <c r="W15" s="1509">
        <f t="shared" si="2"/>
        <v>100</v>
      </c>
      <c r="X15" s="1502"/>
      <c r="Y15" s="350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9"/>
      <c r="Q17" s="1507" t="str">
        <f>B17</f>
        <v>交通便捷度</v>
      </c>
      <c r="R17" s="1508" t="s">
        <v>11</v>
      </c>
      <c r="S17" s="1509">
        <f>F17</f>
        <v>100</v>
      </c>
      <c r="T17" s="1508" t="s">
        <v>11</v>
      </c>
      <c r="U17" s="1509">
        <f>H17</f>
        <v>100</v>
      </c>
      <c r="V17" s="1508" t="s">
        <v>11</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09"/>
      <c r="Q18" s="1507"/>
      <c r="R18" s="1508"/>
      <c r="S18" s="1509"/>
      <c r="T18" s="1508"/>
      <c r="U18" s="1509"/>
      <c r="V18" s="1508"/>
      <c r="W18" s="1509"/>
      <c r="X18" s="1502"/>
      <c r="Y18" s="3509"/>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9"/>
      <c r="Q19" s="1507" t="str">
        <f>B19</f>
        <v>公共配套设施</v>
      </c>
      <c r="R19" s="1508" t="s">
        <v>11</v>
      </c>
      <c r="S19" s="1509">
        <f>F19</f>
        <v>100</v>
      </c>
      <c r="T19" s="1508" t="s">
        <v>11</v>
      </c>
      <c r="U19" s="1509">
        <f>H19</f>
        <v>100</v>
      </c>
      <c r="V19" s="1508" t="s">
        <v>11</v>
      </c>
      <c r="W19" s="1509">
        <f>J19</f>
        <v>100</v>
      </c>
      <c r="X19" s="1502"/>
      <c r="Y19" s="350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09"/>
      <c r="Q20" s="1507"/>
      <c r="R20" s="1508"/>
      <c r="S20" s="1509"/>
      <c r="T20" s="1508"/>
      <c r="U20" s="1509"/>
      <c r="V20" s="1508"/>
      <c r="W20" s="1509"/>
      <c r="X20" s="1502"/>
      <c r="Y20" s="3509"/>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9"/>
      <c r="Q21" s="2430" t="str">
        <f>B21</f>
        <v>基础设施水平</v>
      </c>
      <c r="R21" s="1508" t="s">
        <v>11</v>
      </c>
      <c r="S21" s="1509">
        <f>F21</f>
        <v>100</v>
      </c>
      <c r="T21" s="1508" t="s">
        <v>11</v>
      </c>
      <c r="U21" s="1509">
        <f>H21</f>
        <v>100</v>
      </c>
      <c r="V21" s="1508" t="s">
        <v>11</v>
      </c>
      <c r="W21" s="1509">
        <f>J21</f>
        <v>100</v>
      </c>
      <c r="X21" s="2432"/>
      <c r="Y21" s="350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09"/>
      <c r="Q22" s="2430"/>
      <c r="R22" s="1508"/>
      <c r="S22" s="1509"/>
      <c r="T22" s="1508"/>
      <c r="U22" s="1509"/>
      <c r="V22" s="1508"/>
      <c r="W22" s="1509"/>
      <c r="X22" s="2432"/>
      <c r="Y22" s="3509"/>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9"/>
      <c r="Q23" s="1507" t="str">
        <f>B23</f>
        <v>自然及人文环境</v>
      </c>
      <c r="R23" s="1508" t="s">
        <v>11</v>
      </c>
      <c r="S23" s="1509">
        <f>F23</f>
        <v>100</v>
      </c>
      <c r="T23" s="1508" t="s">
        <v>11</v>
      </c>
      <c r="U23" s="1509">
        <f>H23</f>
        <v>100</v>
      </c>
      <c r="V23" s="1508" t="s">
        <v>11</v>
      </c>
      <c r="W23" s="1509">
        <f>J23</f>
        <v>100</v>
      </c>
      <c r="X23" s="1502"/>
      <c r="Y23" s="350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09"/>
      <c r="Q24" s="1507"/>
      <c r="R24" s="1508"/>
      <c r="S24" s="1509"/>
      <c r="T24" s="1508"/>
      <c r="U24" s="1509"/>
      <c r="V24" s="1508"/>
      <c r="W24" s="1509"/>
      <c r="X24" s="1502"/>
      <c r="Y24" s="3509"/>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9"/>
      <c r="Q25" s="1507" t="str">
        <f t="shared" ref="Q25:Q46" si="11">B25</f>
        <v>楼层-1</v>
      </c>
      <c r="R25" s="1508" t="s">
        <v>11</v>
      </c>
      <c r="S25" s="1509">
        <f>F25</f>
        <v>100</v>
      </c>
      <c r="T25" s="1508" t="s">
        <v>11</v>
      </c>
      <c r="U25" s="1509">
        <f>H25</f>
        <v>100</v>
      </c>
      <c r="V25" s="1508" t="s">
        <v>11</v>
      </c>
      <c r="W25" s="1509">
        <f>J25</f>
        <v>100</v>
      </c>
      <c r="X25" s="1502"/>
      <c r="Y25" s="350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9"/>
      <c r="Q26" s="1507" t="str">
        <f t="shared" si="11"/>
        <v>朝向</v>
      </c>
      <c r="R26" s="1508" t="s">
        <v>11</v>
      </c>
      <c r="S26" s="1509">
        <f>F26</f>
        <v>100</v>
      </c>
      <c r="T26" s="1508" t="s">
        <v>11</v>
      </c>
      <c r="U26" s="1509">
        <f>H26</f>
        <v>100</v>
      </c>
      <c r="V26" s="1508" t="s">
        <v>11</v>
      </c>
      <c r="W26" s="1509">
        <f>J26</f>
        <v>100</v>
      </c>
      <c r="X26" s="1502"/>
      <c r="Y26" s="350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9"/>
      <c r="Q27" s="1134" t="str">
        <f t="shared" si="11"/>
        <v>道路级别</v>
      </c>
      <c r="R27" s="1503" t="s">
        <v>11</v>
      </c>
      <c r="S27" s="1504">
        <f>F27</f>
        <v>100</v>
      </c>
      <c r="T27" s="1503" t="s">
        <v>11</v>
      </c>
      <c r="U27" s="1504">
        <f>H27</f>
        <v>100</v>
      </c>
      <c r="V27" s="1503" t="s">
        <v>11</v>
      </c>
      <c r="W27" s="1504">
        <f>J27</f>
        <v>100</v>
      </c>
      <c r="X27" s="1505"/>
      <c r="Y27" s="350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9"/>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9"/>
      <c r="Q29" s="1507">
        <f t="shared" si="11"/>
        <v>111</v>
      </c>
      <c r="R29" s="1508" t="s">
        <v>11</v>
      </c>
      <c r="S29" s="1509">
        <f t="shared" si="12"/>
        <v>100</v>
      </c>
      <c r="T29" s="1508" t="s">
        <v>11</v>
      </c>
      <c r="U29" s="1509">
        <f t="shared" si="13"/>
        <v>100</v>
      </c>
      <c r="V29" s="1508" t="s">
        <v>11</v>
      </c>
      <c r="W29" s="1509">
        <f t="shared" si="14"/>
        <v>100</v>
      </c>
      <c r="X29" s="1502"/>
      <c r="Y29" s="350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9"/>
      <c r="Q30" s="1507">
        <f t="shared" si="11"/>
        <v>111</v>
      </c>
      <c r="R30" s="1508" t="s">
        <v>11</v>
      </c>
      <c r="S30" s="1509">
        <f t="shared" si="12"/>
        <v>100</v>
      </c>
      <c r="T30" s="1508" t="s">
        <v>11</v>
      </c>
      <c r="U30" s="1509">
        <f t="shared" si="13"/>
        <v>100</v>
      </c>
      <c r="V30" s="1508" t="s">
        <v>11</v>
      </c>
      <c r="W30" s="1509">
        <f t="shared" si="14"/>
        <v>100</v>
      </c>
      <c r="X30" s="1502"/>
      <c r="Y30" s="350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9"/>
      <c r="Q31" s="1507">
        <f t="shared" si="11"/>
        <v>111</v>
      </c>
      <c r="R31" s="1508" t="s">
        <v>11</v>
      </c>
      <c r="S31" s="1509">
        <f t="shared" si="12"/>
        <v>100</v>
      </c>
      <c r="T31" s="1508" t="s">
        <v>11</v>
      </c>
      <c r="U31" s="1509">
        <f t="shared" si="13"/>
        <v>100</v>
      </c>
      <c r="V31" s="1508" t="s">
        <v>11</v>
      </c>
      <c r="W31" s="1509">
        <f t="shared" si="14"/>
        <v>100</v>
      </c>
      <c r="X31" s="1502"/>
      <c r="Y31" s="3509"/>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0" t="s">
        <v>544</v>
      </c>
      <c r="Q32" s="1507" t="str">
        <f t="shared" si="11"/>
        <v>建筑类型</v>
      </c>
      <c r="R32" s="1508" t="s">
        <v>11</v>
      </c>
      <c r="S32" s="1509">
        <f t="shared" si="12"/>
        <v>100</v>
      </c>
      <c r="T32" s="1508" t="s">
        <v>11</v>
      </c>
      <c r="U32" s="1509">
        <f t="shared" si="13"/>
        <v>100</v>
      </c>
      <c r="V32" s="1508" t="s">
        <v>11</v>
      </c>
      <c r="W32" s="1509">
        <f t="shared" si="14"/>
        <v>100</v>
      </c>
      <c r="X32" s="1502"/>
      <c r="Y32" s="351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1"/>
      <c r="Q33" s="1536" t="str">
        <f t="shared" si="11"/>
        <v>项目建筑规模</v>
      </c>
      <c r="R33" s="1512" t="s">
        <v>11</v>
      </c>
      <c r="S33" s="1513" t="e">
        <f t="shared" si="12"/>
        <v>#N/A</v>
      </c>
      <c r="T33" s="1512" t="s">
        <v>11</v>
      </c>
      <c r="U33" s="1513" t="e">
        <f t="shared" si="13"/>
        <v>#N/A</v>
      </c>
      <c r="V33" s="1512" t="s">
        <v>11</v>
      </c>
      <c r="W33" s="1513" t="e">
        <f t="shared" si="14"/>
        <v>#N/A</v>
      </c>
      <c r="X33" s="1514"/>
      <c r="Y33" s="351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1"/>
      <c r="Q34" s="1507" t="str">
        <f t="shared" si="11"/>
        <v>建筑结构</v>
      </c>
      <c r="R34" s="1508" t="s">
        <v>11</v>
      </c>
      <c r="S34" s="1509">
        <f t="shared" si="12"/>
        <v>100</v>
      </c>
      <c r="T34" s="1508" t="s">
        <v>11</v>
      </c>
      <c r="U34" s="1509">
        <f t="shared" si="13"/>
        <v>100</v>
      </c>
      <c r="V34" s="1508" t="s">
        <v>11</v>
      </c>
      <c r="W34" s="1509">
        <f t="shared" si="14"/>
        <v>100</v>
      </c>
      <c r="X34" s="1502"/>
      <c r="Y34" s="351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1"/>
      <c r="Q35" s="1507" t="str">
        <f t="shared" si="11"/>
        <v>建筑品质</v>
      </c>
      <c r="R35" s="1508" t="s">
        <v>11</v>
      </c>
      <c r="S35" s="1509">
        <f t="shared" si="12"/>
        <v>100</v>
      </c>
      <c r="T35" s="1508" t="s">
        <v>11</v>
      </c>
      <c r="U35" s="1509">
        <f t="shared" si="13"/>
        <v>100</v>
      </c>
      <c r="V35" s="1508" t="s">
        <v>11</v>
      </c>
      <c r="W35" s="1509">
        <f t="shared" si="14"/>
        <v>100</v>
      </c>
      <c r="X35" s="1502"/>
      <c r="Y35" s="351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1"/>
      <c r="Q36" s="1507" t="str">
        <f t="shared" si="11"/>
        <v>公共部分装修</v>
      </c>
      <c r="R36" s="1508" t="s">
        <v>11</v>
      </c>
      <c r="S36" s="1509">
        <f t="shared" si="12"/>
        <v>100</v>
      </c>
      <c r="T36" s="1508" t="s">
        <v>11</v>
      </c>
      <c r="U36" s="1509">
        <f t="shared" si="13"/>
        <v>100</v>
      </c>
      <c r="V36" s="1508" t="s">
        <v>11</v>
      </c>
      <c r="W36" s="1509">
        <f t="shared" si="14"/>
        <v>100</v>
      </c>
      <c r="X36" s="1502"/>
      <c r="Y36" s="351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1"/>
      <c r="Q37" s="1134" t="str">
        <f t="shared" si="11"/>
        <v>成新度</v>
      </c>
      <c r="R37" s="1503" t="s">
        <v>11</v>
      </c>
      <c r="S37" s="1504" t="e">
        <f t="shared" si="12"/>
        <v>#N/A</v>
      </c>
      <c r="T37" s="1503" t="s">
        <v>11</v>
      </c>
      <c r="U37" s="1504" t="e">
        <f t="shared" si="13"/>
        <v>#N/A</v>
      </c>
      <c r="V37" s="1503" t="s">
        <v>11</v>
      </c>
      <c r="W37" s="1504" t="e">
        <f t="shared" si="14"/>
        <v>#N/A</v>
      </c>
      <c r="X37" s="1505"/>
      <c r="Y37" s="351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1" t="s">
        <v>544</v>
      </c>
      <c r="Q38" s="1507" t="str">
        <f t="shared" si="11"/>
        <v>物业管理</v>
      </c>
      <c r="R38" s="1508" t="s">
        <v>11</v>
      </c>
      <c r="S38" s="1509">
        <f t="shared" si="12"/>
        <v>100</v>
      </c>
      <c r="T38" s="1508" t="s">
        <v>11</v>
      </c>
      <c r="U38" s="1509">
        <f t="shared" si="13"/>
        <v>100</v>
      </c>
      <c r="V38" s="1508" t="s">
        <v>11</v>
      </c>
      <c r="W38" s="1509">
        <f t="shared" si="14"/>
        <v>100</v>
      </c>
      <c r="X38" s="1502"/>
      <c r="Y38" s="3511"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1"/>
      <c r="Q39" s="1507" t="str">
        <f t="shared" si="11"/>
        <v>市政基础设施</v>
      </c>
      <c r="R39" s="1508" t="s">
        <v>11</v>
      </c>
      <c r="S39" s="1509">
        <f t="shared" si="12"/>
        <v>100</v>
      </c>
      <c r="T39" s="1508" t="s">
        <v>11</v>
      </c>
      <c r="U39" s="1509">
        <f t="shared" si="13"/>
        <v>100</v>
      </c>
      <c r="V39" s="1508" t="s">
        <v>11</v>
      </c>
      <c r="W39" s="1509">
        <f t="shared" si="14"/>
        <v>100</v>
      </c>
      <c r="X39" s="1502"/>
      <c r="Y39" s="351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1"/>
      <c r="Q40" s="1507" t="str">
        <f t="shared" si="11"/>
        <v>房型</v>
      </c>
      <c r="R40" s="1508" t="s">
        <v>11</v>
      </c>
      <c r="S40" s="1509">
        <f t="shared" si="12"/>
        <v>100</v>
      </c>
      <c r="T40" s="1508" t="s">
        <v>11</v>
      </c>
      <c r="U40" s="1509">
        <f t="shared" si="13"/>
        <v>100</v>
      </c>
      <c r="V40" s="1508" t="s">
        <v>11</v>
      </c>
      <c r="W40" s="1509">
        <f t="shared" si="14"/>
        <v>100</v>
      </c>
      <c r="X40" s="1502"/>
      <c r="Y40" s="351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1"/>
      <c r="Q41" s="1536" t="str">
        <f t="shared" si="11"/>
        <v>单套/主力户型建筑面积</v>
      </c>
      <c r="R41" s="1512" t="s">
        <v>11</v>
      </c>
      <c r="S41" s="1513">
        <f t="shared" si="12"/>
        <v>100</v>
      </c>
      <c r="T41" s="1512" t="s">
        <v>11</v>
      </c>
      <c r="U41" s="1513">
        <f t="shared" si="13"/>
        <v>100</v>
      </c>
      <c r="V41" s="1512" t="s">
        <v>11</v>
      </c>
      <c r="W41" s="1513">
        <f t="shared" si="14"/>
        <v>100</v>
      </c>
      <c r="X41" s="1514"/>
      <c r="Y41" s="351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1"/>
      <c r="Q42" s="1507" t="str">
        <f t="shared" si="11"/>
        <v>内部装修</v>
      </c>
      <c r="R42" s="1508" t="s">
        <v>11</v>
      </c>
      <c r="S42" s="1509">
        <f t="shared" si="12"/>
        <v>100</v>
      </c>
      <c r="T42" s="1508" t="s">
        <v>11</v>
      </c>
      <c r="U42" s="1509">
        <f t="shared" si="13"/>
        <v>100</v>
      </c>
      <c r="V42" s="1508" t="s">
        <v>11</v>
      </c>
      <c r="W42" s="1509">
        <f t="shared" si="14"/>
        <v>100</v>
      </c>
      <c r="X42" s="1502"/>
      <c r="Y42" s="351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1"/>
      <c r="Q43" s="1507" t="str">
        <f t="shared" si="11"/>
        <v>内部装修维护情况</v>
      </c>
      <c r="R43" s="1508" t="s">
        <v>11</v>
      </c>
      <c r="S43" s="1509">
        <f t="shared" si="12"/>
        <v>100</v>
      </c>
      <c r="T43" s="1508" t="s">
        <v>11</v>
      </c>
      <c r="U43" s="1509">
        <f t="shared" si="13"/>
        <v>100</v>
      </c>
      <c r="V43" s="1508" t="s">
        <v>11</v>
      </c>
      <c r="W43" s="1509">
        <f t="shared" si="14"/>
        <v>100</v>
      </c>
      <c r="X43" s="1502"/>
      <c r="Y43" s="351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1"/>
      <c r="Q44" s="1134">
        <f t="shared" si="11"/>
        <v>111</v>
      </c>
      <c r="R44" s="1503" t="s">
        <v>11</v>
      </c>
      <c r="S44" s="1504">
        <f t="shared" si="12"/>
        <v>100</v>
      </c>
      <c r="T44" s="1503" t="s">
        <v>11</v>
      </c>
      <c r="U44" s="1504">
        <f t="shared" si="13"/>
        <v>100</v>
      </c>
      <c r="V44" s="1503" t="s">
        <v>11</v>
      </c>
      <c r="W44" s="1504">
        <f t="shared" si="14"/>
        <v>100</v>
      </c>
      <c r="X44" s="1505"/>
      <c r="Y44" s="351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1"/>
      <c r="Q45" s="1507">
        <f t="shared" si="11"/>
        <v>111</v>
      </c>
      <c r="R45" s="1508" t="s">
        <v>11</v>
      </c>
      <c r="S45" s="1509">
        <f t="shared" si="12"/>
        <v>100</v>
      </c>
      <c r="T45" s="1508" t="s">
        <v>11</v>
      </c>
      <c r="U45" s="1509">
        <f t="shared" si="13"/>
        <v>100</v>
      </c>
      <c r="V45" s="1508" t="s">
        <v>11</v>
      </c>
      <c r="W45" s="1509">
        <f t="shared" si="14"/>
        <v>100</v>
      </c>
      <c r="X45" s="1502"/>
      <c r="Y45" s="351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3"/>
      <c r="Q46" s="1507">
        <f t="shared" si="11"/>
        <v>111</v>
      </c>
      <c r="R46" s="1508" t="s">
        <v>10</v>
      </c>
      <c r="S46" s="1509">
        <f t="shared" si="12"/>
        <v>100</v>
      </c>
      <c r="T46" s="1508" t="s">
        <v>10</v>
      </c>
      <c r="U46" s="1509">
        <f t="shared" si="13"/>
        <v>100</v>
      </c>
      <c r="V46" s="1508" t="s">
        <v>10</v>
      </c>
      <c r="W46" s="1509">
        <f t="shared" si="14"/>
        <v>100</v>
      </c>
      <c r="X46" s="1502"/>
      <c r="Y46" s="3593"/>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4" t="str">
        <f>A47</f>
        <v>成交单价（元/平方米）</v>
      </c>
      <c r="Q47" s="3474"/>
      <c r="R47" s="3592">
        <f>E47</f>
        <v>0</v>
      </c>
      <c r="S47" s="3592"/>
      <c r="T47" s="3592">
        <f>G47</f>
        <v>0</v>
      </c>
      <c r="U47" s="3592"/>
      <c r="V47" s="3592">
        <f>I47</f>
        <v>0</v>
      </c>
      <c r="W47" s="3592"/>
      <c r="X47" s="1497"/>
      <c r="Y47" s="1516"/>
      <c r="Z47" s="1497"/>
      <c r="AA47" s="1497"/>
      <c r="AB47" s="1497"/>
      <c r="AC47" s="1497"/>
    </row>
    <row r="48" spans="1:29" ht="15.75" thickBot="1">
      <c r="A48" s="609" t="s">
        <v>2741</v>
      </c>
      <c r="B48" s="877"/>
      <c r="C48" s="2477" t="e">
        <f>R49</f>
        <v>#DIV/0!</v>
      </c>
      <c r="D48" s="3014" t="s">
        <v>2972</v>
      </c>
      <c r="E48" s="2478" t="e">
        <f>R48</f>
        <v>#DIV/0!</v>
      </c>
      <c r="F48" s="3015"/>
      <c r="G48" s="2477" t="e">
        <f>T48</f>
        <v>#DIV/0!</v>
      </c>
      <c r="H48" s="3015"/>
      <c r="I48" s="2478" t="e">
        <f>V48</f>
        <v>#DIV/0!</v>
      </c>
      <c r="J48" s="3015"/>
      <c r="K48" s="3023">
        <f>F48+H48+J48</f>
        <v>0</v>
      </c>
      <c r="L48" s="2027"/>
      <c r="M48" s="2028"/>
      <c r="N48" s="2028"/>
      <c r="O48" s="2028"/>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0" t="s">
        <v>516</v>
      </c>
      <c r="D4" s="3481"/>
      <c r="E4" s="3514" t="s">
        <v>517</v>
      </c>
      <c r="F4" s="3515"/>
      <c r="G4" s="3480" t="s">
        <v>518</v>
      </c>
      <c r="H4" s="3481"/>
      <c r="I4" s="3480" t="s">
        <v>519</v>
      </c>
      <c r="J4" s="3481"/>
      <c r="K4" s="508" t="s">
        <v>520</v>
      </c>
      <c r="L4" s="2016"/>
      <c r="M4" s="2017"/>
      <c r="N4" s="2017"/>
      <c r="O4" s="2017"/>
      <c r="P4" s="3482" t="s">
        <v>521</v>
      </c>
      <c r="Q4" s="3483"/>
      <c r="R4" s="3488" t="s">
        <v>517</v>
      </c>
      <c r="S4" s="3489"/>
      <c r="T4" s="3488" t="s">
        <v>518</v>
      </c>
      <c r="U4" s="3489"/>
      <c r="V4" s="3475" t="s">
        <v>519</v>
      </c>
      <c r="W4" s="3475"/>
      <c r="X4" s="1502"/>
      <c r="Y4" s="3488" t="s">
        <v>521</v>
      </c>
      <c r="Z4" s="3489"/>
      <c r="AA4" s="3477" t="s">
        <v>517</v>
      </c>
      <c r="AB4" s="3475" t="s">
        <v>518</v>
      </c>
      <c r="AC4" s="3477" t="s">
        <v>519</v>
      </c>
    </row>
    <row r="5" spans="1:29" ht="15">
      <c r="A5" s="509"/>
      <c r="B5" s="510"/>
      <c r="C5" s="3496" t="s">
        <v>2898</v>
      </c>
      <c r="D5" s="3497"/>
      <c r="E5" s="3516" t="s">
        <v>2899</v>
      </c>
      <c r="F5" s="3517"/>
      <c r="G5" s="3496" t="s">
        <v>2900</v>
      </c>
      <c r="H5" s="3497"/>
      <c r="I5" s="3496" t="s">
        <v>2901</v>
      </c>
      <c r="J5" s="3497"/>
      <c r="K5" s="508"/>
      <c r="L5" s="2016"/>
      <c r="M5" s="2017"/>
      <c r="N5" s="2017"/>
      <c r="O5" s="2017"/>
      <c r="P5" s="3484"/>
      <c r="Q5" s="3485"/>
      <c r="R5" s="3490"/>
      <c r="S5" s="3491"/>
      <c r="T5" s="3490"/>
      <c r="U5" s="3491"/>
      <c r="V5" s="3475"/>
      <c r="W5" s="3475"/>
      <c r="X5" s="1502"/>
      <c r="Y5" s="3490"/>
      <c r="Z5" s="3491"/>
      <c r="AA5" s="3478"/>
      <c r="AB5" s="3475"/>
      <c r="AC5" s="3478"/>
    </row>
    <row r="6" spans="1:29" ht="15.75" thickBot="1">
      <c r="A6" s="511"/>
      <c r="B6" s="512"/>
      <c r="C6" s="3494" t="s">
        <v>2902</v>
      </c>
      <c r="D6" s="3495"/>
      <c r="E6" s="3512" t="s">
        <v>2902</v>
      </c>
      <c r="F6" s="3513"/>
      <c r="G6" s="3494" t="s">
        <v>2902</v>
      </c>
      <c r="H6" s="3495"/>
      <c r="I6" s="3494" t="s">
        <v>2902</v>
      </c>
      <c r="J6" s="3495"/>
      <c r="K6" s="508" t="s">
        <v>522</v>
      </c>
      <c r="L6" s="2016"/>
      <c r="M6" s="2017"/>
      <c r="N6" s="2017"/>
      <c r="O6" s="2017"/>
      <c r="P6" s="3486"/>
      <c r="Q6" s="3487"/>
      <c r="R6" s="3490"/>
      <c r="S6" s="3491"/>
      <c r="T6" s="3492"/>
      <c r="U6" s="3493"/>
      <c r="V6" s="3475"/>
      <c r="W6" s="3475"/>
      <c r="X6" s="1502"/>
      <c r="Y6" s="3492"/>
      <c r="Z6" s="3493"/>
      <c r="AA6" s="3479"/>
      <c r="AB6" s="3475"/>
      <c r="AC6" s="3479"/>
    </row>
    <row r="7" spans="1:29" s="1203" customFormat="1" ht="15.75" thickBot="1">
      <c r="A7" s="2629"/>
      <c r="B7" s="2636" t="s">
        <v>523</v>
      </c>
      <c r="C7" s="513">
        <f>'数据-取费表'!B2</f>
        <v>44186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5"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5" t="s">
        <v>527</v>
      </c>
      <c r="Q8" s="3506"/>
      <c r="R8" s="1503" t="s">
        <v>8</v>
      </c>
      <c r="S8" s="1504">
        <f t="shared" si="0"/>
        <v>0</v>
      </c>
      <c r="T8" s="1503" t="s">
        <v>8</v>
      </c>
      <c r="U8" s="1504">
        <f t="shared" si="1"/>
        <v>0</v>
      </c>
      <c r="V8" s="1503" t="s">
        <v>8</v>
      </c>
      <c r="W8" s="1504">
        <f t="shared" si="2"/>
        <v>0</v>
      </c>
      <c r="X8" s="1505"/>
      <c r="Y8" s="3505" t="s">
        <v>527</v>
      </c>
      <c r="Z8" s="350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8" t="s">
        <v>534</v>
      </c>
      <c r="Q15" s="1507" t="str">
        <f t="shared" si="6"/>
        <v>商业繁华度</v>
      </c>
      <c r="R15" s="1508" t="s">
        <v>8</v>
      </c>
      <c r="S15" s="1509">
        <f t="shared" si="0"/>
        <v>100</v>
      </c>
      <c r="T15" s="1508" t="s">
        <v>8</v>
      </c>
      <c r="U15" s="1509">
        <f t="shared" si="1"/>
        <v>100</v>
      </c>
      <c r="V15" s="1508" t="s">
        <v>8</v>
      </c>
      <c r="W15" s="1509">
        <f t="shared" si="2"/>
        <v>100</v>
      </c>
      <c r="X15" s="1502"/>
      <c r="Y15" s="350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9"/>
      <c r="Q18" s="1507"/>
      <c r="R18" s="1508"/>
      <c r="S18" s="1509"/>
      <c r="T18" s="1508"/>
      <c r="U18" s="1509"/>
      <c r="V18" s="1508"/>
      <c r="W18" s="1509"/>
      <c r="X18" s="1502"/>
      <c r="Y18" s="3509"/>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9"/>
      <c r="Q20" s="1507"/>
      <c r="R20" s="1508"/>
      <c r="S20" s="1509"/>
      <c r="T20" s="1508"/>
      <c r="U20" s="1509"/>
      <c r="V20" s="1508"/>
      <c r="W20" s="1509"/>
      <c r="X20" s="1502"/>
      <c r="Y20" s="3509"/>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9"/>
      <c r="Q21" s="2430" t="str">
        <f>B21</f>
        <v>基础设施水平</v>
      </c>
      <c r="R21" s="1508" t="s">
        <v>8</v>
      </c>
      <c r="S21" s="1509">
        <f>F21</f>
        <v>100</v>
      </c>
      <c r="T21" s="1508" t="s">
        <v>8</v>
      </c>
      <c r="U21" s="1509">
        <f>H21</f>
        <v>100</v>
      </c>
      <c r="V21" s="1508" t="s">
        <v>8</v>
      </c>
      <c r="W21" s="1509">
        <f>J21</f>
        <v>100</v>
      </c>
      <c r="X21" s="2432"/>
      <c r="Y21" s="350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9"/>
      <c r="Q22" s="2430"/>
      <c r="R22" s="1508"/>
      <c r="S22" s="1509"/>
      <c r="T22" s="1508"/>
      <c r="U22" s="1509"/>
      <c r="V22" s="1508"/>
      <c r="W22" s="1509"/>
      <c r="X22" s="2432"/>
      <c r="Y22" s="3509"/>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9"/>
      <c r="Q23" s="1507" t="str">
        <f>B23</f>
        <v>自然及人文环境</v>
      </c>
      <c r="R23" s="1508" t="s">
        <v>8</v>
      </c>
      <c r="S23" s="1509">
        <f>F23</f>
        <v>100</v>
      </c>
      <c r="T23" s="1508" t="s">
        <v>8</v>
      </c>
      <c r="U23" s="1509">
        <f>H23</f>
        <v>100</v>
      </c>
      <c r="V23" s="1508" t="s">
        <v>8</v>
      </c>
      <c r="W23" s="1509">
        <f>J23</f>
        <v>100</v>
      </c>
      <c r="X23" s="1502"/>
      <c r="Y23" s="350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9"/>
      <c r="Q24" s="1507"/>
      <c r="R24" s="1508"/>
      <c r="S24" s="1509"/>
      <c r="T24" s="1508"/>
      <c r="U24" s="1509"/>
      <c r="V24" s="1508"/>
      <c r="W24" s="1509"/>
      <c r="X24" s="1502"/>
      <c r="Y24" s="350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9"/>
      <c r="Q25" s="1507" t="str">
        <f t="shared" ref="Q25:Q46" si="11">B25</f>
        <v>临街状况</v>
      </c>
      <c r="R25" s="1508" t="s">
        <v>8</v>
      </c>
      <c r="S25" s="1509">
        <f>F25</f>
        <v>100</v>
      </c>
      <c r="T25" s="1508" t="s">
        <v>8</v>
      </c>
      <c r="U25" s="1509">
        <f>H25</f>
        <v>100</v>
      </c>
      <c r="V25" s="1508" t="s">
        <v>8</v>
      </c>
      <c r="W25" s="1509">
        <f>J25</f>
        <v>100</v>
      </c>
      <c r="X25" s="1502"/>
      <c r="Y25" s="350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9"/>
      <c r="Q26" s="1507" t="str">
        <f t="shared" si="11"/>
        <v>平面位置/可视性</v>
      </c>
      <c r="R26" s="1508" t="s">
        <v>8</v>
      </c>
      <c r="S26" s="1509">
        <f>F26</f>
        <v>100</v>
      </c>
      <c r="T26" s="1508" t="s">
        <v>8</v>
      </c>
      <c r="U26" s="1509">
        <f>H26</f>
        <v>100</v>
      </c>
      <c r="V26" s="1508" t="s">
        <v>8</v>
      </c>
      <c r="W26" s="1509">
        <f>J26</f>
        <v>100</v>
      </c>
      <c r="X26" s="1502"/>
      <c r="Y26" s="350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9"/>
      <c r="Q27" s="1134" t="str">
        <f t="shared" si="11"/>
        <v>人流量</v>
      </c>
      <c r="R27" s="1503" t="s">
        <v>8</v>
      </c>
      <c r="S27" s="1504">
        <f>F27</f>
        <v>100</v>
      </c>
      <c r="T27" s="1503" t="s">
        <v>8</v>
      </c>
      <c r="U27" s="1504">
        <f>H27</f>
        <v>100</v>
      </c>
      <c r="V27" s="1503" t="s">
        <v>8</v>
      </c>
      <c r="W27" s="1504">
        <f>J27</f>
        <v>100</v>
      </c>
      <c r="X27" s="1505"/>
      <c r="Y27" s="350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9"/>
      <c r="Q29" s="1507">
        <f t="shared" si="11"/>
        <v>111</v>
      </c>
      <c r="R29" s="1508" t="s">
        <v>8</v>
      </c>
      <c r="S29" s="1509">
        <f t="shared" si="12"/>
        <v>100</v>
      </c>
      <c r="T29" s="1508" t="s">
        <v>8</v>
      </c>
      <c r="U29" s="1509">
        <f t="shared" si="13"/>
        <v>100</v>
      </c>
      <c r="V29" s="1508" t="s">
        <v>8</v>
      </c>
      <c r="W29" s="1509">
        <f t="shared" si="14"/>
        <v>100</v>
      </c>
      <c r="X29" s="1502"/>
      <c r="Y29" s="350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9"/>
      <c r="Q30" s="1507">
        <f t="shared" si="11"/>
        <v>111</v>
      </c>
      <c r="R30" s="1508" t="s">
        <v>8</v>
      </c>
      <c r="S30" s="1509">
        <f t="shared" si="12"/>
        <v>100</v>
      </c>
      <c r="T30" s="1508" t="s">
        <v>8</v>
      </c>
      <c r="U30" s="1509">
        <f t="shared" si="13"/>
        <v>100</v>
      </c>
      <c r="V30" s="1508" t="s">
        <v>8</v>
      </c>
      <c r="W30" s="1509">
        <f t="shared" si="14"/>
        <v>100</v>
      </c>
      <c r="X30" s="1502"/>
      <c r="Y30" s="350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9"/>
      <c r="Q31" s="1507">
        <f t="shared" si="11"/>
        <v>111</v>
      </c>
      <c r="R31" s="1508" t="s">
        <v>8</v>
      </c>
      <c r="S31" s="1509">
        <f t="shared" si="12"/>
        <v>100</v>
      </c>
      <c r="T31" s="1508" t="s">
        <v>8</v>
      </c>
      <c r="U31" s="1509">
        <f t="shared" si="13"/>
        <v>100</v>
      </c>
      <c r="V31" s="1508" t="s">
        <v>8</v>
      </c>
      <c r="W31" s="1509">
        <f t="shared" si="14"/>
        <v>100</v>
      </c>
      <c r="X31" s="1502"/>
      <c r="Y31" s="3509"/>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0" t="s">
        <v>544</v>
      </c>
      <c r="Q32" s="1507" t="str">
        <f t="shared" si="11"/>
        <v>商业类型</v>
      </c>
      <c r="R32" s="1508" t="s">
        <v>8</v>
      </c>
      <c r="S32" s="1509">
        <f t="shared" si="12"/>
        <v>100</v>
      </c>
      <c r="T32" s="1508" t="s">
        <v>8</v>
      </c>
      <c r="U32" s="1509">
        <f t="shared" si="13"/>
        <v>100</v>
      </c>
      <c r="V32" s="1508" t="s">
        <v>8</v>
      </c>
      <c r="W32" s="1509">
        <f t="shared" si="14"/>
        <v>100</v>
      </c>
      <c r="X32" s="1502"/>
      <c r="Y32" s="351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1"/>
      <c r="Q33" s="1536" t="str">
        <f t="shared" si="11"/>
        <v>项目建筑规模</v>
      </c>
      <c r="R33" s="1512" t="s">
        <v>8</v>
      </c>
      <c r="S33" s="1513" t="e">
        <f t="shared" si="12"/>
        <v>#N/A</v>
      </c>
      <c r="T33" s="1512" t="s">
        <v>8</v>
      </c>
      <c r="U33" s="1513" t="e">
        <f t="shared" si="13"/>
        <v>#N/A</v>
      </c>
      <c r="V33" s="1512" t="s">
        <v>8</v>
      </c>
      <c r="W33" s="1513" t="e">
        <f t="shared" si="14"/>
        <v>#N/A</v>
      </c>
      <c r="X33" s="1514"/>
      <c r="Y33" s="351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1"/>
      <c r="Q34" s="1507" t="str">
        <f t="shared" si="11"/>
        <v>建筑结构</v>
      </c>
      <c r="R34" s="1508" t="s">
        <v>8</v>
      </c>
      <c r="S34" s="1509">
        <f t="shared" si="12"/>
        <v>100</v>
      </c>
      <c r="T34" s="1508" t="s">
        <v>8</v>
      </c>
      <c r="U34" s="1509">
        <f t="shared" si="13"/>
        <v>100</v>
      </c>
      <c r="V34" s="1508" t="s">
        <v>8</v>
      </c>
      <c r="W34" s="1509">
        <f t="shared" si="14"/>
        <v>100</v>
      </c>
      <c r="X34" s="1502"/>
      <c r="Y34" s="351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1"/>
      <c r="Q35" s="1507" t="str">
        <f t="shared" si="11"/>
        <v>公共部分装修</v>
      </c>
      <c r="R35" s="1508" t="s">
        <v>8</v>
      </c>
      <c r="S35" s="1509">
        <f t="shared" si="12"/>
        <v>100</v>
      </c>
      <c r="T35" s="1508" t="s">
        <v>8</v>
      </c>
      <c r="U35" s="1509">
        <f t="shared" si="13"/>
        <v>100</v>
      </c>
      <c r="V35" s="1508" t="s">
        <v>8</v>
      </c>
      <c r="W35" s="1509">
        <f t="shared" si="14"/>
        <v>100</v>
      </c>
      <c r="X35" s="1502"/>
      <c r="Y35" s="351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1"/>
      <c r="Q36" s="1507" t="str">
        <f t="shared" si="11"/>
        <v>成新度</v>
      </c>
      <c r="R36" s="1508" t="s">
        <v>8</v>
      </c>
      <c r="S36" s="1509" t="e">
        <f t="shared" si="12"/>
        <v>#N/A</v>
      </c>
      <c r="T36" s="1508" t="s">
        <v>8</v>
      </c>
      <c r="U36" s="1509" t="e">
        <f t="shared" si="13"/>
        <v>#N/A</v>
      </c>
      <c r="V36" s="1508" t="s">
        <v>8</v>
      </c>
      <c r="W36" s="1509" t="e">
        <f t="shared" si="14"/>
        <v>#N/A</v>
      </c>
      <c r="X36" s="1502"/>
      <c r="Y36" s="3511"/>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1"/>
      <c r="Q37" s="1134" t="str">
        <f t="shared" si="11"/>
        <v>市政基础设施</v>
      </c>
      <c r="R37" s="1503" t="s">
        <v>8</v>
      </c>
      <c r="S37" s="1504">
        <f t="shared" si="12"/>
        <v>100</v>
      </c>
      <c r="T37" s="1503" t="s">
        <v>8</v>
      </c>
      <c r="U37" s="1504">
        <f t="shared" si="13"/>
        <v>100</v>
      </c>
      <c r="V37" s="1503" t="s">
        <v>8</v>
      </c>
      <c r="W37" s="1504">
        <f t="shared" si="14"/>
        <v>100</v>
      </c>
      <c r="X37" s="1505"/>
      <c r="Y37" s="351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1" t="s">
        <v>760</v>
      </c>
      <c r="Q38" s="1507" t="str">
        <f t="shared" si="11"/>
        <v>业态</v>
      </c>
      <c r="R38" s="1508" t="s">
        <v>8</v>
      </c>
      <c r="S38" s="1509">
        <f t="shared" si="12"/>
        <v>100</v>
      </c>
      <c r="T38" s="1508" t="s">
        <v>8</v>
      </c>
      <c r="U38" s="1509">
        <f t="shared" si="13"/>
        <v>100</v>
      </c>
      <c r="V38" s="1508" t="s">
        <v>8</v>
      </c>
      <c r="W38" s="1509">
        <f t="shared" si="14"/>
        <v>100</v>
      </c>
      <c r="X38" s="1502"/>
      <c r="Y38" s="351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1"/>
      <c r="Q39" s="1507" t="str">
        <f t="shared" si="11"/>
        <v>层高</v>
      </c>
      <c r="R39" s="1508" t="s">
        <v>8</v>
      </c>
      <c r="S39" s="1509">
        <f t="shared" si="12"/>
        <v>100</v>
      </c>
      <c r="T39" s="1508" t="s">
        <v>8</v>
      </c>
      <c r="U39" s="1509">
        <f t="shared" si="13"/>
        <v>100</v>
      </c>
      <c r="V39" s="1508" t="s">
        <v>8</v>
      </c>
      <c r="W39" s="1509">
        <f t="shared" si="14"/>
        <v>100</v>
      </c>
      <c r="X39" s="1502"/>
      <c r="Y39" s="351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1"/>
      <c r="Q40" s="1507" t="str">
        <f t="shared" si="11"/>
        <v>单套建筑面积</v>
      </c>
      <c r="R40" s="1508" t="s">
        <v>8</v>
      </c>
      <c r="S40" s="1509">
        <f t="shared" si="12"/>
        <v>100</v>
      </c>
      <c r="T40" s="1508" t="s">
        <v>8</v>
      </c>
      <c r="U40" s="1509">
        <f t="shared" si="13"/>
        <v>100</v>
      </c>
      <c r="V40" s="1508" t="s">
        <v>8</v>
      </c>
      <c r="W40" s="1509">
        <f t="shared" si="14"/>
        <v>100</v>
      </c>
      <c r="X40" s="1502"/>
      <c r="Y40" s="351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1"/>
      <c r="Q41" s="1536" t="str">
        <f t="shared" si="11"/>
        <v>进深比</v>
      </c>
      <c r="R41" s="1512" t="s">
        <v>8</v>
      </c>
      <c r="S41" s="1513">
        <f t="shared" si="12"/>
        <v>100</v>
      </c>
      <c r="T41" s="1512" t="s">
        <v>8</v>
      </c>
      <c r="U41" s="1513">
        <f t="shared" si="13"/>
        <v>100</v>
      </c>
      <c r="V41" s="1512" t="s">
        <v>8</v>
      </c>
      <c r="W41" s="1513">
        <f t="shared" si="14"/>
        <v>100</v>
      </c>
      <c r="X41" s="1514"/>
      <c r="Y41" s="351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1"/>
      <c r="Q42" s="1507" t="str">
        <f t="shared" si="11"/>
        <v>内部装修</v>
      </c>
      <c r="R42" s="1508" t="s">
        <v>8</v>
      </c>
      <c r="S42" s="1509">
        <f t="shared" si="12"/>
        <v>100</v>
      </c>
      <c r="T42" s="1508" t="s">
        <v>8</v>
      </c>
      <c r="U42" s="1509">
        <f t="shared" si="13"/>
        <v>100</v>
      </c>
      <c r="V42" s="1508" t="s">
        <v>8</v>
      </c>
      <c r="W42" s="1509">
        <f t="shared" si="14"/>
        <v>100</v>
      </c>
      <c r="X42" s="1502"/>
      <c r="Y42" s="351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1"/>
      <c r="Q43" s="1507" t="str">
        <f t="shared" si="11"/>
        <v>内部装修维护情况</v>
      </c>
      <c r="R43" s="1508" t="s">
        <v>8</v>
      </c>
      <c r="S43" s="1509">
        <f t="shared" si="12"/>
        <v>100</v>
      </c>
      <c r="T43" s="1508" t="s">
        <v>8</v>
      </c>
      <c r="U43" s="1509">
        <f t="shared" si="13"/>
        <v>100</v>
      </c>
      <c r="V43" s="1508" t="s">
        <v>8</v>
      </c>
      <c r="W43" s="1509">
        <f t="shared" si="14"/>
        <v>100</v>
      </c>
      <c r="X43" s="1502"/>
      <c r="Y43" s="351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1"/>
      <c r="Q44" s="1134">
        <f t="shared" si="11"/>
        <v>111</v>
      </c>
      <c r="R44" s="1503" t="s">
        <v>8</v>
      </c>
      <c r="S44" s="1504">
        <f t="shared" si="12"/>
        <v>100</v>
      </c>
      <c r="T44" s="1503" t="s">
        <v>8</v>
      </c>
      <c r="U44" s="1504">
        <f t="shared" si="13"/>
        <v>100</v>
      </c>
      <c r="V44" s="1503" t="s">
        <v>8</v>
      </c>
      <c r="W44" s="1504">
        <f t="shared" si="14"/>
        <v>100</v>
      </c>
      <c r="X44" s="1505"/>
      <c r="Y44" s="351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1"/>
      <c r="Q45" s="1507">
        <f t="shared" si="11"/>
        <v>111</v>
      </c>
      <c r="R45" s="1508" t="s">
        <v>8</v>
      </c>
      <c r="S45" s="1509">
        <f t="shared" si="12"/>
        <v>100</v>
      </c>
      <c r="T45" s="1508" t="s">
        <v>8</v>
      </c>
      <c r="U45" s="1509">
        <f t="shared" si="13"/>
        <v>100</v>
      </c>
      <c r="V45" s="1508" t="s">
        <v>8</v>
      </c>
      <c r="W45" s="1509">
        <f t="shared" si="14"/>
        <v>100</v>
      </c>
      <c r="X45" s="1502"/>
      <c r="Y45" s="351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3"/>
      <c r="Q46" s="1507">
        <f t="shared" si="11"/>
        <v>111</v>
      </c>
      <c r="R46" s="1508" t="s">
        <v>8</v>
      </c>
      <c r="S46" s="1509">
        <f t="shared" si="12"/>
        <v>100</v>
      </c>
      <c r="T46" s="1508" t="s">
        <v>8</v>
      </c>
      <c r="U46" s="1509">
        <f t="shared" si="13"/>
        <v>100</v>
      </c>
      <c r="V46" s="1508" t="s">
        <v>8</v>
      </c>
      <c r="W46" s="1509">
        <f t="shared" si="14"/>
        <v>100</v>
      </c>
      <c r="X46" s="1502"/>
      <c r="Y46" s="3593"/>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4" t="str">
        <f>A47</f>
        <v>成交单价（元/平方米）</v>
      </c>
      <c r="Q47" s="3474"/>
      <c r="R47" s="3592">
        <f>E47</f>
        <v>0</v>
      </c>
      <c r="S47" s="3592"/>
      <c r="T47" s="3592">
        <f>G47</f>
        <v>0</v>
      </c>
      <c r="U47" s="3592"/>
      <c r="V47" s="3592">
        <f>I47</f>
        <v>0</v>
      </c>
      <c r="W47" s="3592"/>
      <c r="X47" s="1497"/>
      <c r="Y47" s="1516"/>
      <c r="Z47" s="1497"/>
      <c r="AA47" s="1497"/>
      <c r="AB47" s="1497"/>
      <c r="AC47" s="1497"/>
    </row>
    <row r="48" spans="1:29" ht="15.75" thickBot="1">
      <c r="A48" s="609" t="s">
        <v>2741</v>
      </c>
      <c r="B48" s="877"/>
      <c r="C48" s="2477" t="e">
        <f>R49</f>
        <v>#DIV/0!</v>
      </c>
      <c r="D48" s="3014" t="s">
        <v>2972</v>
      </c>
      <c r="E48" s="2478" t="e">
        <f>R48</f>
        <v>#DIV/0!</v>
      </c>
      <c r="F48" s="3015"/>
      <c r="G48" s="2477" t="e">
        <f>T48</f>
        <v>#DIV/0!</v>
      </c>
      <c r="H48" s="3015"/>
      <c r="I48" s="2478" t="e">
        <f>V48</f>
        <v>#DIV/0!</v>
      </c>
      <c r="J48" s="3015"/>
      <c r="K48" s="3023">
        <f>F48+H48+J48</f>
        <v>0</v>
      </c>
      <c r="L48" s="2027"/>
      <c r="M48" s="2028"/>
      <c r="N48" s="2017"/>
      <c r="O48" s="2028"/>
      <c r="P48" s="3474" t="str">
        <f>A48</f>
        <v>比较价格（元/平方米）</v>
      </c>
      <c r="Q48" s="3474"/>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471" t="str">
        <f>A49</f>
        <v>估价对象XX用房的比较价格（楼面单价，元/平方米）</v>
      </c>
      <c r="Q49" s="3472"/>
      <c r="R49" s="3591" t="e">
        <f>IF(F1="售价",ROUND(IF(D48="简单平均",AVERAGE(R48:V48),R48*F48+T48*H48+V48*J48),0),ROUND(IF(D48="简单平均",AVERAGE(R48:V48),R48*F48+T48*H48+V48*J48),1))</f>
        <v>#DIV/0!</v>
      </c>
      <c r="S49" s="3591"/>
      <c r="T49" s="3591"/>
      <c r="U49" s="3591"/>
      <c r="V49" s="3591"/>
      <c r="W49" s="3591"/>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2020-12</v>
      </c>
      <c r="D58" s="2522">
        <f>EDATE(C58,-1)</f>
        <v>44136</v>
      </c>
      <c r="E58" s="2522">
        <f t="shared" ref="E58:O58" si="16">EDATE(D58,-1)</f>
        <v>44105</v>
      </c>
      <c r="F58" s="2522">
        <f t="shared" si="16"/>
        <v>44075</v>
      </c>
      <c r="G58" s="2522">
        <f t="shared" si="16"/>
        <v>44044</v>
      </c>
      <c r="H58" s="2522">
        <f t="shared" si="16"/>
        <v>44013</v>
      </c>
      <c r="I58" s="2522">
        <f t="shared" si="16"/>
        <v>43983</v>
      </c>
      <c r="J58" s="2522">
        <f t="shared" si="16"/>
        <v>43952</v>
      </c>
      <c r="K58" s="2522">
        <f t="shared" si="16"/>
        <v>43922</v>
      </c>
      <c r="L58" s="2522">
        <f t="shared" si="16"/>
        <v>43891</v>
      </c>
      <c r="M58" s="2522">
        <f t="shared" si="16"/>
        <v>43862</v>
      </c>
      <c r="N58" s="2522">
        <f t="shared" si="16"/>
        <v>43831</v>
      </c>
      <c r="O58" s="2522">
        <f t="shared" si="16"/>
        <v>43800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0" t="s">
        <v>516</v>
      </c>
      <c r="D4" s="3481"/>
      <c r="E4" s="3514" t="s">
        <v>517</v>
      </c>
      <c r="F4" s="3515"/>
      <c r="G4" s="3480" t="s">
        <v>518</v>
      </c>
      <c r="H4" s="3481"/>
      <c r="I4" s="3480" t="s">
        <v>519</v>
      </c>
      <c r="J4" s="3481"/>
      <c r="K4" s="508" t="s">
        <v>520</v>
      </c>
      <c r="L4" s="2016"/>
      <c r="M4" s="2017"/>
      <c r="N4" s="2017"/>
      <c r="O4" s="2017"/>
      <c r="P4" s="3595" t="s">
        <v>521</v>
      </c>
      <c r="Q4" s="3483"/>
      <c r="R4" s="3488" t="s">
        <v>517</v>
      </c>
      <c r="S4" s="3489"/>
      <c r="T4" s="3488" t="s">
        <v>518</v>
      </c>
      <c r="U4" s="3489"/>
      <c r="V4" s="3475" t="s">
        <v>519</v>
      </c>
      <c r="W4" s="3475"/>
      <c r="X4" s="1502"/>
      <c r="Y4" s="3488" t="s">
        <v>521</v>
      </c>
      <c r="Z4" s="3489"/>
      <c r="AA4" s="3477" t="s">
        <v>517</v>
      </c>
      <c r="AB4" s="3477" t="s">
        <v>518</v>
      </c>
      <c r="AC4" s="3477" t="s">
        <v>519</v>
      </c>
    </row>
    <row r="5" spans="1:29" ht="15">
      <c r="A5" s="509"/>
      <c r="B5" s="510"/>
      <c r="C5" s="3496" t="s">
        <v>2898</v>
      </c>
      <c r="D5" s="3497"/>
      <c r="E5" s="3516" t="s">
        <v>2899</v>
      </c>
      <c r="F5" s="3517"/>
      <c r="G5" s="3496" t="s">
        <v>2900</v>
      </c>
      <c r="H5" s="3497"/>
      <c r="I5" s="3496" t="s">
        <v>2901</v>
      </c>
      <c r="J5" s="3497"/>
      <c r="K5" s="508"/>
      <c r="L5" s="2016"/>
      <c r="M5" s="2017"/>
      <c r="N5" s="2017"/>
      <c r="O5" s="2017"/>
      <c r="P5" s="3596"/>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6"/>
      <c r="M6" s="2017"/>
      <c r="N6" s="2017"/>
      <c r="O6" s="2017"/>
      <c r="P6" s="3597"/>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44186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7"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7" t="s">
        <v>527</v>
      </c>
      <c r="Q8" s="3506"/>
      <c r="R8" s="1503" t="s">
        <v>8</v>
      </c>
      <c r="S8" s="1504">
        <f t="shared" si="0"/>
        <v>0</v>
      </c>
      <c r="T8" s="1503" t="s">
        <v>8</v>
      </c>
      <c r="U8" s="1504">
        <f t="shared" si="1"/>
        <v>0</v>
      </c>
      <c r="V8" s="1503" t="s">
        <v>8</v>
      </c>
      <c r="W8" s="1504">
        <f t="shared" si="2"/>
        <v>0</v>
      </c>
      <c r="X8" s="1505"/>
      <c r="Y8" s="3505" t="s">
        <v>527</v>
      </c>
      <c r="Z8" s="350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8" t="s">
        <v>534</v>
      </c>
      <c r="Q15" s="1507" t="str">
        <f t="shared" si="6"/>
        <v>办公集聚程度</v>
      </c>
      <c r="R15" s="1508" t="s">
        <v>8</v>
      </c>
      <c r="S15" s="1509">
        <f t="shared" si="0"/>
        <v>100</v>
      </c>
      <c r="T15" s="1508" t="s">
        <v>8</v>
      </c>
      <c r="U15" s="1509">
        <f t="shared" si="1"/>
        <v>100</v>
      </c>
      <c r="V15" s="1508" t="s">
        <v>8</v>
      </c>
      <c r="W15" s="1509">
        <f t="shared" si="2"/>
        <v>100</v>
      </c>
      <c r="X15" s="1502"/>
      <c r="Y15" s="350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9"/>
      <c r="Q16" s="1507"/>
      <c r="R16" s="1508"/>
      <c r="S16" s="1509"/>
      <c r="T16" s="1508"/>
      <c r="U16" s="1509"/>
      <c r="V16" s="1508"/>
      <c r="W16" s="1509"/>
      <c r="X16" s="1502"/>
      <c r="Y16" s="350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9"/>
      <c r="Q18" s="1507"/>
      <c r="R18" s="1508"/>
      <c r="S18" s="1509"/>
      <c r="T18" s="1508"/>
      <c r="U18" s="1509"/>
      <c r="V18" s="1508"/>
      <c r="W18" s="1509"/>
      <c r="X18" s="1502"/>
      <c r="Y18" s="3509"/>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9"/>
      <c r="Q20" s="1507"/>
      <c r="R20" s="1508"/>
      <c r="S20" s="1509"/>
      <c r="T20" s="1508"/>
      <c r="U20" s="1509"/>
      <c r="V20" s="1508"/>
      <c r="W20" s="1509"/>
      <c r="X20" s="1502"/>
      <c r="Y20" s="3509"/>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9"/>
      <c r="Q21" s="2430" t="str">
        <f>B21</f>
        <v>基础设施水平</v>
      </c>
      <c r="R21" s="1508" t="s">
        <v>8</v>
      </c>
      <c r="S21" s="1509">
        <f>F21</f>
        <v>100</v>
      </c>
      <c r="T21" s="1508" t="s">
        <v>8</v>
      </c>
      <c r="U21" s="1509">
        <f>H21</f>
        <v>100</v>
      </c>
      <c r="V21" s="1508" t="s">
        <v>8</v>
      </c>
      <c r="W21" s="1509">
        <f>J21</f>
        <v>100</v>
      </c>
      <c r="X21" s="2432"/>
      <c r="Y21" s="350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9"/>
      <c r="Q22" s="2430"/>
      <c r="R22" s="1508"/>
      <c r="S22" s="1509"/>
      <c r="T22" s="1508"/>
      <c r="U22" s="1509"/>
      <c r="V22" s="1508"/>
      <c r="W22" s="1509"/>
      <c r="X22" s="2432"/>
      <c r="Y22" s="3509"/>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9"/>
      <c r="Q23" s="1507" t="str">
        <f>B23</f>
        <v>环境质量</v>
      </c>
      <c r="R23" s="1508" t="s">
        <v>8</v>
      </c>
      <c r="S23" s="1509">
        <f>F23</f>
        <v>100</v>
      </c>
      <c r="T23" s="1508" t="s">
        <v>8</v>
      </c>
      <c r="U23" s="1509">
        <f>H23</f>
        <v>100</v>
      </c>
      <c r="V23" s="1508" t="s">
        <v>8</v>
      </c>
      <c r="W23" s="1509">
        <f>J23</f>
        <v>100</v>
      </c>
      <c r="X23" s="1502"/>
      <c r="Y23" s="350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9"/>
      <c r="Q24" s="1507"/>
      <c r="R24" s="1508"/>
      <c r="S24" s="1509"/>
      <c r="T24" s="1508"/>
      <c r="U24" s="1509"/>
      <c r="V24" s="1508"/>
      <c r="W24" s="1509"/>
      <c r="X24" s="1502"/>
      <c r="Y24" s="350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9"/>
      <c r="Q25" s="1507" t="str">
        <f>B25</f>
        <v>毗邻道路的类型与等级</v>
      </c>
      <c r="R25" s="1508" t="s">
        <v>8</v>
      </c>
      <c r="S25" s="1509">
        <f>F25</f>
        <v>100</v>
      </c>
      <c r="T25" s="1508" t="s">
        <v>8</v>
      </c>
      <c r="U25" s="1509">
        <f>H25</f>
        <v>100</v>
      </c>
      <c r="V25" s="1508" t="s">
        <v>8</v>
      </c>
      <c r="W25" s="1509">
        <f>J25</f>
        <v>100</v>
      </c>
      <c r="X25" s="1502"/>
      <c r="Y25" s="350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9"/>
      <c r="Q26" s="1507"/>
      <c r="R26" s="1508"/>
      <c r="S26" s="1509"/>
      <c r="T26" s="1508"/>
      <c r="U26" s="1509"/>
      <c r="V26" s="1508"/>
      <c r="W26" s="1509"/>
      <c r="X26" s="1502"/>
      <c r="Y26" s="350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9"/>
      <c r="Q27" s="1507" t="str">
        <f t="shared" ref="Q27:Q47" si="11">B27</f>
        <v>楼层</v>
      </c>
      <c r="R27" s="1508" t="s">
        <v>8</v>
      </c>
      <c r="S27" s="1509">
        <f>F27</f>
        <v>100</v>
      </c>
      <c r="T27" s="1508" t="s">
        <v>8</v>
      </c>
      <c r="U27" s="1509">
        <f>H27</f>
        <v>100</v>
      </c>
      <c r="V27" s="1508" t="s">
        <v>8</v>
      </c>
      <c r="W27" s="1509">
        <f>J27</f>
        <v>100</v>
      </c>
      <c r="X27" s="1502"/>
      <c r="Y27" s="350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9"/>
      <c r="Q28" s="1134" t="str">
        <f t="shared" si="11"/>
        <v>朝向</v>
      </c>
      <c r="R28" s="1503" t="s">
        <v>8</v>
      </c>
      <c r="S28" s="1504">
        <f>F28</f>
        <v>100</v>
      </c>
      <c r="T28" s="1503" t="s">
        <v>8</v>
      </c>
      <c r="U28" s="1504">
        <f>H28</f>
        <v>100</v>
      </c>
      <c r="V28" s="1503" t="s">
        <v>8</v>
      </c>
      <c r="W28" s="1504">
        <f>J28</f>
        <v>100</v>
      </c>
      <c r="X28" s="1505"/>
      <c r="Y28" s="350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9"/>
      <c r="Q29" s="1507">
        <f t="shared" si="11"/>
        <v>111</v>
      </c>
      <c r="R29" s="1508" t="s">
        <v>8</v>
      </c>
      <c r="S29" s="1509">
        <f t="shared" ref="S29:S47" si="12">F29</f>
        <v>100</v>
      </c>
      <c r="T29" s="1508" t="s">
        <v>8</v>
      </c>
      <c r="U29" s="1509">
        <f t="shared" ref="U29:U47" si="13">H29</f>
        <v>100</v>
      </c>
      <c r="V29" s="1508" t="s">
        <v>8</v>
      </c>
      <c r="W29" s="1509">
        <f t="shared" ref="W29:W47" si="14">J29</f>
        <v>100</v>
      </c>
      <c r="X29" s="1502"/>
      <c r="Y29" s="350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9"/>
      <c r="Q30" s="1507">
        <f t="shared" si="11"/>
        <v>111</v>
      </c>
      <c r="R30" s="1508" t="s">
        <v>8</v>
      </c>
      <c r="S30" s="1509">
        <f t="shared" si="12"/>
        <v>100</v>
      </c>
      <c r="T30" s="1508" t="s">
        <v>8</v>
      </c>
      <c r="U30" s="1509">
        <f t="shared" si="13"/>
        <v>100</v>
      </c>
      <c r="V30" s="1508" t="s">
        <v>8</v>
      </c>
      <c r="W30" s="1509">
        <f t="shared" si="14"/>
        <v>100</v>
      </c>
      <c r="X30" s="1502"/>
      <c r="Y30" s="350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9"/>
      <c r="Q31" s="1507">
        <f t="shared" si="11"/>
        <v>111</v>
      </c>
      <c r="R31" s="1508" t="s">
        <v>8</v>
      </c>
      <c r="S31" s="1509">
        <f t="shared" si="12"/>
        <v>100</v>
      </c>
      <c r="T31" s="1508" t="s">
        <v>8</v>
      </c>
      <c r="U31" s="1509">
        <f t="shared" si="13"/>
        <v>100</v>
      </c>
      <c r="V31" s="1508" t="s">
        <v>8</v>
      </c>
      <c r="W31" s="1509">
        <f t="shared" si="14"/>
        <v>100</v>
      </c>
      <c r="X31" s="1502"/>
      <c r="Y31" s="350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9"/>
      <c r="Q32" s="1507">
        <f t="shared" si="11"/>
        <v>111</v>
      </c>
      <c r="R32" s="1508" t="s">
        <v>8</v>
      </c>
      <c r="S32" s="1509">
        <f t="shared" si="12"/>
        <v>100</v>
      </c>
      <c r="T32" s="1508" t="s">
        <v>8</v>
      </c>
      <c r="U32" s="1509">
        <f t="shared" si="13"/>
        <v>100</v>
      </c>
      <c r="V32" s="1508" t="s">
        <v>8</v>
      </c>
      <c r="W32" s="1509">
        <f t="shared" si="14"/>
        <v>100</v>
      </c>
      <c r="X32" s="1502"/>
      <c r="Y32" s="3509"/>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0" t="s">
        <v>544</v>
      </c>
      <c r="Q33" s="1507" t="str">
        <f t="shared" si="11"/>
        <v>建筑类型</v>
      </c>
      <c r="R33" s="1508" t="s">
        <v>8</v>
      </c>
      <c r="S33" s="1509">
        <f t="shared" si="12"/>
        <v>100</v>
      </c>
      <c r="T33" s="1508" t="s">
        <v>8</v>
      </c>
      <c r="U33" s="1509">
        <f t="shared" si="13"/>
        <v>100</v>
      </c>
      <c r="V33" s="1508" t="s">
        <v>8</v>
      </c>
      <c r="W33" s="1509">
        <f t="shared" si="14"/>
        <v>100</v>
      </c>
      <c r="X33" s="1502"/>
      <c r="Y33" s="351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1"/>
      <c r="Q34" s="1536" t="str">
        <f t="shared" si="11"/>
        <v>项目建筑规模</v>
      </c>
      <c r="R34" s="1512" t="s">
        <v>8</v>
      </c>
      <c r="S34" s="1513" t="e">
        <f t="shared" si="12"/>
        <v>#N/A</v>
      </c>
      <c r="T34" s="1512" t="s">
        <v>8</v>
      </c>
      <c r="U34" s="1513" t="e">
        <f t="shared" si="13"/>
        <v>#N/A</v>
      </c>
      <c r="V34" s="1512" t="s">
        <v>8</v>
      </c>
      <c r="W34" s="1513" t="e">
        <f t="shared" si="14"/>
        <v>#N/A</v>
      </c>
      <c r="X34" s="1514"/>
      <c r="Y34" s="351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1"/>
      <c r="Q35" s="1507" t="str">
        <f t="shared" si="11"/>
        <v>建筑结构</v>
      </c>
      <c r="R35" s="1508" t="s">
        <v>8</v>
      </c>
      <c r="S35" s="1509">
        <f t="shared" si="12"/>
        <v>100</v>
      </c>
      <c r="T35" s="1508" t="s">
        <v>8</v>
      </c>
      <c r="U35" s="1509">
        <f t="shared" si="13"/>
        <v>100</v>
      </c>
      <c r="V35" s="1508" t="s">
        <v>8</v>
      </c>
      <c r="W35" s="1509">
        <f t="shared" si="14"/>
        <v>100</v>
      </c>
      <c r="X35" s="1502"/>
      <c r="Y35" s="351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1"/>
      <c r="Q36" s="1507" t="str">
        <f t="shared" si="11"/>
        <v>公共部分装修</v>
      </c>
      <c r="R36" s="1508" t="s">
        <v>8</v>
      </c>
      <c r="S36" s="1509">
        <f t="shared" si="12"/>
        <v>100</v>
      </c>
      <c r="T36" s="1508" t="s">
        <v>8</v>
      </c>
      <c r="U36" s="1509">
        <f t="shared" si="13"/>
        <v>100</v>
      </c>
      <c r="V36" s="1508" t="s">
        <v>8</v>
      </c>
      <c r="W36" s="1509">
        <f t="shared" si="14"/>
        <v>100</v>
      </c>
      <c r="X36" s="1502"/>
      <c r="Y36" s="351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1"/>
      <c r="Q37" s="1507" t="str">
        <f t="shared" si="11"/>
        <v>成新度</v>
      </c>
      <c r="R37" s="1508" t="s">
        <v>8</v>
      </c>
      <c r="S37" s="1509" t="e">
        <f t="shared" si="12"/>
        <v>#N/A</v>
      </c>
      <c r="T37" s="1508" t="s">
        <v>8</v>
      </c>
      <c r="U37" s="1509" t="e">
        <f t="shared" si="13"/>
        <v>#N/A</v>
      </c>
      <c r="V37" s="1508" t="s">
        <v>8</v>
      </c>
      <c r="W37" s="1509" t="e">
        <f t="shared" si="14"/>
        <v>#N/A</v>
      </c>
      <c r="X37" s="1502"/>
      <c r="Y37" s="351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1"/>
      <c r="Q38" s="1134" t="str">
        <f t="shared" si="11"/>
        <v>写字楼等级</v>
      </c>
      <c r="R38" s="1503" t="s">
        <v>8</v>
      </c>
      <c r="S38" s="1504">
        <f t="shared" si="12"/>
        <v>100</v>
      </c>
      <c r="T38" s="1503" t="s">
        <v>8</v>
      </c>
      <c r="U38" s="1504">
        <f t="shared" si="13"/>
        <v>100</v>
      </c>
      <c r="V38" s="1503" t="s">
        <v>8</v>
      </c>
      <c r="W38" s="1504">
        <f t="shared" si="14"/>
        <v>100</v>
      </c>
      <c r="X38" s="1505"/>
      <c r="Y38" s="351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1" t="s">
        <v>544</v>
      </c>
      <c r="Q39" s="1507" t="str">
        <f t="shared" si="11"/>
        <v>物业管理</v>
      </c>
      <c r="R39" s="1508" t="s">
        <v>8</v>
      </c>
      <c r="S39" s="1509">
        <f t="shared" si="12"/>
        <v>100</v>
      </c>
      <c r="T39" s="1508" t="s">
        <v>8</v>
      </c>
      <c r="U39" s="1509">
        <f t="shared" si="13"/>
        <v>100</v>
      </c>
      <c r="V39" s="1508" t="s">
        <v>8</v>
      </c>
      <c r="W39" s="1509">
        <f t="shared" si="14"/>
        <v>100</v>
      </c>
      <c r="X39" s="1502"/>
      <c r="Y39" s="3511"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1"/>
      <c r="Q40" s="1507" t="str">
        <f t="shared" si="11"/>
        <v>市政基础设施</v>
      </c>
      <c r="R40" s="1508" t="s">
        <v>8</v>
      </c>
      <c r="S40" s="1509">
        <f t="shared" si="12"/>
        <v>100</v>
      </c>
      <c r="T40" s="1508" t="s">
        <v>8</v>
      </c>
      <c r="U40" s="1509">
        <f t="shared" si="13"/>
        <v>100</v>
      </c>
      <c r="V40" s="1508" t="s">
        <v>8</v>
      </c>
      <c r="W40" s="1509">
        <f t="shared" si="14"/>
        <v>100</v>
      </c>
      <c r="X40" s="1502"/>
      <c r="Y40" s="351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1"/>
      <c r="Q41" s="1507" t="str">
        <f t="shared" si="11"/>
        <v>层高</v>
      </c>
      <c r="R41" s="1508" t="s">
        <v>8</v>
      </c>
      <c r="S41" s="1509">
        <f t="shared" si="12"/>
        <v>100</v>
      </c>
      <c r="T41" s="1508" t="s">
        <v>8</v>
      </c>
      <c r="U41" s="1509">
        <f t="shared" si="13"/>
        <v>100</v>
      </c>
      <c r="V41" s="1508" t="s">
        <v>8</v>
      </c>
      <c r="W41" s="1509">
        <f t="shared" si="14"/>
        <v>100</v>
      </c>
      <c r="X41" s="1502"/>
      <c r="Y41" s="351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1"/>
      <c r="Q42" s="1536" t="str">
        <f t="shared" si="11"/>
        <v>单套建筑面积</v>
      </c>
      <c r="R42" s="1512" t="s">
        <v>8</v>
      </c>
      <c r="S42" s="1513">
        <f t="shared" si="12"/>
        <v>100</v>
      </c>
      <c r="T42" s="1512" t="s">
        <v>8</v>
      </c>
      <c r="U42" s="1513">
        <f t="shared" si="13"/>
        <v>100</v>
      </c>
      <c r="V42" s="1512" t="s">
        <v>8</v>
      </c>
      <c r="W42" s="1513">
        <f t="shared" si="14"/>
        <v>100</v>
      </c>
      <c r="X42" s="1514"/>
      <c r="Y42" s="351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1"/>
      <c r="Q43" s="1507" t="str">
        <f t="shared" si="11"/>
        <v>内部装修</v>
      </c>
      <c r="R43" s="1508" t="s">
        <v>8</v>
      </c>
      <c r="S43" s="1509">
        <f t="shared" si="12"/>
        <v>100</v>
      </c>
      <c r="T43" s="1508" t="s">
        <v>8</v>
      </c>
      <c r="U43" s="1509">
        <f t="shared" si="13"/>
        <v>100</v>
      </c>
      <c r="V43" s="1508" t="s">
        <v>8</v>
      </c>
      <c r="W43" s="1509">
        <f t="shared" si="14"/>
        <v>100</v>
      </c>
      <c r="X43" s="1502"/>
      <c r="Y43" s="351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1"/>
      <c r="Q44" s="1507" t="str">
        <f t="shared" si="11"/>
        <v>内部装修维护情况</v>
      </c>
      <c r="R44" s="1508" t="s">
        <v>8</v>
      </c>
      <c r="S44" s="1509">
        <f t="shared" si="12"/>
        <v>100</v>
      </c>
      <c r="T44" s="1508" t="s">
        <v>8</v>
      </c>
      <c r="U44" s="1509">
        <f t="shared" si="13"/>
        <v>100</v>
      </c>
      <c r="V44" s="1508" t="s">
        <v>8</v>
      </c>
      <c r="W44" s="1509">
        <f t="shared" si="14"/>
        <v>100</v>
      </c>
      <c r="X44" s="1502"/>
      <c r="Y44" s="351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1"/>
      <c r="Q45" s="1134">
        <f t="shared" si="11"/>
        <v>111</v>
      </c>
      <c r="R45" s="1503" t="s">
        <v>8</v>
      </c>
      <c r="S45" s="1504">
        <f t="shared" si="12"/>
        <v>100</v>
      </c>
      <c r="T45" s="1503" t="s">
        <v>8</v>
      </c>
      <c r="U45" s="1504">
        <f t="shared" si="13"/>
        <v>100</v>
      </c>
      <c r="V45" s="1503" t="s">
        <v>8</v>
      </c>
      <c r="W45" s="1504">
        <f t="shared" si="14"/>
        <v>100</v>
      </c>
      <c r="X45" s="1505"/>
      <c r="Y45" s="351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1"/>
      <c r="Q46" s="1507">
        <f t="shared" si="11"/>
        <v>111</v>
      </c>
      <c r="R46" s="1508" t="s">
        <v>8</v>
      </c>
      <c r="S46" s="1509">
        <f t="shared" si="12"/>
        <v>100</v>
      </c>
      <c r="T46" s="1508" t="s">
        <v>8</v>
      </c>
      <c r="U46" s="1509">
        <f t="shared" si="13"/>
        <v>100</v>
      </c>
      <c r="V46" s="1508" t="s">
        <v>8</v>
      </c>
      <c r="W46" s="1509">
        <f t="shared" si="14"/>
        <v>100</v>
      </c>
      <c r="X46" s="1502"/>
      <c r="Y46" s="351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3"/>
      <c r="Q47" s="1507">
        <f t="shared" si="11"/>
        <v>111</v>
      </c>
      <c r="R47" s="1508" t="s">
        <v>8</v>
      </c>
      <c r="S47" s="1509">
        <f t="shared" si="12"/>
        <v>100</v>
      </c>
      <c r="T47" s="1508" t="s">
        <v>8</v>
      </c>
      <c r="U47" s="1509">
        <f t="shared" si="13"/>
        <v>100</v>
      </c>
      <c r="V47" s="1508" t="s">
        <v>8</v>
      </c>
      <c r="W47" s="1509">
        <f t="shared" si="14"/>
        <v>100</v>
      </c>
      <c r="X47" s="1502"/>
      <c r="Y47" s="3593"/>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2" t="str">
        <f>A48</f>
        <v>成交单价（元/平方米）</v>
      </c>
      <c r="Q48" s="3474"/>
      <c r="R48" s="3592">
        <f>E48</f>
        <v>0</v>
      </c>
      <c r="S48" s="3592"/>
      <c r="T48" s="3592">
        <f>G48</f>
        <v>0</v>
      </c>
      <c r="U48" s="3592"/>
      <c r="V48" s="3592">
        <f>I48</f>
        <v>0</v>
      </c>
      <c r="W48" s="3592"/>
      <c r="X48" s="1497"/>
      <c r="Y48" s="1516"/>
      <c r="Z48" s="1497"/>
      <c r="AA48" s="1497"/>
      <c r="AB48" s="1497"/>
      <c r="AC48" s="1497"/>
    </row>
    <row r="49" spans="1:29" ht="15.75" thickBot="1">
      <c r="A49" s="609" t="s">
        <v>2741</v>
      </c>
      <c r="B49" s="877"/>
      <c r="C49" s="2477" t="e">
        <f>R50</f>
        <v>#DIV/0!</v>
      </c>
      <c r="D49" s="3014" t="s">
        <v>2972</v>
      </c>
      <c r="E49" s="2478" t="e">
        <f>R49</f>
        <v>#DIV/0!</v>
      </c>
      <c r="F49" s="3015"/>
      <c r="G49" s="2477" t="e">
        <f>T49</f>
        <v>#DIV/0!</v>
      </c>
      <c r="H49" s="3015"/>
      <c r="I49" s="2478" t="e">
        <f>V49</f>
        <v>#DIV/0!</v>
      </c>
      <c r="J49" s="3015"/>
      <c r="K49" s="3023">
        <f>F49+H49+J49</f>
        <v>0</v>
      </c>
      <c r="L49" s="2027"/>
      <c r="M49" s="2017"/>
      <c r="N49" s="2017"/>
      <c r="O49" s="2017"/>
      <c r="P49" s="3472" t="str">
        <f>A49</f>
        <v>比较价格（元/平方米）</v>
      </c>
      <c r="Q49" s="3474"/>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594" t="str">
        <f>A50</f>
        <v>估价对象XX用房的比较价格（楼面单价，元/平方米）</v>
      </c>
      <c r="Q50" s="3472"/>
      <c r="R50" s="3591" t="e">
        <f>IF(F1="售价",ROUND(IF(D49="简单平均",AVERAGE(R49:V49),R49*F49+T49*H49+V49*J49),0),ROUND(IF(D49="简单平均",AVERAGE(R49:V49),R49*F49+T49*H49+V49*J49),1))</f>
        <v>#DIV/0!</v>
      </c>
      <c r="S50" s="3591"/>
      <c r="T50" s="3591"/>
      <c r="U50" s="3591"/>
      <c r="V50" s="3591"/>
      <c r="W50" s="3591"/>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2020-12</v>
      </c>
      <c r="D59" s="2522">
        <f>EDATE(C59,-1)</f>
        <v>44136</v>
      </c>
      <c r="E59" s="2522">
        <f t="shared" ref="E59:O59" si="16">EDATE(D59,-1)</f>
        <v>44105</v>
      </c>
      <c r="F59" s="2522">
        <f t="shared" si="16"/>
        <v>44075</v>
      </c>
      <c r="G59" s="2522">
        <f t="shared" si="16"/>
        <v>44044</v>
      </c>
      <c r="H59" s="2522">
        <f t="shared" si="16"/>
        <v>44013</v>
      </c>
      <c r="I59" s="2522">
        <f t="shared" si="16"/>
        <v>43983</v>
      </c>
      <c r="J59" s="2522">
        <f t="shared" si="16"/>
        <v>43952</v>
      </c>
      <c r="K59" s="2522">
        <f t="shared" si="16"/>
        <v>43922</v>
      </c>
      <c r="L59" s="2522">
        <f t="shared" si="16"/>
        <v>43891</v>
      </c>
      <c r="M59" s="2522">
        <f t="shared" si="16"/>
        <v>43862</v>
      </c>
      <c r="N59" s="2522">
        <f t="shared" si="16"/>
        <v>43831</v>
      </c>
      <c r="O59" s="2522">
        <f t="shared" si="16"/>
        <v>43800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0" t="s">
        <v>516</v>
      </c>
      <c r="D4" s="3481"/>
      <c r="E4" s="3514" t="s">
        <v>517</v>
      </c>
      <c r="F4" s="3515"/>
      <c r="G4" s="3480" t="s">
        <v>518</v>
      </c>
      <c r="H4" s="3481"/>
      <c r="I4" s="3480" t="s">
        <v>519</v>
      </c>
      <c r="J4" s="3481"/>
      <c r="K4" s="508" t="s">
        <v>520</v>
      </c>
      <c r="L4" s="2016"/>
      <c r="M4" s="2017"/>
      <c r="N4" s="2017"/>
      <c r="O4" s="2017"/>
      <c r="P4" s="3482" t="s">
        <v>521</v>
      </c>
      <c r="Q4" s="3483"/>
      <c r="R4" s="3488" t="s">
        <v>517</v>
      </c>
      <c r="S4" s="3489"/>
      <c r="T4" s="3488" t="s">
        <v>518</v>
      </c>
      <c r="U4" s="3489"/>
      <c r="V4" s="3475" t="s">
        <v>519</v>
      </c>
      <c r="W4" s="3475"/>
      <c r="X4" s="1502"/>
      <c r="Y4" s="3488" t="s">
        <v>521</v>
      </c>
      <c r="Z4" s="3489"/>
      <c r="AA4" s="3477" t="s">
        <v>517</v>
      </c>
      <c r="AB4" s="3478" t="s">
        <v>518</v>
      </c>
      <c r="AC4" s="3477" t="s">
        <v>519</v>
      </c>
    </row>
    <row r="5" spans="1:29" ht="15">
      <c r="A5" s="509"/>
      <c r="B5" s="510"/>
      <c r="C5" s="3496" t="s">
        <v>2898</v>
      </c>
      <c r="D5" s="3497"/>
      <c r="E5" s="3516" t="s">
        <v>2899</v>
      </c>
      <c r="F5" s="3517"/>
      <c r="G5" s="3496" t="s">
        <v>2900</v>
      </c>
      <c r="H5" s="3497"/>
      <c r="I5" s="3496" t="s">
        <v>2901</v>
      </c>
      <c r="J5" s="3497"/>
      <c r="K5" s="508"/>
      <c r="L5" s="2016"/>
      <c r="M5" s="2017"/>
      <c r="N5" s="2017"/>
      <c r="O5" s="2017"/>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6"/>
      <c r="M6" s="2017"/>
      <c r="N6" s="2017"/>
      <c r="O6" s="2017"/>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44186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5"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5" t="s">
        <v>527</v>
      </c>
      <c r="Q8" s="3506"/>
      <c r="R8" s="1503" t="s">
        <v>8</v>
      </c>
      <c r="S8" s="1504">
        <f t="shared" si="0"/>
        <v>0</v>
      </c>
      <c r="T8" s="1503" t="s">
        <v>8</v>
      </c>
      <c r="U8" s="1504">
        <f t="shared" si="1"/>
        <v>0</v>
      </c>
      <c r="V8" s="1503" t="s">
        <v>8</v>
      </c>
      <c r="W8" s="1504">
        <f t="shared" si="2"/>
        <v>0</v>
      </c>
      <c r="X8" s="1505"/>
      <c r="Y8" s="3505" t="s">
        <v>527</v>
      </c>
      <c r="Z8" s="350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8" t="s">
        <v>534</v>
      </c>
      <c r="Q15" s="1507" t="str">
        <f t="shared" si="6"/>
        <v>产业集聚程度</v>
      </c>
      <c r="R15" s="1508" t="s">
        <v>8</v>
      </c>
      <c r="S15" s="1509">
        <f t="shared" si="0"/>
        <v>100</v>
      </c>
      <c r="T15" s="1508" t="s">
        <v>8</v>
      </c>
      <c r="U15" s="1509">
        <f t="shared" si="1"/>
        <v>100</v>
      </c>
      <c r="V15" s="1508" t="s">
        <v>8</v>
      </c>
      <c r="W15" s="1509">
        <f t="shared" si="2"/>
        <v>100</v>
      </c>
      <c r="X15" s="1502"/>
      <c r="Y15" s="350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9"/>
      <c r="Q18" s="1507"/>
      <c r="R18" s="1508"/>
      <c r="S18" s="1509"/>
      <c r="T18" s="1508"/>
      <c r="U18" s="1509"/>
      <c r="V18" s="1508"/>
      <c r="W18" s="1509"/>
      <c r="X18" s="1502"/>
      <c r="Y18" s="3509"/>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9"/>
      <c r="Q20" s="1507"/>
      <c r="R20" s="1508"/>
      <c r="S20" s="1509"/>
      <c r="T20" s="1508"/>
      <c r="U20" s="1509"/>
      <c r="V20" s="1508"/>
      <c r="W20" s="1509"/>
      <c r="X20" s="1502"/>
      <c r="Y20" s="3509"/>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9"/>
      <c r="Q21" s="2430" t="str">
        <f>B21</f>
        <v>基础设施水平</v>
      </c>
      <c r="R21" s="1508" t="s">
        <v>8</v>
      </c>
      <c r="S21" s="1509">
        <f>F21</f>
        <v>100</v>
      </c>
      <c r="T21" s="1508" t="s">
        <v>8</v>
      </c>
      <c r="U21" s="1509">
        <f>H21</f>
        <v>100</v>
      </c>
      <c r="V21" s="1508" t="s">
        <v>8</v>
      </c>
      <c r="W21" s="1509">
        <f>J21</f>
        <v>100</v>
      </c>
      <c r="X21" s="2432"/>
      <c r="Y21" s="350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9"/>
      <c r="Q22" s="2430"/>
      <c r="R22" s="1508"/>
      <c r="S22" s="1509"/>
      <c r="T22" s="1508"/>
      <c r="U22" s="1509"/>
      <c r="V22" s="1508"/>
      <c r="W22" s="1509"/>
      <c r="X22" s="2432"/>
      <c r="Y22" s="3509"/>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9"/>
      <c r="Q23" s="1507" t="str">
        <f>B23</f>
        <v>环境质量</v>
      </c>
      <c r="R23" s="1508" t="s">
        <v>8</v>
      </c>
      <c r="S23" s="1509">
        <f>F23</f>
        <v>100</v>
      </c>
      <c r="T23" s="1508" t="s">
        <v>8</v>
      </c>
      <c r="U23" s="1509">
        <f>H23</f>
        <v>100</v>
      </c>
      <c r="V23" s="1508" t="s">
        <v>8</v>
      </c>
      <c r="W23" s="1509">
        <f>J23</f>
        <v>100</v>
      </c>
      <c r="X23" s="1502"/>
      <c r="Y23" s="350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9"/>
      <c r="Q24" s="1507"/>
      <c r="R24" s="1508"/>
      <c r="S24" s="1509"/>
      <c r="T24" s="1508"/>
      <c r="U24" s="1509"/>
      <c r="V24" s="1508"/>
      <c r="W24" s="1509"/>
      <c r="X24" s="1502"/>
      <c r="Y24" s="350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9"/>
      <c r="Q25" s="1507">
        <f>B25</f>
        <v>111</v>
      </c>
      <c r="R25" s="1508" t="s">
        <v>8</v>
      </c>
      <c r="S25" s="1509">
        <f>F25</f>
        <v>100</v>
      </c>
      <c r="T25" s="1508" t="s">
        <v>8</v>
      </c>
      <c r="U25" s="1509">
        <f>H25</f>
        <v>100</v>
      </c>
      <c r="V25" s="1508" t="s">
        <v>8</v>
      </c>
      <c r="W25" s="1509">
        <f>J25</f>
        <v>100</v>
      </c>
      <c r="X25" s="1502"/>
      <c r="Y25" s="350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9"/>
      <c r="Q26" s="1507">
        <f t="shared" ref="Q26:Q40" si="11">B26</f>
        <v>111</v>
      </c>
      <c r="R26" s="1508" t="s">
        <v>8</v>
      </c>
      <c r="S26" s="1509">
        <f>F26</f>
        <v>100</v>
      </c>
      <c r="T26" s="1508" t="s">
        <v>8</v>
      </c>
      <c r="U26" s="1509">
        <f>H26</f>
        <v>100</v>
      </c>
      <c r="V26" s="1508" t="s">
        <v>8</v>
      </c>
      <c r="W26" s="1509">
        <f>J26</f>
        <v>100</v>
      </c>
      <c r="X26" s="1502"/>
      <c r="Y26" s="350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9"/>
      <c r="Q27" s="1134">
        <f t="shared" si="11"/>
        <v>111</v>
      </c>
      <c r="R27" s="1503" t="s">
        <v>8</v>
      </c>
      <c r="S27" s="1504">
        <f>F27</f>
        <v>100</v>
      </c>
      <c r="T27" s="1503" t="s">
        <v>8</v>
      </c>
      <c r="U27" s="1504">
        <f>H27</f>
        <v>100</v>
      </c>
      <c r="V27" s="1503" t="s">
        <v>8</v>
      </c>
      <c r="W27" s="1504">
        <f>J27</f>
        <v>100</v>
      </c>
      <c r="X27" s="1505"/>
      <c r="Y27" s="350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9"/>
      <c r="Q28" s="1507">
        <f t="shared" si="11"/>
        <v>111</v>
      </c>
      <c r="R28" s="1508" t="s">
        <v>8</v>
      </c>
      <c r="S28" s="1509">
        <f t="shared" ref="S28:S40" si="12">F28</f>
        <v>100</v>
      </c>
      <c r="T28" s="1508" t="s">
        <v>8</v>
      </c>
      <c r="U28" s="1509">
        <f t="shared" ref="U28:U40" si="13">H28</f>
        <v>100</v>
      </c>
      <c r="V28" s="1508" t="s">
        <v>8</v>
      </c>
      <c r="W28" s="1509">
        <f t="shared" ref="W28:W40" si="14">J28</f>
        <v>100</v>
      </c>
      <c r="X28" s="1502"/>
      <c r="Y28" s="3509"/>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0" t="s">
        <v>544</v>
      </c>
      <c r="Q29" s="1507" t="str">
        <f t="shared" si="11"/>
        <v>建筑类型</v>
      </c>
      <c r="R29" s="1508" t="s">
        <v>8</v>
      </c>
      <c r="S29" s="1509">
        <f t="shared" si="12"/>
        <v>100</v>
      </c>
      <c r="T29" s="1508" t="s">
        <v>8</v>
      </c>
      <c r="U29" s="1509">
        <f t="shared" si="13"/>
        <v>100</v>
      </c>
      <c r="V29" s="1508" t="s">
        <v>8</v>
      </c>
      <c r="W29" s="1509">
        <f t="shared" si="14"/>
        <v>100</v>
      </c>
      <c r="X29" s="1502"/>
      <c r="Y29" s="351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1"/>
      <c r="Q30" s="1536" t="str">
        <f t="shared" si="11"/>
        <v>项目建筑规模</v>
      </c>
      <c r="R30" s="1512" t="s">
        <v>8</v>
      </c>
      <c r="S30" s="1513" t="e">
        <f t="shared" si="12"/>
        <v>#N/A</v>
      </c>
      <c r="T30" s="1512" t="s">
        <v>8</v>
      </c>
      <c r="U30" s="1513" t="e">
        <f t="shared" si="13"/>
        <v>#N/A</v>
      </c>
      <c r="V30" s="1512" t="s">
        <v>8</v>
      </c>
      <c r="W30" s="1513" t="e">
        <f t="shared" si="14"/>
        <v>#N/A</v>
      </c>
      <c r="X30" s="1514"/>
      <c r="Y30" s="351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1"/>
      <c r="Q31" s="1507" t="str">
        <f t="shared" si="11"/>
        <v>建筑结构</v>
      </c>
      <c r="R31" s="1508" t="s">
        <v>8</v>
      </c>
      <c r="S31" s="1509">
        <f t="shared" si="12"/>
        <v>100</v>
      </c>
      <c r="T31" s="1508" t="s">
        <v>8</v>
      </c>
      <c r="U31" s="1509">
        <f t="shared" si="13"/>
        <v>100</v>
      </c>
      <c r="V31" s="1508" t="s">
        <v>8</v>
      </c>
      <c r="W31" s="1509">
        <f t="shared" si="14"/>
        <v>100</v>
      </c>
      <c r="X31" s="1502"/>
      <c r="Y31" s="351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1"/>
      <c r="Q32" s="1507" t="str">
        <f t="shared" si="11"/>
        <v>公共部分装修</v>
      </c>
      <c r="R32" s="1508" t="s">
        <v>8</v>
      </c>
      <c r="S32" s="1509">
        <f t="shared" si="12"/>
        <v>100</v>
      </c>
      <c r="T32" s="1508" t="s">
        <v>8</v>
      </c>
      <c r="U32" s="1509">
        <f t="shared" si="13"/>
        <v>100</v>
      </c>
      <c r="V32" s="1508" t="s">
        <v>8</v>
      </c>
      <c r="W32" s="1509">
        <f t="shared" si="14"/>
        <v>100</v>
      </c>
      <c r="X32" s="1502"/>
      <c r="Y32" s="351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1"/>
      <c r="Q33" s="1507" t="str">
        <f t="shared" si="11"/>
        <v>成新度</v>
      </c>
      <c r="R33" s="1508" t="s">
        <v>8</v>
      </c>
      <c r="S33" s="1509" t="e">
        <f t="shared" si="12"/>
        <v>#N/A</v>
      </c>
      <c r="T33" s="1508" t="s">
        <v>8</v>
      </c>
      <c r="U33" s="1509" t="e">
        <f t="shared" si="13"/>
        <v>#N/A</v>
      </c>
      <c r="V33" s="1508" t="s">
        <v>8</v>
      </c>
      <c r="W33" s="1509" t="e">
        <f t="shared" si="14"/>
        <v>#N/A</v>
      </c>
      <c r="X33" s="1502"/>
      <c r="Y33" s="351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1"/>
      <c r="Q34" s="1134" t="str">
        <f t="shared" si="11"/>
        <v>物业管理</v>
      </c>
      <c r="R34" s="1503" t="s">
        <v>8</v>
      </c>
      <c r="S34" s="1504">
        <f t="shared" si="12"/>
        <v>100</v>
      </c>
      <c r="T34" s="1503" t="s">
        <v>8</v>
      </c>
      <c r="U34" s="1504">
        <f t="shared" si="13"/>
        <v>100</v>
      </c>
      <c r="V34" s="1503" t="s">
        <v>8</v>
      </c>
      <c r="W34" s="1504">
        <f t="shared" si="14"/>
        <v>100</v>
      </c>
      <c r="X34" s="1505"/>
      <c r="Y34" s="3511"/>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1" t="s">
        <v>544</v>
      </c>
      <c r="Q35" s="1507" t="str">
        <f t="shared" si="11"/>
        <v>市政基础设施</v>
      </c>
      <c r="R35" s="1508" t="s">
        <v>8</v>
      </c>
      <c r="S35" s="1509">
        <f t="shared" si="12"/>
        <v>100</v>
      </c>
      <c r="T35" s="1508" t="s">
        <v>8</v>
      </c>
      <c r="U35" s="1509">
        <f t="shared" si="13"/>
        <v>100</v>
      </c>
      <c r="V35" s="1508" t="s">
        <v>8</v>
      </c>
      <c r="W35" s="1509">
        <f t="shared" si="14"/>
        <v>100</v>
      </c>
      <c r="X35" s="1502"/>
      <c r="Y35" s="351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1"/>
      <c r="Q36" s="1507" t="str">
        <f t="shared" si="11"/>
        <v>内部装修</v>
      </c>
      <c r="R36" s="1508" t="s">
        <v>8</v>
      </c>
      <c r="S36" s="1509">
        <f t="shared" si="12"/>
        <v>100</v>
      </c>
      <c r="T36" s="1508" t="s">
        <v>8</v>
      </c>
      <c r="U36" s="1509">
        <f t="shared" si="13"/>
        <v>100</v>
      </c>
      <c r="V36" s="1508" t="s">
        <v>8</v>
      </c>
      <c r="W36" s="1509">
        <f t="shared" si="14"/>
        <v>100</v>
      </c>
      <c r="X36" s="1502"/>
      <c r="Y36" s="351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1"/>
      <c r="Q37" s="1507" t="str">
        <f t="shared" si="11"/>
        <v>内部装修状况</v>
      </c>
      <c r="R37" s="1508" t="s">
        <v>8</v>
      </c>
      <c r="S37" s="1509">
        <f t="shared" si="12"/>
        <v>100</v>
      </c>
      <c r="T37" s="1508" t="s">
        <v>8</v>
      </c>
      <c r="U37" s="1509">
        <f t="shared" si="13"/>
        <v>100</v>
      </c>
      <c r="V37" s="1508" t="s">
        <v>8</v>
      </c>
      <c r="W37" s="1509">
        <f t="shared" si="14"/>
        <v>100</v>
      </c>
      <c r="X37" s="1502"/>
      <c r="Y37" s="351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1"/>
      <c r="Q38" s="1536">
        <f t="shared" si="11"/>
        <v>111</v>
      </c>
      <c r="R38" s="1512" t="s">
        <v>8</v>
      </c>
      <c r="S38" s="1513">
        <f t="shared" si="12"/>
        <v>100</v>
      </c>
      <c r="T38" s="1512" t="s">
        <v>8</v>
      </c>
      <c r="U38" s="1513">
        <f t="shared" si="13"/>
        <v>100</v>
      </c>
      <c r="V38" s="1512" t="s">
        <v>8</v>
      </c>
      <c r="W38" s="1513">
        <f t="shared" si="14"/>
        <v>100</v>
      </c>
      <c r="X38" s="1514"/>
      <c r="Y38" s="351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1"/>
      <c r="Q39" s="1507">
        <f t="shared" si="11"/>
        <v>111</v>
      </c>
      <c r="R39" s="1508" t="s">
        <v>8</v>
      </c>
      <c r="S39" s="1509">
        <f t="shared" si="12"/>
        <v>100</v>
      </c>
      <c r="T39" s="1508" t="s">
        <v>8</v>
      </c>
      <c r="U39" s="1509">
        <f t="shared" si="13"/>
        <v>100</v>
      </c>
      <c r="V39" s="1508" t="s">
        <v>8</v>
      </c>
      <c r="W39" s="1509">
        <f t="shared" si="14"/>
        <v>100</v>
      </c>
      <c r="X39" s="1502"/>
      <c r="Y39" s="351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3"/>
      <c r="Q40" s="1507">
        <f t="shared" si="11"/>
        <v>111</v>
      </c>
      <c r="R40" s="1508" t="s">
        <v>8</v>
      </c>
      <c r="S40" s="1509">
        <f t="shared" si="12"/>
        <v>100</v>
      </c>
      <c r="T40" s="1508" t="s">
        <v>8</v>
      </c>
      <c r="U40" s="1509">
        <f t="shared" si="13"/>
        <v>100</v>
      </c>
      <c r="V40" s="1508" t="s">
        <v>8</v>
      </c>
      <c r="W40" s="1509">
        <f t="shared" si="14"/>
        <v>100</v>
      </c>
      <c r="X40" s="1502"/>
      <c r="Y40" s="3593"/>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4" t="str">
        <f>A41</f>
        <v>成交单价（元/平方米）</v>
      </c>
      <c r="Q41" s="3474"/>
      <c r="R41" s="3592">
        <f>E41</f>
        <v>0</v>
      </c>
      <c r="S41" s="3592"/>
      <c r="T41" s="3592">
        <f>G41</f>
        <v>0</v>
      </c>
      <c r="U41" s="3592"/>
      <c r="V41" s="3592">
        <f>I41</f>
        <v>0</v>
      </c>
      <c r="W41" s="3592"/>
      <c r="X41" s="1497"/>
      <c r="Y41" s="1516"/>
      <c r="Z41" s="1497"/>
      <c r="AA41" s="1497"/>
      <c r="AB41" s="1497"/>
      <c r="AC41" s="1497"/>
    </row>
    <row r="42" spans="1:29" ht="15.75" thickBot="1">
      <c r="A42" s="609" t="s">
        <v>2741</v>
      </c>
      <c r="B42" s="877"/>
      <c r="C42" s="2477" t="e">
        <f>R43</f>
        <v>#DIV/0!</v>
      </c>
      <c r="D42" s="3014" t="s">
        <v>2972</v>
      </c>
      <c r="E42" s="2478" t="e">
        <f>R42</f>
        <v>#DIV/0!</v>
      </c>
      <c r="F42" s="3015"/>
      <c r="G42" s="2477" t="e">
        <f>T42</f>
        <v>#DIV/0!</v>
      </c>
      <c r="H42" s="3015"/>
      <c r="I42" s="2478" t="e">
        <f>V42</f>
        <v>#DIV/0!</v>
      </c>
      <c r="J42" s="3015"/>
      <c r="K42" s="3023">
        <f>F42+H42+J42</f>
        <v>0</v>
      </c>
      <c r="L42" s="2027"/>
      <c r="M42" s="2028"/>
      <c r="N42" s="2017"/>
      <c r="O42" s="2028"/>
      <c r="P42" s="3474" t="str">
        <f>A42</f>
        <v>比较价格（元/平方米）</v>
      </c>
      <c r="Q42" s="3474"/>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471" t="str">
        <f>A43</f>
        <v>估价对象XX用房的比较价格（楼面单价，元/平方米）</v>
      </c>
      <c r="Q43" s="3472"/>
      <c r="R43" s="3591" t="e">
        <f>IF(F1="售价",ROUND(IF(D42="简单平均",AVERAGE(R42:V42),R42*F42+T42*H42+V42*J42),0),ROUND(IF(D42="简单平均",AVERAGE(R42:V42),R42*F42+T42*H42+V42*J42),1))</f>
        <v>#DIV/0!</v>
      </c>
      <c r="S43" s="3591"/>
      <c r="T43" s="3591"/>
      <c r="U43" s="3591"/>
      <c r="V43" s="3591"/>
      <c r="W43" s="3591"/>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2020-12</v>
      </c>
      <c r="D52" s="2522">
        <f>EDATE(C52,-1)</f>
        <v>44136</v>
      </c>
      <c r="E52" s="2522">
        <f t="shared" ref="E52:O52" si="16">EDATE(D52,-1)</f>
        <v>44105</v>
      </c>
      <c r="F52" s="2522">
        <f t="shared" si="16"/>
        <v>44075</v>
      </c>
      <c r="G52" s="2522">
        <f t="shared" si="16"/>
        <v>44044</v>
      </c>
      <c r="H52" s="2522">
        <f t="shared" si="16"/>
        <v>44013</v>
      </c>
      <c r="I52" s="2522">
        <f t="shared" si="16"/>
        <v>43983</v>
      </c>
      <c r="J52" s="2522">
        <f t="shared" si="16"/>
        <v>43952</v>
      </c>
      <c r="K52" s="2522">
        <f t="shared" si="16"/>
        <v>43922</v>
      </c>
      <c r="L52" s="2522">
        <f t="shared" si="16"/>
        <v>43891</v>
      </c>
      <c r="M52" s="2522">
        <f t="shared" si="16"/>
        <v>43862</v>
      </c>
      <c r="N52" s="2522">
        <f t="shared" si="16"/>
        <v>43831</v>
      </c>
      <c r="O52" s="2522">
        <f t="shared" si="16"/>
        <v>43800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0" t="s">
        <v>792</v>
      </c>
      <c r="D4" s="3481"/>
      <c r="E4" s="3480" t="s">
        <v>793</v>
      </c>
      <c r="F4" s="3481"/>
      <c r="G4" s="3480" t="s">
        <v>794</v>
      </c>
      <c r="H4" s="3481"/>
      <c r="I4" s="3480" t="s">
        <v>795</v>
      </c>
      <c r="J4" s="3481"/>
      <c r="K4" s="508" t="s">
        <v>796</v>
      </c>
      <c r="L4" s="2016"/>
      <c r="M4" s="2017"/>
      <c r="N4" s="2017"/>
      <c r="O4" s="2017"/>
      <c r="P4" s="3482" t="s">
        <v>797</v>
      </c>
      <c r="Q4" s="3483"/>
      <c r="R4" s="3488" t="s">
        <v>793</v>
      </c>
      <c r="S4" s="3489"/>
      <c r="T4" s="3488" t="s">
        <v>794</v>
      </c>
      <c r="U4" s="3489"/>
      <c r="V4" s="3475" t="s">
        <v>795</v>
      </c>
      <c r="W4" s="3475"/>
      <c r="X4" s="1502"/>
      <c r="Y4" s="3488" t="s">
        <v>797</v>
      </c>
      <c r="Z4" s="3489"/>
      <c r="AA4" s="3477" t="s">
        <v>793</v>
      </c>
      <c r="AB4" s="3478" t="s">
        <v>794</v>
      </c>
      <c r="AC4" s="3477" t="s">
        <v>795</v>
      </c>
    </row>
    <row r="5" spans="1:29" ht="15">
      <c r="A5" s="509"/>
      <c r="B5" s="510"/>
      <c r="C5" s="3496" t="s">
        <v>2898</v>
      </c>
      <c r="D5" s="3497"/>
      <c r="E5" s="3496" t="s">
        <v>2899</v>
      </c>
      <c r="F5" s="3497"/>
      <c r="G5" s="3496" t="s">
        <v>2900</v>
      </c>
      <c r="H5" s="3497"/>
      <c r="I5" s="3496" t="s">
        <v>2901</v>
      </c>
      <c r="J5" s="3497"/>
      <c r="K5" s="508"/>
      <c r="L5" s="2016"/>
      <c r="M5" s="2017"/>
      <c r="N5" s="2017"/>
      <c r="O5" s="2017"/>
      <c r="P5" s="3484"/>
      <c r="Q5" s="3485"/>
      <c r="R5" s="3490"/>
      <c r="S5" s="3491"/>
      <c r="T5" s="3490"/>
      <c r="U5" s="3491"/>
      <c r="V5" s="3475"/>
      <c r="W5" s="3475"/>
      <c r="X5" s="1502"/>
      <c r="Y5" s="3490"/>
      <c r="Z5" s="3491"/>
      <c r="AA5" s="3478"/>
      <c r="AB5" s="3478"/>
      <c r="AC5" s="3478"/>
    </row>
    <row r="6" spans="1:29" ht="15.75" thickBot="1">
      <c r="A6" s="511"/>
      <c r="B6" s="512"/>
      <c r="C6" s="3494" t="s">
        <v>2902</v>
      </c>
      <c r="D6" s="3495"/>
      <c r="E6" s="3498" t="s">
        <v>2902</v>
      </c>
      <c r="F6" s="3499"/>
      <c r="G6" s="3494" t="s">
        <v>2902</v>
      </c>
      <c r="H6" s="3495"/>
      <c r="I6" s="3494" t="s">
        <v>2902</v>
      </c>
      <c r="J6" s="3495"/>
      <c r="K6" s="508" t="s">
        <v>522</v>
      </c>
      <c r="L6" s="2016"/>
      <c r="M6" s="2017"/>
      <c r="N6" s="2017"/>
      <c r="O6" s="2017"/>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44186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5" t="s">
        <v>524</v>
      </c>
      <c r="Q7" s="3507"/>
      <c r="R7" s="1503" t="s">
        <v>8</v>
      </c>
      <c r="S7" s="1504">
        <f t="shared" ref="S7:S14" si="0">F7</f>
        <v>0</v>
      </c>
      <c r="T7" s="1503" t="s">
        <v>8</v>
      </c>
      <c r="U7" s="1504">
        <f t="shared" ref="U7:U14" si="1">H7</f>
        <v>0</v>
      </c>
      <c r="V7" s="1503" t="s">
        <v>8</v>
      </c>
      <c r="W7" s="1504">
        <f t="shared" ref="W7:W14"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5" t="s">
        <v>527</v>
      </c>
      <c r="Q8" s="3506"/>
      <c r="R8" s="1503" t="s">
        <v>8</v>
      </c>
      <c r="S8" s="1504">
        <f t="shared" si="0"/>
        <v>0</v>
      </c>
      <c r="T8" s="1503" t="s">
        <v>8</v>
      </c>
      <c r="U8" s="1504">
        <f t="shared" si="1"/>
        <v>0</v>
      </c>
      <c r="V8" s="1503" t="s">
        <v>8</v>
      </c>
      <c r="W8" s="1504">
        <f t="shared" si="2"/>
        <v>0</v>
      </c>
      <c r="X8" s="1505"/>
      <c r="Y8" s="3505" t="s">
        <v>527</v>
      </c>
      <c r="Z8" s="350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4"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4"/>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8" t="s">
        <v>534</v>
      </c>
      <c r="Q14" s="1507" t="str">
        <f t="shared" si="6"/>
        <v>交通便捷度</v>
      </c>
      <c r="R14" s="1508" t="s">
        <v>8</v>
      </c>
      <c r="S14" s="1509">
        <f t="shared" si="0"/>
        <v>100</v>
      </c>
      <c r="T14" s="1508" t="s">
        <v>8</v>
      </c>
      <c r="U14" s="1509">
        <f t="shared" si="1"/>
        <v>100</v>
      </c>
      <c r="V14" s="1508" t="s">
        <v>8</v>
      </c>
      <c r="W14" s="1509">
        <f t="shared" si="2"/>
        <v>100</v>
      </c>
      <c r="X14" s="1502"/>
      <c r="Y14" s="350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9"/>
      <c r="Q15" s="1507"/>
      <c r="R15" s="1508"/>
      <c r="S15" s="1509"/>
      <c r="T15" s="1508"/>
      <c r="U15" s="1509"/>
      <c r="V15" s="1508"/>
      <c r="W15" s="1509"/>
      <c r="X15" s="1502"/>
      <c r="Y15" s="3509"/>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9"/>
      <c r="Q16" s="1507" t="str">
        <f>B16</f>
        <v>公共配套设施</v>
      </c>
      <c r="R16" s="1508" t="s">
        <v>8</v>
      </c>
      <c r="S16" s="1509">
        <f>F16</f>
        <v>100</v>
      </c>
      <c r="T16" s="1508" t="s">
        <v>8</v>
      </c>
      <c r="U16" s="1509">
        <f>H16</f>
        <v>100</v>
      </c>
      <c r="V16" s="1508" t="s">
        <v>8</v>
      </c>
      <c r="W16" s="1509">
        <f>J16</f>
        <v>100</v>
      </c>
      <c r="X16" s="1502"/>
      <c r="Y16" s="350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9"/>
      <c r="Q17" s="1507"/>
      <c r="R17" s="1508"/>
      <c r="S17" s="1509"/>
      <c r="T17" s="1508"/>
      <c r="U17" s="1509"/>
      <c r="V17" s="1508"/>
      <c r="W17" s="1509"/>
      <c r="X17" s="1502"/>
      <c r="Y17" s="3509"/>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9"/>
      <c r="Q18" s="2430" t="str">
        <f>B18</f>
        <v>基础设施水平</v>
      </c>
      <c r="R18" s="1508" t="s">
        <v>8</v>
      </c>
      <c r="S18" s="1509">
        <f>F18</f>
        <v>100</v>
      </c>
      <c r="T18" s="1508" t="s">
        <v>8</v>
      </c>
      <c r="U18" s="1509">
        <f>H18</f>
        <v>100</v>
      </c>
      <c r="V18" s="1508" t="s">
        <v>8</v>
      </c>
      <c r="W18" s="1509">
        <f>J18</f>
        <v>100</v>
      </c>
      <c r="X18" s="2432"/>
      <c r="Y18" s="350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9"/>
      <c r="Q19" s="2430"/>
      <c r="R19" s="1508"/>
      <c r="S19" s="1509"/>
      <c r="T19" s="1508"/>
      <c r="U19" s="1509"/>
      <c r="V19" s="1508"/>
      <c r="W19" s="1509"/>
      <c r="X19" s="2432"/>
      <c r="Y19" s="3509"/>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9"/>
      <c r="Q20" s="1507" t="str">
        <f>B20</f>
        <v>自然及人文环境</v>
      </c>
      <c r="R20" s="1508" t="s">
        <v>8</v>
      </c>
      <c r="S20" s="1509">
        <f>F20</f>
        <v>100</v>
      </c>
      <c r="T20" s="1508" t="s">
        <v>8</v>
      </c>
      <c r="U20" s="1509">
        <f>H20</f>
        <v>100</v>
      </c>
      <c r="V20" s="1508" t="s">
        <v>8</v>
      </c>
      <c r="W20" s="1509">
        <f>J20</f>
        <v>100</v>
      </c>
      <c r="X20" s="1502"/>
      <c r="Y20" s="350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9"/>
      <c r="Q21" s="1507"/>
      <c r="R21" s="1508"/>
      <c r="S21" s="1509"/>
      <c r="T21" s="1508"/>
      <c r="U21" s="1509"/>
      <c r="V21" s="1508"/>
      <c r="W21" s="1509"/>
      <c r="X21" s="1502"/>
      <c r="Y21" s="350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9"/>
      <c r="Q22" s="1507" t="str">
        <f>B22</f>
        <v>楼层</v>
      </c>
      <c r="R22" s="1508" t="s">
        <v>8</v>
      </c>
      <c r="S22" s="1509">
        <f>F22</f>
        <v>100</v>
      </c>
      <c r="T22" s="1508" t="s">
        <v>8</v>
      </c>
      <c r="U22" s="1509">
        <f>H22</f>
        <v>100</v>
      </c>
      <c r="V22" s="1508" t="s">
        <v>8</v>
      </c>
      <c r="W22" s="1509">
        <f>J22</f>
        <v>100</v>
      </c>
      <c r="X22" s="1502"/>
      <c r="Y22" s="350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9"/>
      <c r="Q23" s="1507">
        <f>B23</f>
        <v>111</v>
      </c>
      <c r="R23" s="1508" t="s">
        <v>8</v>
      </c>
      <c r="S23" s="1509">
        <f>F23</f>
        <v>100</v>
      </c>
      <c r="T23" s="1508" t="s">
        <v>8</v>
      </c>
      <c r="U23" s="1509">
        <f>H23</f>
        <v>100</v>
      </c>
      <c r="V23" s="1508" t="s">
        <v>8</v>
      </c>
      <c r="W23" s="1509">
        <f>J23</f>
        <v>100</v>
      </c>
      <c r="X23" s="1502"/>
      <c r="Y23" s="350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9"/>
      <c r="Q24" s="1507">
        <f t="shared" ref="Q24:Q36" si="11">B24</f>
        <v>111</v>
      </c>
      <c r="R24" s="1508" t="s">
        <v>8</v>
      </c>
      <c r="S24" s="1509">
        <f>F24</f>
        <v>100</v>
      </c>
      <c r="T24" s="1508" t="s">
        <v>8</v>
      </c>
      <c r="U24" s="1509">
        <f>H24</f>
        <v>100</v>
      </c>
      <c r="V24" s="1508" t="s">
        <v>8</v>
      </c>
      <c r="W24" s="1509">
        <f>J24</f>
        <v>100</v>
      </c>
      <c r="X24" s="1502"/>
      <c r="Y24" s="350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9"/>
      <c r="Q25" s="1134">
        <f t="shared" si="11"/>
        <v>111</v>
      </c>
      <c r="R25" s="1503" t="s">
        <v>8</v>
      </c>
      <c r="S25" s="1504">
        <f>F25</f>
        <v>100</v>
      </c>
      <c r="T25" s="1503" t="s">
        <v>8</v>
      </c>
      <c r="U25" s="1504">
        <f>H25</f>
        <v>100</v>
      </c>
      <c r="V25" s="1503" t="s">
        <v>8</v>
      </c>
      <c r="W25" s="1504">
        <f>J25</f>
        <v>100</v>
      </c>
      <c r="X25" s="1505"/>
      <c r="Y25" s="3509"/>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1"/>
      <c r="Q27" s="1536" t="str">
        <f t="shared" si="11"/>
        <v>项目停车位配比</v>
      </c>
      <c r="R27" s="1512" t="s">
        <v>8</v>
      </c>
      <c r="S27" s="1513">
        <f t="shared" si="12"/>
        <v>100</v>
      </c>
      <c r="T27" s="1512" t="s">
        <v>8</v>
      </c>
      <c r="U27" s="1513">
        <f t="shared" si="13"/>
        <v>100</v>
      </c>
      <c r="V27" s="1512" t="s">
        <v>8</v>
      </c>
      <c r="W27" s="1513">
        <f t="shared" si="14"/>
        <v>100</v>
      </c>
      <c r="X27" s="1514"/>
      <c r="Y27" s="351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1"/>
      <c r="Q28" s="1507" t="str">
        <f t="shared" si="11"/>
        <v>公共部分装修</v>
      </c>
      <c r="R28" s="1508" t="s">
        <v>8</v>
      </c>
      <c r="S28" s="1509">
        <f t="shared" si="12"/>
        <v>100</v>
      </c>
      <c r="T28" s="1508" t="s">
        <v>8</v>
      </c>
      <c r="U28" s="1509">
        <f t="shared" si="13"/>
        <v>100</v>
      </c>
      <c r="V28" s="1508" t="s">
        <v>8</v>
      </c>
      <c r="W28" s="1509">
        <f t="shared" si="14"/>
        <v>100</v>
      </c>
      <c r="X28" s="1502"/>
      <c r="Y28" s="351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1"/>
      <c r="Q29" s="1507" t="str">
        <f t="shared" si="11"/>
        <v>成新率</v>
      </c>
      <c r="R29" s="1508" t="s">
        <v>8</v>
      </c>
      <c r="S29" s="1509" t="e">
        <f t="shared" si="12"/>
        <v>#N/A</v>
      </c>
      <c r="T29" s="1508" t="s">
        <v>8</v>
      </c>
      <c r="U29" s="1509" t="e">
        <f t="shared" si="13"/>
        <v>#N/A</v>
      </c>
      <c r="V29" s="1508" t="s">
        <v>8</v>
      </c>
      <c r="W29" s="1509" t="e">
        <f t="shared" si="14"/>
        <v>#N/A</v>
      </c>
      <c r="X29" s="1502"/>
      <c r="Y29" s="351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1"/>
      <c r="Q30" s="1507" t="str">
        <f t="shared" si="11"/>
        <v>物业等级</v>
      </c>
      <c r="R30" s="1508" t="s">
        <v>8</v>
      </c>
      <c r="S30" s="1509">
        <f t="shared" si="12"/>
        <v>100</v>
      </c>
      <c r="T30" s="1508" t="s">
        <v>8</v>
      </c>
      <c r="U30" s="1509">
        <f t="shared" si="13"/>
        <v>100</v>
      </c>
      <c r="V30" s="1508" t="s">
        <v>8</v>
      </c>
      <c r="W30" s="1509">
        <f t="shared" si="14"/>
        <v>100</v>
      </c>
      <c r="X30" s="1502"/>
      <c r="Y30" s="351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1"/>
      <c r="Q31" s="1134" t="str">
        <f t="shared" si="11"/>
        <v>停车位面积</v>
      </c>
      <c r="R31" s="1503" t="s">
        <v>8</v>
      </c>
      <c r="S31" s="1504" t="e">
        <f t="shared" si="12"/>
        <v>#N/A</v>
      </c>
      <c r="T31" s="1503" t="s">
        <v>8</v>
      </c>
      <c r="U31" s="1504" t="e">
        <f t="shared" si="13"/>
        <v>#N/A</v>
      </c>
      <c r="V31" s="1503" t="s">
        <v>8</v>
      </c>
      <c r="W31" s="1504" t="e">
        <f t="shared" si="14"/>
        <v>#N/A</v>
      </c>
      <c r="X31" s="1505"/>
      <c r="Y31" s="351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1" t="s">
        <v>544</v>
      </c>
      <c r="Q32" s="1507" t="str">
        <f t="shared" si="11"/>
        <v>车位类型</v>
      </c>
      <c r="R32" s="1508" t="s">
        <v>8</v>
      </c>
      <c r="S32" s="1509">
        <f t="shared" si="12"/>
        <v>100</v>
      </c>
      <c r="T32" s="1508" t="s">
        <v>8</v>
      </c>
      <c r="U32" s="1509">
        <f t="shared" si="13"/>
        <v>100</v>
      </c>
      <c r="V32" s="1508" t="s">
        <v>8</v>
      </c>
      <c r="W32" s="1509">
        <f t="shared" si="14"/>
        <v>100</v>
      </c>
      <c r="X32" s="1502"/>
      <c r="Y32" s="351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1"/>
      <c r="Q33" s="1507" t="str">
        <f t="shared" si="11"/>
        <v>是否直接入户</v>
      </c>
      <c r="R33" s="1508" t="s">
        <v>8</v>
      </c>
      <c r="S33" s="1509">
        <f t="shared" si="12"/>
        <v>100</v>
      </c>
      <c r="T33" s="1508" t="s">
        <v>8</v>
      </c>
      <c r="U33" s="1509">
        <f t="shared" si="13"/>
        <v>100</v>
      </c>
      <c r="V33" s="1508" t="s">
        <v>8</v>
      </c>
      <c r="W33" s="1509">
        <f t="shared" si="14"/>
        <v>100</v>
      </c>
      <c r="X33" s="1502"/>
      <c r="Y33" s="351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1"/>
      <c r="Q34" s="1507">
        <f t="shared" si="11"/>
        <v>111</v>
      </c>
      <c r="R34" s="1508" t="s">
        <v>8</v>
      </c>
      <c r="S34" s="1509">
        <f t="shared" si="12"/>
        <v>100</v>
      </c>
      <c r="T34" s="1508" t="s">
        <v>8</v>
      </c>
      <c r="U34" s="1509">
        <f t="shared" si="13"/>
        <v>100</v>
      </c>
      <c r="V34" s="1508" t="s">
        <v>8</v>
      </c>
      <c r="W34" s="1509">
        <f t="shared" si="14"/>
        <v>100</v>
      </c>
      <c r="X34" s="1502"/>
      <c r="Y34" s="351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1"/>
      <c r="Q35" s="1536">
        <f t="shared" si="11"/>
        <v>111</v>
      </c>
      <c r="R35" s="1512" t="s">
        <v>8</v>
      </c>
      <c r="S35" s="1513">
        <f t="shared" si="12"/>
        <v>100</v>
      </c>
      <c r="T35" s="1512" t="s">
        <v>8</v>
      </c>
      <c r="U35" s="1513">
        <f t="shared" si="13"/>
        <v>100</v>
      </c>
      <c r="V35" s="1512" t="s">
        <v>8</v>
      </c>
      <c r="W35" s="1513">
        <f t="shared" si="14"/>
        <v>100</v>
      </c>
      <c r="X35" s="1514"/>
      <c r="Y35" s="351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1"/>
      <c r="Q36" s="1507">
        <f t="shared" si="11"/>
        <v>111</v>
      </c>
      <c r="R36" s="1508" t="s">
        <v>8</v>
      </c>
      <c r="S36" s="1509">
        <f t="shared" si="12"/>
        <v>100</v>
      </c>
      <c r="T36" s="1508" t="s">
        <v>8</v>
      </c>
      <c r="U36" s="1509">
        <f t="shared" si="13"/>
        <v>100</v>
      </c>
      <c r="V36" s="1508" t="s">
        <v>8</v>
      </c>
      <c r="W36" s="1509">
        <f t="shared" si="14"/>
        <v>100</v>
      </c>
      <c r="X36" s="1502"/>
      <c r="Y36" s="3511"/>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4" t="str">
        <f>A37</f>
        <v>成交单价</v>
      </c>
      <c r="Q37" s="3474"/>
      <c r="R37" s="3592">
        <f>E37</f>
        <v>0</v>
      </c>
      <c r="S37" s="3592"/>
      <c r="T37" s="3592">
        <f>G37</f>
        <v>0</v>
      </c>
      <c r="U37" s="3592"/>
      <c r="V37" s="3592">
        <f>I37</f>
        <v>0</v>
      </c>
      <c r="W37" s="3592"/>
      <c r="X37" s="1497"/>
      <c r="Y37" s="1516"/>
      <c r="Z37" s="1497"/>
      <c r="AA37" s="1497"/>
      <c r="AB37" s="1497"/>
      <c r="AC37" s="1497"/>
    </row>
    <row r="38" spans="1:29" ht="15.75" thickBot="1">
      <c r="A38" s="609" t="s">
        <v>2741</v>
      </c>
      <c r="B38" s="877"/>
      <c r="C38" s="2477" t="e">
        <f>R39</f>
        <v>#DIV/0!</v>
      </c>
      <c r="D38" s="3014" t="s">
        <v>2972</v>
      </c>
      <c r="E38" s="2478" t="e">
        <f>R38</f>
        <v>#DIV/0!</v>
      </c>
      <c r="F38" s="3015"/>
      <c r="G38" s="2477" t="e">
        <f>T38</f>
        <v>#DIV/0!</v>
      </c>
      <c r="H38" s="3015"/>
      <c r="I38" s="2478" t="e">
        <f>V38</f>
        <v>#DIV/0!</v>
      </c>
      <c r="J38" s="3015"/>
      <c r="K38" s="3023">
        <f>F38+H38+J38</f>
        <v>0</v>
      </c>
      <c r="L38" s="2027"/>
      <c r="M38" s="2028"/>
      <c r="N38" s="2028"/>
      <c r="O38" s="2028"/>
      <c r="P38" s="3474" t="str">
        <f>A38</f>
        <v>比较价格（元/平方米）</v>
      </c>
      <c r="Q38" s="3474"/>
      <c r="R38" s="3592" t="e">
        <f>IF(F1="售价",ROUND(PRODUCT(R37,AA7:AA36),0),ROUND(PRODUCT(R37,AA7:AA36),1))</f>
        <v>#DIV/0!</v>
      </c>
      <c r="S38" s="3592"/>
      <c r="T38" s="3592" t="e">
        <f>IF(F1="售价",ROUND(PRODUCT(T37,AB7:AB36),0),ROUND(PRODUCT(T37,AB7:AB36),1))</f>
        <v>#DIV/0!</v>
      </c>
      <c r="U38" s="3592"/>
      <c r="V38" s="3592" t="e">
        <f>IF(F1="售价",ROUND(PRODUCT(V37,AC7:AC36),0),ROUND(PRODUCT(V37,AC7:AC36),1))</f>
        <v>#DIV/0!</v>
      </c>
      <c r="W38" s="3592"/>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471" t="str">
        <f>A39</f>
        <v>估价对象XX用房的比较价格（楼面单价，元/平方米）</v>
      </c>
      <c r="Q39" s="3472"/>
      <c r="R39" s="3591" t="e">
        <f>IF(F1="售价",ROUND(IF(D38="简单平均",AVERAGE(R38:W38),R38*F38+T38*H38+V38*J38),0),ROUND(IF(D38="简单平均",AVERAGE(R38:V38),R38*F38+T38*H38+V38*J38),1))</f>
        <v>#DIV/0!</v>
      </c>
      <c r="S39" s="3591"/>
      <c r="T39" s="3591"/>
      <c r="U39" s="3591"/>
      <c r="V39" s="3591"/>
      <c r="W39" s="3591"/>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2020-12</v>
      </c>
      <c r="D48" s="2522">
        <f>EDATE(C48,-1)</f>
        <v>44136</v>
      </c>
      <c r="E48" s="2522">
        <f t="shared" ref="E48:O48" si="16">EDATE(D48,-1)</f>
        <v>44105</v>
      </c>
      <c r="F48" s="2522">
        <f t="shared" si="16"/>
        <v>44075</v>
      </c>
      <c r="G48" s="2522">
        <f t="shared" si="16"/>
        <v>44044</v>
      </c>
      <c r="H48" s="2522">
        <f t="shared" si="16"/>
        <v>44013</v>
      </c>
      <c r="I48" s="2522">
        <f t="shared" si="16"/>
        <v>43983</v>
      </c>
      <c r="J48" s="2522">
        <f t="shared" si="16"/>
        <v>43952</v>
      </c>
      <c r="K48" s="2522">
        <f t="shared" si="16"/>
        <v>43922</v>
      </c>
      <c r="L48" s="2522">
        <f t="shared" si="16"/>
        <v>43891</v>
      </c>
      <c r="M48" s="2522">
        <f t="shared" si="16"/>
        <v>43862</v>
      </c>
      <c r="N48" s="2522">
        <f t="shared" si="16"/>
        <v>43831</v>
      </c>
      <c r="O48" s="2522">
        <f t="shared" si="16"/>
        <v>43800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0" t="s">
        <v>792</v>
      </c>
      <c r="D4" s="3481"/>
      <c r="E4" s="3514" t="s">
        <v>793</v>
      </c>
      <c r="F4" s="3515"/>
      <c r="G4" s="3480" t="s">
        <v>794</v>
      </c>
      <c r="H4" s="3481"/>
      <c r="I4" s="3480" t="s">
        <v>795</v>
      </c>
      <c r="J4" s="3481"/>
      <c r="K4" s="508" t="s">
        <v>796</v>
      </c>
      <c r="L4" s="2016"/>
      <c r="M4" s="2017"/>
      <c r="N4" s="2017"/>
      <c r="O4" s="2017"/>
      <c r="P4" s="3482" t="s">
        <v>797</v>
      </c>
      <c r="Q4" s="3483"/>
      <c r="R4" s="3488" t="s">
        <v>793</v>
      </c>
      <c r="S4" s="3489"/>
      <c r="T4" s="3488" t="s">
        <v>794</v>
      </c>
      <c r="U4" s="3489"/>
      <c r="V4" s="3475" t="s">
        <v>795</v>
      </c>
      <c r="W4" s="3475"/>
      <c r="X4" s="1502"/>
      <c r="Y4" s="3488" t="s">
        <v>797</v>
      </c>
      <c r="Z4" s="3489"/>
      <c r="AA4" s="3477" t="s">
        <v>793</v>
      </c>
      <c r="AB4" s="3478" t="s">
        <v>794</v>
      </c>
      <c r="AC4" s="3477" t="s">
        <v>795</v>
      </c>
    </row>
    <row r="5" spans="1:29" ht="15">
      <c r="A5" s="509"/>
      <c r="B5" s="510"/>
      <c r="C5" s="3496" t="s">
        <v>2898</v>
      </c>
      <c r="D5" s="3497"/>
      <c r="E5" s="3516" t="s">
        <v>2899</v>
      </c>
      <c r="F5" s="3517"/>
      <c r="G5" s="3496" t="s">
        <v>2900</v>
      </c>
      <c r="H5" s="3497"/>
      <c r="I5" s="3496" t="s">
        <v>2901</v>
      </c>
      <c r="J5" s="3497"/>
      <c r="K5" s="508"/>
      <c r="L5" s="2016"/>
      <c r="M5" s="2017"/>
      <c r="N5" s="2017"/>
      <c r="O5" s="2017"/>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6"/>
      <c r="M6" s="2017"/>
      <c r="N6" s="2017"/>
      <c r="O6" s="2017"/>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44186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5" t="s">
        <v>524</v>
      </c>
      <c r="Q7" s="3507"/>
      <c r="R7" s="1503" t="s">
        <v>8</v>
      </c>
      <c r="S7" s="1504">
        <f t="shared" ref="S7:S14" si="0">F7</f>
        <v>0</v>
      </c>
      <c r="T7" s="1503" t="s">
        <v>8</v>
      </c>
      <c r="U7" s="1504">
        <f t="shared" ref="U7:U14" si="1">H7</f>
        <v>0</v>
      </c>
      <c r="V7" s="1503" t="s">
        <v>8</v>
      </c>
      <c r="W7" s="1504">
        <f t="shared" ref="W7:W14"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5" t="s">
        <v>527</v>
      </c>
      <c r="Q8" s="3506"/>
      <c r="R8" s="1503" t="s">
        <v>8</v>
      </c>
      <c r="S8" s="1504">
        <f t="shared" si="0"/>
        <v>0</v>
      </c>
      <c r="T8" s="1503" t="s">
        <v>8</v>
      </c>
      <c r="U8" s="1504">
        <f t="shared" si="1"/>
        <v>0</v>
      </c>
      <c r="V8" s="1503" t="s">
        <v>8</v>
      </c>
      <c r="W8" s="1504">
        <f t="shared" si="2"/>
        <v>0</v>
      </c>
      <c r="X8" s="1505"/>
      <c r="Y8" s="3505" t="s">
        <v>527</v>
      </c>
      <c r="Z8" s="350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4"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4"/>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8" t="s">
        <v>534</v>
      </c>
      <c r="Q14" s="1507" t="str">
        <f t="shared" si="6"/>
        <v>交通便捷度</v>
      </c>
      <c r="R14" s="1508" t="s">
        <v>8</v>
      </c>
      <c r="S14" s="1509">
        <f t="shared" si="0"/>
        <v>100</v>
      </c>
      <c r="T14" s="1508" t="s">
        <v>8</v>
      </c>
      <c r="U14" s="1509">
        <f t="shared" si="1"/>
        <v>100</v>
      </c>
      <c r="V14" s="1508" t="s">
        <v>8</v>
      </c>
      <c r="W14" s="1509">
        <f t="shared" si="2"/>
        <v>100</v>
      </c>
      <c r="X14" s="1502"/>
      <c r="Y14" s="350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9"/>
      <c r="Q15" s="1507"/>
      <c r="R15" s="1508"/>
      <c r="S15" s="1509"/>
      <c r="T15" s="1508"/>
      <c r="U15" s="1509"/>
      <c r="V15" s="1508"/>
      <c r="W15" s="1509"/>
      <c r="X15" s="1502"/>
      <c r="Y15" s="3509"/>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9"/>
      <c r="Q16" s="1507" t="str">
        <f>B16</f>
        <v>公共配套设施</v>
      </c>
      <c r="R16" s="1508" t="s">
        <v>8</v>
      </c>
      <c r="S16" s="1509">
        <f>F16</f>
        <v>100</v>
      </c>
      <c r="T16" s="1508" t="s">
        <v>8</v>
      </c>
      <c r="U16" s="1509">
        <f>H16</f>
        <v>100</v>
      </c>
      <c r="V16" s="1508" t="s">
        <v>8</v>
      </c>
      <c r="W16" s="1509">
        <f>J16</f>
        <v>100</v>
      </c>
      <c r="X16" s="1502"/>
      <c r="Y16" s="350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9"/>
      <c r="Q17" s="1507"/>
      <c r="R17" s="1508"/>
      <c r="S17" s="1509"/>
      <c r="T17" s="1508"/>
      <c r="U17" s="1509"/>
      <c r="V17" s="1508"/>
      <c r="W17" s="1509"/>
      <c r="X17" s="1502"/>
      <c r="Y17" s="3509"/>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9"/>
      <c r="Q18" s="2430" t="str">
        <f>B18</f>
        <v>基础设施水平</v>
      </c>
      <c r="R18" s="1508" t="s">
        <v>8</v>
      </c>
      <c r="S18" s="1509">
        <f>F18</f>
        <v>100</v>
      </c>
      <c r="T18" s="1508" t="s">
        <v>8</v>
      </c>
      <c r="U18" s="1509">
        <f>H18</f>
        <v>100</v>
      </c>
      <c r="V18" s="1508" t="s">
        <v>8</v>
      </c>
      <c r="W18" s="1509">
        <f>J18</f>
        <v>100</v>
      </c>
      <c r="X18" s="2432"/>
      <c r="Y18" s="350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9"/>
      <c r="Q19" s="2430"/>
      <c r="R19" s="1508"/>
      <c r="S19" s="1509"/>
      <c r="T19" s="1508"/>
      <c r="U19" s="1509"/>
      <c r="V19" s="1508"/>
      <c r="W19" s="1509"/>
      <c r="X19" s="2432"/>
      <c r="Y19" s="3509"/>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9"/>
      <c r="Q20" s="1507" t="str">
        <f>B20</f>
        <v>自然及人文环境</v>
      </c>
      <c r="R20" s="1508" t="s">
        <v>8</v>
      </c>
      <c r="S20" s="1509">
        <f>F20</f>
        <v>100</v>
      </c>
      <c r="T20" s="1508" t="s">
        <v>8</v>
      </c>
      <c r="U20" s="1509">
        <f>H20</f>
        <v>100</v>
      </c>
      <c r="V20" s="1508" t="s">
        <v>8</v>
      </c>
      <c r="W20" s="1509">
        <f>J20</f>
        <v>100</v>
      </c>
      <c r="X20" s="1502"/>
      <c r="Y20" s="350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9"/>
      <c r="Q21" s="1507"/>
      <c r="R21" s="1508"/>
      <c r="S21" s="1509"/>
      <c r="T21" s="1508"/>
      <c r="U21" s="1509"/>
      <c r="V21" s="1508"/>
      <c r="W21" s="1509"/>
      <c r="X21" s="1502"/>
      <c r="Y21" s="350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9"/>
      <c r="Q22" s="1507" t="str">
        <f>B22</f>
        <v>楼层</v>
      </c>
      <c r="R22" s="1508" t="s">
        <v>8</v>
      </c>
      <c r="S22" s="1509">
        <f>F22</f>
        <v>100</v>
      </c>
      <c r="T22" s="1508" t="s">
        <v>8</v>
      </c>
      <c r="U22" s="1509">
        <f>H22</f>
        <v>100</v>
      </c>
      <c r="V22" s="1508" t="s">
        <v>8</v>
      </c>
      <c r="W22" s="1509">
        <f>J22</f>
        <v>100</v>
      </c>
      <c r="X22" s="1502"/>
      <c r="Y22" s="350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9"/>
      <c r="Q23" s="1507">
        <f>B23</f>
        <v>111</v>
      </c>
      <c r="R23" s="1508" t="s">
        <v>8</v>
      </c>
      <c r="S23" s="1509">
        <f>F23</f>
        <v>100</v>
      </c>
      <c r="T23" s="1508" t="s">
        <v>8</v>
      </c>
      <c r="U23" s="1509">
        <f>H23</f>
        <v>100</v>
      </c>
      <c r="V23" s="1508" t="s">
        <v>8</v>
      </c>
      <c r="W23" s="1509">
        <f>J23</f>
        <v>100</v>
      </c>
      <c r="X23" s="1502"/>
      <c r="Y23" s="350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9"/>
      <c r="Q24" s="1507">
        <f t="shared" ref="Q24:Q34" si="11">B24</f>
        <v>111</v>
      </c>
      <c r="R24" s="1508" t="s">
        <v>8</v>
      </c>
      <c r="S24" s="1509">
        <f>F24</f>
        <v>100</v>
      </c>
      <c r="T24" s="1508" t="s">
        <v>8</v>
      </c>
      <c r="U24" s="1509">
        <f>H24</f>
        <v>100</v>
      </c>
      <c r="V24" s="1508" t="s">
        <v>8</v>
      </c>
      <c r="W24" s="1509">
        <f>J24</f>
        <v>100</v>
      </c>
      <c r="X24" s="1502"/>
      <c r="Y24" s="350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9"/>
      <c r="Q25" s="1134">
        <f t="shared" si="11"/>
        <v>111</v>
      </c>
      <c r="R25" s="1503" t="s">
        <v>8</v>
      </c>
      <c r="S25" s="1504">
        <f>F25</f>
        <v>100</v>
      </c>
      <c r="T25" s="1503" t="s">
        <v>8</v>
      </c>
      <c r="U25" s="1504">
        <f>H25</f>
        <v>100</v>
      </c>
      <c r="V25" s="1503" t="s">
        <v>8</v>
      </c>
      <c r="W25" s="1504">
        <f>J25</f>
        <v>100</v>
      </c>
      <c r="X25" s="1505"/>
      <c r="Y25" s="3509"/>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1"/>
      <c r="Q27" s="1536" t="str">
        <f t="shared" si="11"/>
        <v>成新率</v>
      </c>
      <c r="R27" s="1512" t="s">
        <v>8</v>
      </c>
      <c r="S27" s="1513" t="e">
        <f t="shared" si="12"/>
        <v>#N/A</v>
      </c>
      <c r="T27" s="1512" t="s">
        <v>8</v>
      </c>
      <c r="U27" s="1513" t="e">
        <f t="shared" si="13"/>
        <v>#N/A</v>
      </c>
      <c r="V27" s="1512" t="s">
        <v>8</v>
      </c>
      <c r="W27" s="1513" t="e">
        <f t="shared" si="14"/>
        <v>#N/A</v>
      </c>
      <c r="X27" s="1514"/>
      <c r="Y27" s="351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1"/>
      <c r="Q28" s="1507" t="str">
        <f t="shared" si="11"/>
        <v>物业等级</v>
      </c>
      <c r="R28" s="1508" t="s">
        <v>8</v>
      </c>
      <c r="S28" s="1509">
        <f t="shared" si="12"/>
        <v>100</v>
      </c>
      <c r="T28" s="1508" t="s">
        <v>8</v>
      </c>
      <c r="U28" s="1509">
        <f t="shared" si="13"/>
        <v>100</v>
      </c>
      <c r="V28" s="1508" t="s">
        <v>8</v>
      </c>
      <c r="W28" s="1509">
        <f t="shared" si="14"/>
        <v>100</v>
      </c>
      <c r="X28" s="1502"/>
      <c r="Y28" s="351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1"/>
      <c r="Q29" s="1507" t="str">
        <f t="shared" si="11"/>
        <v>有无电梯</v>
      </c>
      <c r="R29" s="1508" t="s">
        <v>8</v>
      </c>
      <c r="S29" s="1509">
        <f t="shared" si="12"/>
        <v>100</v>
      </c>
      <c r="T29" s="1508" t="s">
        <v>8</v>
      </c>
      <c r="U29" s="1509">
        <f t="shared" si="13"/>
        <v>100</v>
      </c>
      <c r="V29" s="1508" t="s">
        <v>8</v>
      </c>
      <c r="W29" s="1509">
        <f t="shared" si="14"/>
        <v>100</v>
      </c>
      <c r="X29" s="1502"/>
      <c r="Y29" s="351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1"/>
      <c r="Q30" s="1507" t="str">
        <f t="shared" si="11"/>
        <v>建筑面积</v>
      </c>
      <c r="R30" s="1508" t="s">
        <v>8</v>
      </c>
      <c r="S30" s="1509" t="e">
        <f t="shared" si="12"/>
        <v>#N/A</v>
      </c>
      <c r="T30" s="1508" t="s">
        <v>8</v>
      </c>
      <c r="U30" s="1509" t="e">
        <f t="shared" si="13"/>
        <v>#N/A</v>
      </c>
      <c r="V30" s="1508" t="s">
        <v>8</v>
      </c>
      <c r="W30" s="1509" t="e">
        <f t="shared" si="14"/>
        <v>#N/A</v>
      </c>
      <c r="X30" s="1502"/>
      <c r="Y30" s="351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1"/>
      <c r="Q31" s="1134" t="str">
        <f t="shared" si="11"/>
        <v>是否封闭</v>
      </c>
      <c r="R31" s="1503" t="s">
        <v>8</v>
      </c>
      <c r="S31" s="1504">
        <f t="shared" si="12"/>
        <v>100</v>
      </c>
      <c r="T31" s="1503" t="s">
        <v>8</v>
      </c>
      <c r="U31" s="1504">
        <f t="shared" si="13"/>
        <v>100</v>
      </c>
      <c r="V31" s="1503" t="s">
        <v>8</v>
      </c>
      <c r="W31" s="1504">
        <f t="shared" si="14"/>
        <v>100</v>
      </c>
      <c r="X31" s="1505"/>
      <c r="Y31" s="351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1" t="s">
        <v>544</v>
      </c>
      <c r="Q32" s="1507">
        <f t="shared" si="11"/>
        <v>111</v>
      </c>
      <c r="R32" s="1508" t="s">
        <v>8</v>
      </c>
      <c r="S32" s="1509">
        <f t="shared" si="12"/>
        <v>100</v>
      </c>
      <c r="T32" s="1508" t="s">
        <v>8</v>
      </c>
      <c r="U32" s="1509">
        <f t="shared" si="13"/>
        <v>100</v>
      </c>
      <c r="V32" s="1508" t="s">
        <v>8</v>
      </c>
      <c r="W32" s="1509">
        <f t="shared" si="14"/>
        <v>100</v>
      </c>
      <c r="X32" s="1502"/>
      <c r="Y32" s="351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1"/>
      <c r="Q33" s="1507">
        <f t="shared" si="11"/>
        <v>111</v>
      </c>
      <c r="R33" s="1508" t="s">
        <v>8</v>
      </c>
      <c r="S33" s="1509">
        <f t="shared" si="12"/>
        <v>100</v>
      </c>
      <c r="T33" s="1508" t="s">
        <v>8</v>
      </c>
      <c r="U33" s="1509">
        <f t="shared" si="13"/>
        <v>100</v>
      </c>
      <c r="V33" s="1508" t="s">
        <v>8</v>
      </c>
      <c r="W33" s="1509">
        <f t="shared" si="14"/>
        <v>100</v>
      </c>
      <c r="X33" s="1502"/>
      <c r="Y33" s="351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1"/>
      <c r="Q34" s="1507">
        <f t="shared" si="11"/>
        <v>111</v>
      </c>
      <c r="R34" s="1508" t="s">
        <v>8</v>
      </c>
      <c r="S34" s="1509">
        <f t="shared" si="12"/>
        <v>100</v>
      </c>
      <c r="T34" s="1508" t="s">
        <v>8</v>
      </c>
      <c r="U34" s="1509">
        <f t="shared" si="13"/>
        <v>100</v>
      </c>
      <c r="V34" s="1508" t="s">
        <v>8</v>
      </c>
      <c r="W34" s="1509">
        <f t="shared" si="14"/>
        <v>100</v>
      </c>
      <c r="X34" s="1502"/>
      <c r="Y34" s="3511"/>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4" t="str">
        <f>A35</f>
        <v>成交单价（元/平方米）</v>
      </c>
      <c r="Q35" s="3474"/>
      <c r="R35" s="3592">
        <f>E35</f>
        <v>0</v>
      </c>
      <c r="S35" s="3592"/>
      <c r="T35" s="3592">
        <f>G35</f>
        <v>0</v>
      </c>
      <c r="U35" s="3592"/>
      <c r="V35" s="3592">
        <f>I35</f>
        <v>0</v>
      </c>
      <c r="W35" s="3592"/>
      <c r="X35" s="1497"/>
      <c r="Y35" s="1516"/>
      <c r="Z35" s="1497"/>
      <c r="AA35" s="1497"/>
      <c r="AB35" s="1497"/>
      <c r="AC35" s="1497"/>
    </row>
    <row r="36" spans="1:29" ht="15.75" thickBot="1">
      <c r="A36" s="609" t="s">
        <v>2741</v>
      </c>
      <c r="B36" s="877"/>
      <c r="C36" s="2477" t="e">
        <f>R37</f>
        <v>#DIV/0!</v>
      </c>
      <c r="D36" s="3014" t="s">
        <v>2973</v>
      </c>
      <c r="E36" s="2478" t="e">
        <f>R36</f>
        <v>#DIV/0!</v>
      </c>
      <c r="F36" s="3015"/>
      <c r="G36" s="2477" t="e">
        <f>T36</f>
        <v>#DIV/0!</v>
      </c>
      <c r="H36" s="3015"/>
      <c r="I36" s="2478" t="e">
        <f>V36</f>
        <v>#DIV/0!</v>
      </c>
      <c r="J36" s="3015"/>
      <c r="K36" s="3023">
        <f>F36+H36+J36</f>
        <v>0</v>
      </c>
      <c r="L36" s="2027"/>
      <c r="M36" s="2028"/>
      <c r="N36" s="2017"/>
      <c r="O36" s="2028"/>
      <c r="P36" s="3474" t="str">
        <f>A36</f>
        <v>比较价格（元/平方米）</v>
      </c>
      <c r="Q36" s="3474"/>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471" t="str">
        <f>A37</f>
        <v>估价对象XX用房的比较价格（楼面单价，元/平方米）</v>
      </c>
      <c r="Q37" s="3472"/>
      <c r="R37" s="3591" t="e">
        <f>IF(F1="售价",ROUND(IF(D36="简单平均",AVERAGE(R36:W36),R36*F36+T36*H36+V36*J36),0),ROUND(IF(D36="简单平均",AVERAGE(R36:V36),R36*F36+T36*H36+V36*J36),1))</f>
        <v>#DIV/0!</v>
      </c>
      <c r="S37" s="3591"/>
      <c r="T37" s="3591"/>
      <c r="U37" s="3591"/>
      <c r="V37" s="3591"/>
      <c r="W37" s="3591"/>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2020-12</v>
      </c>
      <c r="D46" s="2522">
        <f>EDATE(C46,-1)</f>
        <v>44136</v>
      </c>
      <c r="E46" s="2522">
        <f t="shared" ref="E46:O46" si="16">EDATE(D46,-1)</f>
        <v>44105</v>
      </c>
      <c r="F46" s="2522">
        <f t="shared" si="16"/>
        <v>44075</v>
      </c>
      <c r="G46" s="2522">
        <f t="shared" si="16"/>
        <v>44044</v>
      </c>
      <c r="H46" s="2522">
        <f t="shared" si="16"/>
        <v>44013</v>
      </c>
      <c r="I46" s="2522">
        <f t="shared" si="16"/>
        <v>43983</v>
      </c>
      <c r="J46" s="2522">
        <f t="shared" si="16"/>
        <v>43952</v>
      </c>
      <c r="K46" s="2522">
        <f t="shared" si="16"/>
        <v>43922</v>
      </c>
      <c r="L46" s="2522">
        <f t="shared" si="16"/>
        <v>43891</v>
      </c>
      <c r="M46" s="2522">
        <f t="shared" si="16"/>
        <v>43862</v>
      </c>
      <c r="N46" s="2522">
        <f t="shared" si="16"/>
        <v>43831</v>
      </c>
      <c r="O46" s="2522">
        <f t="shared" si="16"/>
        <v>43800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N47" sqref="N47"/>
      <selection pane="bottomLeft" activeCell="N47" sqref="N4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1" t="s">
        <v>2292</v>
      </c>
      <c r="D1" s="3602"/>
      <c r="E1" s="3602"/>
      <c r="F1" s="3602"/>
      <c r="G1" s="3602"/>
      <c r="H1" s="3602"/>
      <c r="I1" s="3602"/>
      <c r="J1" s="3602"/>
      <c r="K1" s="3602"/>
      <c r="L1" s="3602"/>
      <c r="M1" s="3602"/>
      <c r="N1" s="3602"/>
      <c r="O1" s="3602"/>
      <c r="P1" s="3602"/>
      <c r="Q1" s="3602"/>
      <c r="R1" s="3602"/>
      <c r="S1" s="3603"/>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8" t="s">
        <v>20</v>
      </c>
      <c r="D22" s="3599"/>
      <c r="E22" s="3599"/>
      <c r="F22" s="3599"/>
      <c r="G22" s="3599"/>
      <c r="H22" s="3599"/>
      <c r="I22" s="3599"/>
      <c r="J22" s="3599"/>
      <c r="K22" s="3599"/>
      <c r="L22" s="3599"/>
      <c r="M22" s="3599"/>
      <c r="N22" s="3599"/>
      <c r="O22" s="3599"/>
      <c r="P22" s="3599"/>
      <c r="Q22" s="3600"/>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51022平方米。根据《建设工程规划许可证》[]、《出让合同》[]，估价对象规划建筑面积为142861.6平方米。</v>
      </c>
    </row>
    <row r="7" spans="1:4" ht="93.75">
      <c r="A7" s="2591"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2020年12月21日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根据《国有土地使用证》[]，估价对象（分摊）出让国有建设用地使用权面积为51022平方米。根据《建设工程规划许可证》[]、《出让合同》[]，估价对象规划建筑面积为142861.6平方米。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2020年12月21日，在规划利用条件下、设定土地开发程度为红线外“七通”、宗地内场地平整，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44186</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topLeftCell="A25" workbookViewId="0">
      <selection activeCell="I42" sqref="I42"/>
    </sheetView>
  </sheetViews>
  <sheetFormatPr defaultRowHeight="13.5"/>
  <cols>
    <col min="2" max="2" width="7" customWidth="1"/>
    <col min="4" max="4" width="9.625" customWidth="1"/>
    <col min="5" max="5" width="8.375" customWidth="1"/>
    <col min="9" max="9" width="9.375" customWidth="1"/>
    <col min="10" max="10" width="11.75" customWidth="1"/>
    <col min="11" max="11" width="11.375" customWidth="1"/>
    <col min="13" max="14" width="11.25" customWidth="1"/>
    <col min="15" max="15" width="7.625" customWidth="1"/>
    <col min="16" max="16" width="10.125" customWidth="1"/>
  </cols>
  <sheetData>
    <row r="1" spans="1:16" s="2656" customFormat="1">
      <c r="A1" s="2656" t="s">
        <v>3014</v>
      </c>
      <c r="B1" s="2656" t="s">
        <v>3015</v>
      </c>
      <c r="C1" s="2656" t="s">
        <v>3016</v>
      </c>
      <c r="D1" s="2656" t="s">
        <v>3042</v>
      </c>
      <c r="E1" s="2656" t="s">
        <v>3017</v>
      </c>
      <c r="F1" s="2656" t="s">
        <v>3018</v>
      </c>
      <c r="G1" s="2656" t="s">
        <v>3019</v>
      </c>
      <c r="H1" s="2656" t="s">
        <v>3020</v>
      </c>
      <c r="I1" s="2656" t="s">
        <v>2021</v>
      </c>
      <c r="J1" s="2656" t="s">
        <v>3021</v>
      </c>
      <c r="K1" s="2656" t="s">
        <v>3022</v>
      </c>
      <c r="L1" s="2656" t="s">
        <v>3023</v>
      </c>
      <c r="M1" s="2656" t="s">
        <v>3024</v>
      </c>
      <c r="N1" s="2656" t="s">
        <v>3025</v>
      </c>
      <c r="O1" s="2656" t="s">
        <v>3026</v>
      </c>
      <c r="P1" s="2656" t="s">
        <v>3027</v>
      </c>
    </row>
    <row r="2" spans="1:16" s="2656" customFormat="1">
      <c r="A2" s="2656" t="s">
        <v>3043</v>
      </c>
      <c r="B2" s="2656" t="s">
        <v>3044</v>
      </c>
      <c r="C2" s="2656" t="s">
        <v>3041</v>
      </c>
      <c r="D2" s="2656" t="s">
        <v>3045</v>
      </c>
      <c r="E2" s="2656" t="s">
        <v>3046</v>
      </c>
      <c r="F2" s="2656" t="s">
        <v>3047</v>
      </c>
      <c r="G2" s="2656">
        <v>9444</v>
      </c>
      <c r="H2" s="2656">
        <v>28332</v>
      </c>
      <c r="I2" s="2656" t="s">
        <v>3048</v>
      </c>
      <c r="J2" s="2656" t="s">
        <v>3049</v>
      </c>
      <c r="K2" s="2656" t="s">
        <v>3050</v>
      </c>
      <c r="L2" s="2656">
        <v>835</v>
      </c>
      <c r="M2" s="2656">
        <v>58.94</v>
      </c>
      <c r="N2" s="2656">
        <v>294.72000000000003</v>
      </c>
      <c r="O2" s="2656">
        <v>0</v>
      </c>
      <c r="P2" s="2656" t="s">
        <v>3040</v>
      </c>
    </row>
    <row r="3" spans="1:16" s="3294" customFormat="1">
      <c r="A3" s="3294" t="s">
        <v>3051</v>
      </c>
      <c r="B3" s="3294" t="s">
        <v>3044</v>
      </c>
      <c r="C3" s="3294" t="s">
        <v>3041</v>
      </c>
      <c r="D3" s="3294" t="s">
        <v>3043</v>
      </c>
      <c r="E3" s="3294" t="s">
        <v>3046</v>
      </c>
      <c r="F3" s="3294" t="s">
        <v>3047</v>
      </c>
      <c r="G3" s="3294">
        <v>51974</v>
      </c>
      <c r="H3" s="3294">
        <v>145527</v>
      </c>
      <c r="I3" s="3294" t="s">
        <v>3052</v>
      </c>
      <c r="J3" s="3294" t="s">
        <v>3053</v>
      </c>
      <c r="K3" s="3294" t="s">
        <v>3054</v>
      </c>
      <c r="L3" s="3294">
        <v>17922</v>
      </c>
      <c r="M3" s="3294">
        <v>229.88</v>
      </c>
      <c r="N3" s="3294">
        <v>1231.51</v>
      </c>
      <c r="O3" s="3294">
        <v>0</v>
      </c>
      <c r="P3" s="3294" t="s">
        <v>3028</v>
      </c>
    </row>
    <row r="4" spans="1:16" s="3285" customFormat="1">
      <c r="A4" s="3285" t="s">
        <v>3055</v>
      </c>
      <c r="B4" s="3285" t="s">
        <v>3044</v>
      </c>
      <c r="C4" s="3285" t="s">
        <v>3041</v>
      </c>
      <c r="D4" s="3285" t="s">
        <v>3045</v>
      </c>
      <c r="E4" s="3285" t="s">
        <v>3046</v>
      </c>
      <c r="F4" s="3285" t="s">
        <v>3047</v>
      </c>
      <c r="G4" s="3285">
        <v>45045</v>
      </c>
      <c r="H4" s="3285">
        <v>126126</v>
      </c>
      <c r="I4" s="3285" t="s">
        <v>3052</v>
      </c>
      <c r="J4" s="3285" t="s">
        <v>3053</v>
      </c>
      <c r="K4" s="3285" t="s">
        <v>3056</v>
      </c>
      <c r="L4" s="3285">
        <v>64255</v>
      </c>
      <c r="M4" s="3285">
        <v>950.97</v>
      </c>
      <c r="N4" s="3285">
        <v>5094.51</v>
      </c>
      <c r="O4" s="3285">
        <v>38.909999999999997</v>
      </c>
      <c r="P4" s="3285" t="s">
        <v>3040</v>
      </c>
    </row>
    <row r="5" spans="1:16" s="3296" customFormat="1">
      <c r="A5" s="3296" t="s">
        <v>3057</v>
      </c>
      <c r="B5" s="3296" t="s">
        <v>3044</v>
      </c>
      <c r="C5" s="3296" t="s">
        <v>3041</v>
      </c>
      <c r="D5" s="3296" t="s">
        <v>3058</v>
      </c>
      <c r="E5" s="3296" t="s">
        <v>3046</v>
      </c>
      <c r="F5" s="3296" t="s">
        <v>3047</v>
      </c>
      <c r="G5" s="3296">
        <v>74200</v>
      </c>
      <c r="H5" s="3296">
        <v>215180</v>
      </c>
      <c r="I5" s="3296" t="s">
        <v>3059</v>
      </c>
      <c r="J5" s="3296" t="s">
        <v>3060</v>
      </c>
      <c r="K5" s="3296" t="s">
        <v>3061</v>
      </c>
      <c r="L5" s="3296">
        <v>28594</v>
      </c>
      <c r="M5" s="3296">
        <v>256.91000000000003</v>
      </c>
      <c r="N5" s="3296">
        <v>1328.83</v>
      </c>
      <c r="O5" s="3296">
        <v>0</v>
      </c>
      <c r="P5" s="3296" t="s">
        <v>3028</v>
      </c>
    </row>
    <row r="6" spans="1:16" s="3297" customFormat="1">
      <c r="A6" s="3297" t="s">
        <v>3062</v>
      </c>
      <c r="B6" s="3297" t="s">
        <v>3044</v>
      </c>
      <c r="C6" s="3297" t="s">
        <v>3041</v>
      </c>
      <c r="D6" s="3297" t="s">
        <v>3063</v>
      </c>
      <c r="E6" s="3297" t="s">
        <v>3046</v>
      </c>
      <c r="F6" s="3297" t="s">
        <v>3064</v>
      </c>
      <c r="G6" s="3297">
        <v>156840.75</v>
      </c>
      <c r="H6" s="3297">
        <v>420000</v>
      </c>
      <c r="I6" s="3297" t="s">
        <v>3065</v>
      </c>
      <c r="J6" s="3297" t="s">
        <v>3060</v>
      </c>
      <c r="K6" s="3297" t="s">
        <v>3066</v>
      </c>
      <c r="L6" s="3297">
        <v>87150</v>
      </c>
      <c r="M6" s="3297">
        <v>370.44</v>
      </c>
      <c r="N6" s="3297">
        <v>2075</v>
      </c>
      <c r="O6" s="3297">
        <v>0</v>
      </c>
      <c r="P6" s="3297" t="s">
        <v>3030</v>
      </c>
    </row>
    <row r="7" spans="1:16" s="3296" customFormat="1">
      <c r="A7" s="3296" t="s">
        <v>3067</v>
      </c>
      <c r="B7" s="3296" t="s">
        <v>3044</v>
      </c>
      <c r="C7" s="3296" t="s">
        <v>3041</v>
      </c>
      <c r="D7" s="3296" t="s">
        <v>3045</v>
      </c>
      <c r="E7" s="3296" t="s">
        <v>3046</v>
      </c>
      <c r="F7" s="3296" t="s">
        <v>3047</v>
      </c>
      <c r="G7" s="3296">
        <v>84820</v>
      </c>
      <c r="H7" s="3296">
        <v>254460</v>
      </c>
      <c r="I7" s="3296" t="s">
        <v>3048</v>
      </c>
      <c r="J7" s="3296" t="s">
        <v>3068</v>
      </c>
      <c r="K7" s="3296" t="s">
        <v>3069</v>
      </c>
      <c r="L7" s="3296">
        <v>60076</v>
      </c>
      <c r="M7" s="3296">
        <v>472.18</v>
      </c>
      <c r="N7" s="3296">
        <v>2360.92</v>
      </c>
      <c r="O7" s="3296">
        <v>0</v>
      </c>
      <c r="P7" s="3296" t="s">
        <v>3040</v>
      </c>
    </row>
    <row r="8" spans="1:16" s="3297" customFormat="1">
      <c r="A8" s="3297" t="s">
        <v>3070</v>
      </c>
      <c r="B8" s="3297" t="s">
        <v>3044</v>
      </c>
      <c r="C8" s="3297" t="s">
        <v>3041</v>
      </c>
      <c r="D8" s="3297" t="s">
        <v>3071</v>
      </c>
      <c r="E8" s="3297" t="s">
        <v>3046</v>
      </c>
      <c r="F8" s="3297" t="s">
        <v>3072</v>
      </c>
      <c r="G8" s="3297">
        <v>35566.18</v>
      </c>
      <c r="H8" s="3297">
        <v>143488.70000000001</v>
      </c>
      <c r="I8" s="3297" t="s">
        <v>3073</v>
      </c>
      <c r="J8" s="3297" t="s">
        <v>3074</v>
      </c>
      <c r="K8" s="3297" t="s">
        <v>3075</v>
      </c>
      <c r="L8" s="3297">
        <v>104450</v>
      </c>
      <c r="M8" s="3297">
        <v>1957.85</v>
      </c>
      <c r="N8" s="3297">
        <v>7279.31</v>
      </c>
      <c r="O8" s="3297">
        <v>25.16</v>
      </c>
      <c r="P8" s="3297" t="s">
        <v>3040</v>
      </c>
    </row>
    <row r="9" spans="1:16" s="3297" customFormat="1">
      <c r="A9" s="3297" t="s">
        <v>3076</v>
      </c>
      <c r="B9" s="3297" t="s">
        <v>3044</v>
      </c>
      <c r="C9" s="3297" t="s">
        <v>3041</v>
      </c>
      <c r="D9" s="3297" t="s">
        <v>3077</v>
      </c>
      <c r="E9" s="3297" t="s">
        <v>3046</v>
      </c>
      <c r="F9" s="3297" t="s">
        <v>3078</v>
      </c>
      <c r="G9" s="3297">
        <v>28281.48</v>
      </c>
      <c r="H9" s="3297">
        <v>98987</v>
      </c>
      <c r="I9" s="3297" t="s">
        <v>3073</v>
      </c>
      <c r="J9" s="3297" t="s">
        <v>3079</v>
      </c>
      <c r="K9" s="3297" t="s">
        <v>3080</v>
      </c>
      <c r="L9" s="3297">
        <v>1713</v>
      </c>
      <c r="M9" s="3297">
        <v>40.380000000000003</v>
      </c>
      <c r="N9" s="3297">
        <v>173.05</v>
      </c>
      <c r="O9" s="3297">
        <v>-96.91</v>
      </c>
      <c r="P9" s="3297" t="s">
        <v>3030</v>
      </c>
    </row>
    <row r="10" spans="1:16" s="3297" customFormat="1">
      <c r="A10" s="3297" t="s">
        <v>3081</v>
      </c>
      <c r="B10" s="3297" t="s">
        <v>3044</v>
      </c>
      <c r="C10" s="3297" t="s">
        <v>3041</v>
      </c>
      <c r="D10" s="3297" t="s">
        <v>3071</v>
      </c>
      <c r="E10" s="3297" t="s">
        <v>3046</v>
      </c>
      <c r="F10" s="3297" t="s">
        <v>3082</v>
      </c>
      <c r="G10" s="3297">
        <v>106237.26</v>
      </c>
      <c r="H10" s="3297">
        <v>329335.51</v>
      </c>
      <c r="I10" s="3297" t="s">
        <v>3083</v>
      </c>
      <c r="J10" s="3297" t="s">
        <v>3079</v>
      </c>
      <c r="K10" s="3297" t="s">
        <v>3084</v>
      </c>
      <c r="L10" s="3297">
        <v>309000</v>
      </c>
      <c r="M10" s="3297">
        <v>1939.06</v>
      </c>
      <c r="N10" s="3297">
        <v>9382.5300000000007</v>
      </c>
      <c r="O10" s="3297">
        <v>36.729999999999997</v>
      </c>
      <c r="P10" s="3297" t="s">
        <v>3040</v>
      </c>
    </row>
    <row r="11" spans="1:16" s="3296" customFormat="1">
      <c r="A11" s="3296" t="s">
        <v>3085</v>
      </c>
      <c r="B11" s="3296" t="s">
        <v>3044</v>
      </c>
      <c r="C11" s="3296" t="s">
        <v>3041</v>
      </c>
      <c r="D11" s="3296" t="s">
        <v>3043</v>
      </c>
      <c r="E11" s="3296" t="s">
        <v>3046</v>
      </c>
      <c r="F11" s="3296" t="s">
        <v>3086</v>
      </c>
      <c r="G11" s="3296">
        <v>27552</v>
      </c>
      <c r="H11" s="3296">
        <v>85411.199999999997</v>
      </c>
      <c r="I11" s="3296" t="s">
        <v>3083</v>
      </c>
      <c r="J11" s="3296" t="s">
        <v>3087</v>
      </c>
      <c r="K11" s="3296" t="s">
        <v>3088</v>
      </c>
      <c r="L11" s="3296">
        <v>8348</v>
      </c>
      <c r="M11" s="3296">
        <v>201.99</v>
      </c>
      <c r="N11" s="3296">
        <v>977.38</v>
      </c>
      <c r="O11" s="3296">
        <v>2.4500000000000002</v>
      </c>
      <c r="P11" s="3296" t="s">
        <v>3040</v>
      </c>
    </row>
    <row r="12" spans="1:16" s="3296" customFormat="1">
      <c r="A12" s="3296" t="s">
        <v>3089</v>
      </c>
      <c r="B12" s="3296" t="s">
        <v>3044</v>
      </c>
      <c r="C12" s="3296" t="s">
        <v>3041</v>
      </c>
      <c r="D12" s="3296" t="s">
        <v>3043</v>
      </c>
      <c r="E12" s="3296" t="s">
        <v>3046</v>
      </c>
      <c r="F12" s="3296" t="s">
        <v>3090</v>
      </c>
      <c r="G12" s="3296">
        <v>171314</v>
      </c>
      <c r="H12" s="3296">
        <v>579109</v>
      </c>
      <c r="I12" s="3296" t="s">
        <v>3091</v>
      </c>
      <c r="J12" s="3296" t="s">
        <v>3087</v>
      </c>
      <c r="K12" s="3296" t="s">
        <v>3088</v>
      </c>
      <c r="L12" s="3296">
        <v>61855</v>
      </c>
      <c r="M12" s="3296">
        <v>240.71</v>
      </c>
      <c r="N12" s="3296">
        <v>1068.0999999999999</v>
      </c>
      <c r="O12" s="3296">
        <v>0</v>
      </c>
      <c r="P12" s="3296" t="s">
        <v>3040</v>
      </c>
    </row>
    <row r="13" spans="1:16" s="3296" customFormat="1">
      <c r="A13" s="3296" t="s">
        <v>3092</v>
      </c>
      <c r="B13" s="3296" t="s">
        <v>3044</v>
      </c>
      <c r="C13" s="3296" t="s">
        <v>3041</v>
      </c>
      <c r="D13" s="3296" t="s">
        <v>3045</v>
      </c>
      <c r="E13" s="3296" t="s">
        <v>3046</v>
      </c>
      <c r="F13" s="3296" t="s">
        <v>3086</v>
      </c>
      <c r="G13" s="3296">
        <v>66851</v>
      </c>
      <c r="H13" s="3296">
        <v>280774.2</v>
      </c>
      <c r="I13" s="3296" t="s">
        <v>3093</v>
      </c>
      <c r="J13" s="3296" t="s">
        <v>3094</v>
      </c>
      <c r="K13" s="3296" t="s">
        <v>3095</v>
      </c>
      <c r="L13" s="3296">
        <v>39545</v>
      </c>
      <c r="M13" s="3296">
        <v>394.36</v>
      </c>
      <c r="N13" s="3296">
        <v>1408.43</v>
      </c>
      <c r="O13" s="3296">
        <v>0</v>
      </c>
      <c r="P13" s="3296" t="s">
        <v>3040</v>
      </c>
    </row>
    <row r="14" spans="1:16" s="3296" customFormat="1">
      <c r="A14" s="3296" t="s">
        <v>3092</v>
      </c>
      <c r="B14" s="3296" t="s">
        <v>3044</v>
      </c>
      <c r="C14" s="3296" t="s">
        <v>3041</v>
      </c>
      <c r="D14" s="3296" t="s">
        <v>3045</v>
      </c>
      <c r="E14" s="3296" t="s">
        <v>3046</v>
      </c>
      <c r="F14" s="3296" t="s">
        <v>3047</v>
      </c>
      <c r="G14" s="3296">
        <v>74687</v>
      </c>
      <c r="H14" s="3296">
        <v>230410</v>
      </c>
      <c r="I14" s="3296" t="s">
        <v>3096</v>
      </c>
      <c r="J14" s="3296" t="s">
        <v>3094</v>
      </c>
      <c r="K14" s="3296" t="s">
        <v>3095</v>
      </c>
      <c r="L14" s="3296">
        <v>24151</v>
      </c>
      <c r="M14" s="3296">
        <v>215.58</v>
      </c>
      <c r="N14" s="3296">
        <v>1048.17</v>
      </c>
      <c r="O14" s="3296">
        <v>0</v>
      </c>
      <c r="P14" s="3296" t="s">
        <v>3040</v>
      </c>
    </row>
    <row r="15" spans="1:16" s="3296" customFormat="1">
      <c r="A15" s="3296" t="s">
        <v>3043</v>
      </c>
      <c r="B15" s="3296" t="s">
        <v>3044</v>
      </c>
      <c r="C15" s="3296" t="s">
        <v>3041</v>
      </c>
      <c r="D15" s="3296" t="s">
        <v>3043</v>
      </c>
      <c r="E15" s="3296" t="s">
        <v>3046</v>
      </c>
      <c r="F15" s="3296" t="s">
        <v>3086</v>
      </c>
      <c r="G15" s="3296">
        <v>129194</v>
      </c>
      <c r="H15" s="3296">
        <v>416876.3</v>
      </c>
      <c r="I15" s="3296" t="s">
        <v>3097</v>
      </c>
      <c r="J15" s="3296" t="s">
        <v>3098</v>
      </c>
      <c r="K15" s="3296" t="s">
        <v>3099</v>
      </c>
      <c r="L15" s="3296">
        <v>95723</v>
      </c>
      <c r="M15" s="3296">
        <v>493.95</v>
      </c>
      <c r="N15" s="3296">
        <v>2296.19</v>
      </c>
      <c r="O15" s="3296">
        <v>0</v>
      </c>
      <c r="P15" s="3296" t="s">
        <v>3040</v>
      </c>
    </row>
    <row r="16" spans="1:16" s="3286" customFormat="1">
      <c r="A16" s="3286" t="s">
        <v>3043</v>
      </c>
      <c r="B16" s="3286" t="s">
        <v>3044</v>
      </c>
      <c r="C16" s="3286" t="s">
        <v>3041</v>
      </c>
      <c r="D16" s="3286" t="s">
        <v>3043</v>
      </c>
      <c r="E16" s="3286" t="s">
        <v>3046</v>
      </c>
      <c r="F16" s="3286" t="s">
        <v>3047</v>
      </c>
      <c r="G16" s="3286">
        <v>26903</v>
      </c>
      <c r="H16" s="3286">
        <v>94160.5</v>
      </c>
      <c r="I16" s="3286" t="s">
        <v>3073</v>
      </c>
      <c r="J16" s="3286" t="s">
        <v>3098</v>
      </c>
      <c r="K16" s="3286" t="s">
        <v>3099</v>
      </c>
      <c r="L16" s="3286">
        <v>21964</v>
      </c>
      <c r="M16" s="3286">
        <v>544.28</v>
      </c>
      <c r="N16" s="3286">
        <v>2332.61</v>
      </c>
      <c r="O16" s="3286">
        <v>0</v>
      </c>
      <c r="P16" s="3286" t="s">
        <v>3040</v>
      </c>
    </row>
    <row r="17" spans="1:16" s="3296" customFormat="1">
      <c r="A17" s="3296" t="s">
        <v>3100</v>
      </c>
      <c r="B17" s="3296" t="s">
        <v>3044</v>
      </c>
      <c r="C17" s="3296" t="s">
        <v>3041</v>
      </c>
      <c r="D17" s="3296" t="s">
        <v>3045</v>
      </c>
      <c r="E17" s="3296" t="s">
        <v>3046</v>
      </c>
      <c r="F17" s="3296" t="s">
        <v>3047</v>
      </c>
      <c r="G17" s="3296">
        <v>11149</v>
      </c>
      <c r="H17" s="3296">
        <v>44596</v>
      </c>
      <c r="I17" s="3296" t="s">
        <v>3101</v>
      </c>
      <c r="J17" s="3296" t="s">
        <v>3102</v>
      </c>
      <c r="K17" s="3296" t="s">
        <v>3103</v>
      </c>
      <c r="L17" s="3296">
        <v>8129</v>
      </c>
      <c r="M17" s="3296">
        <v>486.08</v>
      </c>
      <c r="N17" s="3296">
        <v>1822.8</v>
      </c>
      <c r="O17" s="3296">
        <v>0</v>
      </c>
      <c r="P17" s="3296" t="s">
        <v>3040</v>
      </c>
    </row>
    <row r="18" spans="1:16" s="3296" customFormat="1">
      <c r="A18" s="3296" t="s">
        <v>3043</v>
      </c>
      <c r="B18" s="3296" t="s">
        <v>3044</v>
      </c>
      <c r="C18" s="3296" t="s">
        <v>3041</v>
      </c>
      <c r="D18" s="3296" t="s">
        <v>3043</v>
      </c>
      <c r="E18" s="3296" t="s">
        <v>3046</v>
      </c>
      <c r="F18" s="3296" t="s">
        <v>3086</v>
      </c>
      <c r="G18" s="3296">
        <v>105551</v>
      </c>
      <c r="H18" s="3296">
        <v>433707</v>
      </c>
      <c r="I18" s="3296" t="s">
        <v>3104</v>
      </c>
      <c r="J18" s="3296" t="s">
        <v>3105</v>
      </c>
      <c r="K18" s="3296" t="s">
        <v>3106</v>
      </c>
      <c r="L18" s="3296">
        <v>23549</v>
      </c>
      <c r="M18" s="3296">
        <v>148.74</v>
      </c>
      <c r="N18" s="3296">
        <v>542.97</v>
      </c>
      <c r="O18" s="3296">
        <v>0</v>
      </c>
      <c r="P18" s="3296" t="s">
        <v>3040</v>
      </c>
    </row>
    <row r="19" spans="1:16" s="3296" customFormat="1">
      <c r="A19" s="3296" t="s">
        <v>3043</v>
      </c>
      <c r="B19" s="3296" t="s">
        <v>3044</v>
      </c>
      <c r="C19" s="3296" t="s">
        <v>3041</v>
      </c>
      <c r="D19" s="3296" t="s">
        <v>3043</v>
      </c>
      <c r="E19" s="3296" t="s">
        <v>3046</v>
      </c>
      <c r="F19" s="3296" t="s">
        <v>3086</v>
      </c>
      <c r="G19" s="3296">
        <v>84797</v>
      </c>
      <c r="H19" s="3296">
        <v>323712</v>
      </c>
      <c r="I19" s="3296" t="s">
        <v>3107</v>
      </c>
      <c r="J19" s="3296" t="s">
        <v>3105</v>
      </c>
      <c r="K19" s="3296" t="s">
        <v>3108</v>
      </c>
      <c r="L19" s="3296">
        <v>26573</v>
      </c>
      <c r="M19" s="3296">
        <v>208.91</v>
      </c>
      <c r="N19" s="3296">
        <v>820.87</v>
      </c>
      <c r="O19" s="3296">
        <v>0</v>
      </c>
      <c r="P19" s="3296" t="s">
        <v>3040</v>
      </c>
    </row>
    <row r="20" spans="1:16" s="3604" customFormat="1">
      <c r="A20" s="3604" t="s">
        <v>3043</v>
      </c>
      <c r="B20" s="3604" t="s">
        <v>3044</v>
      </c>
      <c r="C20" s="3604" t="s">
        <v>3041</v>
      </c>
      <c r="D20" s="3604" t="s">
        <v>3043</v>
      </c>
      <c r="E20" s="3604" t="s">
        <v>3046</v>
      </c>
      <c r="F20" s="3604" t="s">
        <v>3086</v>
      </c>
      <c r="G20" s="3604">
        <v>42522</v>
      </c>
      <c r="H20" s="3604">
        <v>161584</v>
      </c>
      <c r="I20" s="3604" t="s">
        <v>3109</v>
      </c>
      <c r="J20" s="3604" t="s">
        <v>3110</v>
      </c>
      <c r="K20" s="3604" t="s">
        <v>3111</v>
      </c>
      <c r="L20" s="3604">
        <v>56934</v>
      </c>
      <c r="M20" s="3604">
        <v>892.62</v>
      </c>
      <c r="N20" s="3604">
        <v>3523.48</v>
      </c>
      <c r="O20" s="3604">
        <v>0</v>
      </c>
      <c r="P20" s="3604" t="s">
        <v>3040</v>
      </c>
    </row>
    <row r="21" spans="1:16" s="3297" customFormat="1">
      <c r="A21" s="3297" t="s">
        <v>3112</v>
      </c>
      <c r="B21" s="3297" t="s">
        <v>3044</v>
      </c>
      <c r="C21" s="3297" t="s">
        <v>3041</v>
      </c>
      <c r="D21" s="3297" t="s">
        <v>3063</v>
      </c>
      <c r="E21" s="3297" t="s">
        <v>3046</v>
      </c>
      <c r="F21" s="3297" t="s">
        <v>3113</v>
      </c>
      <c r="G21" s="3297">
        <v>3291.03</v>
      </c>
      <c r="H21" s="3297">
        <v>11516</v>
      </c>
      <c r="I21" s="3297" t="s">
        <v>3073</v>
      </c>
      <c r="J21" s="3297" t="s">
        <v>3110</v>
      </c>
      <c r="K21" s="3297" t="s">
        <v>3114</v>
      </c>
      <c r="L21" s="3297">
        <v>6840</v>
      </c>
      <c r="M21" s="3297">
        <v>1385.58</v>
      </c>
      <c r="N21" s="3297">
        <v>5939.56</v>
      </c>
      <c r="O21" s="3297">
        <v>0</v>
      </c>
      <c r="P21" s="3297" t="s">
        <v>3030</v>
      </c>
    </row>
    <row r="22" spans="1:16" s="3297" customFormat="1">
      <c r="A22" s="3297" t="s">
        <v>3115</v>
      </c>
      <c r="B22" s="3297" t="s">
        <v>3044</v>
      </c>
      <c r="C22" s="3297" t="s">
        <v>3041</v>
      </c>
      <c r="D22" s="3297" t="s">
        <v>3077</v>
      </c>
      <c r="E22" s="3297" t="s">
        <v>3046</v>
      </c>
      <c r="F22" s="3297" t="s">
        <v>3047</v>
      </c>
      <c r="G22" s="3297">
        <v>38290.68</v>
      </c>
      <c r="H22" s="3297">
        <v>114873</v>
      </c>
      <c r="I22" s="3297" t="s">
        <v>3048</v>
      </c>
      <c r="J22" s="3297" t="s">
        <v>3110</v>
      </c>
      <c r="K22" s="3297" t="s">
        <v>3116</v>
      </c>
      <c r="L22" s="3297">
        <v>89420</v>
      </c>
      <c r="M22" s="3297">
        <v>1556.86</v>
      </c>
      <c r="N22" s="3297">
        <v>7784.25</v>
      </c>
      <c r="O22" s="3297">
        <v>45.59</v>
      </c>
      <c r="P22" s="3297" t="s">
        <v>3030</v>
      </c>
    </row>
    <row r="23" spans="1:16" s="3296" customFormat="1">
      <c r="A23" s="3296" t="s">
        <v>3117</v>
      </c>
      <c r="B23" s="3296" t="s">
        <v>3044</v>
      </c>
      <c r="C23" s="3296" t="s">
        <v>3041</v>
      </c>
      <c r="D23" s="3296" t="s">
        <v>2798</v>
      </c>
      <c r="E23" s="3296" t="s">
        <v>3046</v>
      </c>
      <c r="F23" s="3296" t="s">
        <v>3086</v>
      </c>
      <c r="G23" s="3296">
        <v>79031</v>
      </c>
      <c r="H23" s="3296">
        <v>259163</v>
      </c>
      <c r="I23" s="3296" t="s">
        <v>3118</v>
      </c>
      <c r="J23" s="3296" t="s">
        <v>3119</v>
      </c>
      <c r="K23" s="3296" t="s">
        <v>3120</v>
      </c>
      <c r="L23" s="3296">
        <v>32394</v>
      </c>
      <c r="M23" s="3296">
        <v>273.26</v>
      </c>
      <c r="N23" s="3296">
        <v>1249.95</v>
      </c>
      <c r="O23" s="3296">
        <v>0</v>
      </c>
      <c r="P23" s="3296" t="s">
        <v>3040</v>
      </c>
    </row>
    <row r="24" spans="1:16" s="3605" customFormat="1">
      <c r="A24" s="3605" t="s">
        <v>3121</v>
      </c>
      <c r="B24" s="3605" t="s">
        <v>3044</v>
      </c>
      <c r="C24" s="3605" t="s">
        <v>3041</v>
      </c>
      <c r="D24" s="3605" t="s">
        <v>3122</v>
      </c>
      <c r="E24" s="3605" t="s">
        <v>3046</v>
      </c>
      <c r="F24" s="3605" t="s">
        <v>3086</v>
      </c>
      <c r="G24" s="3605">
        <v>47227</v>
      </c>
      <c r="H24" s="3605">
        <v>141681</v>
      </c>
      <c r="I24" s="3605" t="s">
        <v>3048</v>
      </c>
      <c r="J24" s="3605" t="s">
        <v>3123</v>
      </c>
      <c r="K24" s="3605" t="s">
        <v>3124</v>
      </c>
      <c r="L24" s="3605">
        <v>47480</v>
      </c>
      <c r="M24" s="3605">
        <v>670.24</v>
      </c>
      <c r="N24" s="3605">
        <v>3351.19</v>
      </c>
      <c r="O24" s="3605">
        <v>14.46</v>
      </c>
      <c r="P24" s="3605" t="s">
        <v>3030</v>
      </c>
    </row>
    <row r="25" spans="1:16" s="2656" customFormat="1">
      <c r="A25" s="2656" t="s">
        <v>3125</v>
      </c>
      <c r="B25" s="2656" t="s">
        <v>3044</v>
      </c>
      <c r="C25" s="2656" t="s">
        <v>3041</v>
      </c>
      <c r="D25" s="2656" t="s">
        <v>3126</v>
      </c>
      <c r="E25" s="2656" t="s">
        <v>3046</v>
      </c>
      <c r="F25" s="2656" t="s">
        <v>3113</v>
      </c>
      <c r="G25" s="2656">
        <v>1387.44</v>
      </c>
      <c r="H25" s="2656">
        <v>3190.1</v>
      </c>
      <c r="I25" s="2656" t="s">
        <v>3127</v>
      </c>
      <c r="J25" s="2656" t="s">
        <v>3128</v>
      </c>
      <c r="K25" s="2656" t="s">
        <v>3129</v>
      </c>
      <c r="L25" s="2656">
        <v>1436</v>
      </c>
      <c r="M25" s="2656">
        <v>690</v>
      </c>
      <c r="N25" s="2656">
        <v>4501.43</v>
      </c>
      <c r="O25" s="2656">
        <v>0</v>
      </c>
      <c r="P25" s="2656" t="s">
        <v>3029</v>
      </c>
    </row>
    <row r="26" spans="1:16" s="2656" customFormat="1">
      <c r="A26" s="2656" t="s">
        <v>3125</v>
      </c>
      <c r="B26" s="2656" t="s">
        <v>3044</v>
      </c>
      <c r="C26" s="2656" t="s">
        <v>3041</v>
      </c>
      <c r="D26" s="2656" t="s">
        <v>3126</v>
      </c>
      <c r="E26" s="2656" t="s">
        <v>3046</v>
      </c>
      <c r="F26" s="2656" t="s">
        <v>3113</v>
      </c>
      <c r="G26" s="2656">
        <v>1421.31</v>
      </c>
      <c r="H26" s="2656">
        <v>3268.3</v>
      </c>
      <c r="I26" s="2656" t="s">
        <v>3127</v>
      </c>
      <c r="J26" s="2656" t="s">
        <v>3128</v>
      </c>
      <c r="K26" s="2656" t="s">
        <v>3129</v>
      </c>
      <c r="L26" s="2656">
        <v>1471</v>
      </c>
      <c r="M26" s="2656">
        <v>689.97</v>
      </c>
      <c r="N26" s="2656">
        <v>4500.8100000000004</v>
      </c>
      <c r="O26" s="2656">
        <v>0</v>
      </c>
      <c r="P26" s="2656" t="s">
        <v>3029</v>
      </c>
    </row>
    <row r="27" spans="1:16" s="3285" customFormat="1">
      <c r="A27" s="3285" t="s">
        <v>3130</v>
      </c>
      <c r="B27" s="3285" t="s">
        <v>3044</v>
      </c>
      <c r="C27" s="3285" t="s">
        <v>3041</v>
      </c>
      <c r="D27" s="3285" t="s">
        <v>3045</v>
      </c>
      <c r="E27" s="3285" t="s">
        <v>3046</v>
      </c>
      <c r="F27" s="3285" t="s">
        <v>3086</v>
      </c>
      <c r="G27" s="3285">
        <v>142028</v>
      </c>
      <c r="H27" s="3285">
        <v>426084</v>
      </c>
      <c r="I27" s="3285" t="s">
        <v>3131</v>
      </c>
      <c r="J27" s="3285" t="s">
        <v>3128</v>
      </c>
      <c r="K27" s="3285" t="s">
        <v>3132</v>
      </c>
      <c r="L27" s="3285">
        <v>83462</v>
      </c>
      <c r="M27" s="3285">
        <v>391.76</v>
      </c>
      <c r="N27" s="3285">
        <v>1958.81</v>
      </c>
      <c r="O27" s="3285">
        <v>0</v>
      </c>
      <c r="P27" s="3285" t="s">
        <v>3040</v>
      </c>
    </row>
    <row r="28" spans="1:16" s="2656" customFormat="1">
      <c r="A28" s="2656" t="s">
        <v>3133</v>
      </c>
      <c r="B28" s="2656" t="s">
        <v>3044</v>
      </c>
      <c r="C28" s="2656" t="s">
        <v>3041</v>
      </c>
      <c r="D28" s="2656" t="s">
        <v>3077</v>
      </c>
      <c r="E28" s="2656" t="s">
        <v>3046</v>
      </c>
      <c r="F28" s="2656" t="s">
        <v>3134</v>
      </c>
      <c r="G28" s="2656">
        <v>18025.55</v>
      </c>
      <c r="H28" s="2656">
        <v>63091</v>
      </c>
      <c r="I28" s="2656" t="s">
        <v>3073</v>
      </c>
      <c r="J28" s="2656" t="s">
        <v>3135</v>
      </c>
      <c r="K28" s="2656" t="s">
        <v>3136</v>
      </c>
      <c r="L28" s="2656">
        <v>47200</v>
      </c>
      <c r="M28" s="2656">
        <v>1745.67</v>
      </c>
      <c r="N28" s="2656">
        <v>7481.26</v>
      </c>
      <c r="O28" s="2656">
        <v>36.020000000000003</v>
      </c>
      <c r="P28" s="2656" t="s">
        <v>3030</v>
      </c>
    </row>
    <row r="29" spans="1:16" s="2656" customFormat="1">
      <c r="A29" s="2656" t="s">
        <v>3045</v>
      </c>
      <c r="B29" s="2656" t="s">
        <v>3044</v>
      </c>
      <c r="C29" s="2656" t="s">
        <v>3041</v>
      </c>
      <c r="D29" s="2656" t="s">
        <v>3045</v>
      </c>
      <c r="E29" s="2656" t="s">
        <v>3046</v>
      </c>
      <c r="F29" s="2656" t="s">
        <v>3086</v>
      </c>
      <c r="G29" s="2656">
        <v>145363</v>
      </c>
      <c r="H29" s="2656">
        <v>470334</v>
      </c>
      <c r="I29" s="2656" t="s">
        <v>3137</v>
      </c>
      <c r="J29" s="2656" t="s">
        <v>3138</v>
      </c>
      <c r="K29" s="2656" t="s">
        <v>3139</v>
      </c>
      <c r="L29" s="2656">
        <v>122490</v>
      </c>
      <c r="M29" s="2656">
        <v>561.77</v>
      </c>
      <c r="N29" s="2656">
        <v>2604.3200000000002</v>
      </c>
      <c r="O29" s="2656">
        <v>0</v>
      </c>
      <c r="P29" s="2656" t="s">
        <v>3040</v>
      </c>
    </row>
    <row r="30" spans="1:16" s="3286" customFormat="1">
      <c r="A30" s="3286" t="s">
        <v>3140</v>
      </c>
      <c r="B30" s="3286" t="s">
        <v>3044</v>
      </c>
      <c r="C30" s="3286" t="s">
        <v>3041</v>
      </c>
      <c r="D30" s="3286" t="s">
        <v>3043</v>
      </c>
      <c r="E30" s="3286" t="s">
        <v>3046</v>
      </c>
      <c r="F30" s="3286" t="s">
        <v>3086</v>
      </c>
      <c r="G30" s="3286">
        <v>111472</v>
      </c>
      <c r="H30" s="3286">
        <v>390153</v>
      </c>
      <c r="I30" s="3286" t="s">
        <v>3073</v>
      </c>
      <c r="J30" s="3286" t="s">
        <v>3141</v>
      </c>
      <c r="K30" s="3286" t="s">
        <v>3142</v>
      </c>
      <c r="L30" s="3286">
        <v>81621</v>
      </c>
      <c r="M30" s="3286">
        <v>488.14</v>
      </c>
      <c r="N30" s="3286">
        <v>2092.0300000000002</v>
      </c>
      <c r="O30" s="3286">
        <v>0</v>
      </c>
      <c r="P30" s="3286" t="s">
        <v>3040</v>
      </c>
    </row>
    <row r="31" spans="1:16" s="2656" customFormat="1">
      <c r="A31" s="2656" t="s">
        <v>3045</v>
      </c>
      <c r="B31" s="2656" t="s">
        <v>3044</v>
      </c>
      <c r="C31" s="2656" t="s">
        <v>3041</v>
      </c>
      <c r="D31" s="2656" t="s">
        <v>3045</v>
      </c>
      <c r="E31" s="2656" t="s">
        <v>3046</v>
      </c>
      <c r="F31" s="2656" t="s">
        <v>3086</v>
      </c>
      <c r="G31" s="2656">
        <v>122243</v>
      </c>
      <c r="H31" s="2656">
        <v>568519</v>
      </c>
      <c r="I31" s="2656" t="s">
        <v>3143</v>
      </c>
      <c r="J31" s="2656" t="s">
        <v>3141</v>
      </c>
      <c r="K31" s="2656" t="s">
        <v>3144</v>
      </c>
      <c r="L31" s="2656">
        <v>45530</v>
      </c>
      <c r="M31" s="2656">
        <v>248.3</v>
      </c>
      <c r="N31" s="2656">
        <v>800.85</v>
      </c>
      <c r="O31" s="2656">
        <v>0</v>
      </c>
      <c r="P31" s="2656" t="s">
        <v>3040</v>
      </c>
    </row>
    <row r="32" spans="1:16" s="3285" customFormat="1">
      <c r="A32" s="3285" t="s">
        <v>3145</v>
      </c>
      <c r="B32" s="3285" t="s">
        <v>3044</v>
      </c>
      <c r="C32" s="3285" t="s">
        <v>3041</v>
      </c>
      <c r="D32" s="3285" t="s">
        <v>3146</v>
      </c>
      <c r="E32" s="3285" t="s">
        <v>3046</v>
      </c>
      <c r="F32" s="3285" t="s">
        <v>3086</v>
      </c>
      <c r="G32" s="3285">
        <v>38167</v>
      </c>
      <c r="H32" s="3285">
        <v>91601</v>
      </c>
      <c r="I32" s="3285" t="s">
        <v>3147</v>
      </c>
      <c r="J32" s="3285" t="s">
        <v>3038</v>
      </c>
      <c r="K32" s="3285" t="s">
        <v>3148</v>
      </c>
      <c r="L32" s="3285">
        <v>51374</v>
      </c>
      <c r="M32" s="3285">
        <v>897.35</v>
      </c>
      <c r="N32" s="3285">
        <v>5608.44</v>
      </c>
      <c r="O32" s="3285">
        <v>83.65</v>
      </c>
      <c r="P32" s="3285" t="s">
        <v>3040</v>
      </c>
    </row>
    <row r="33" spans="1:16" s="3285" customFormat="1">
      <c r="A33" s="3285" t="s">
        <v>3149</v>
      </c>
      <c r="B33" s="3285" t="s">
        <v>3044</v>
      </c>
      <c r="C33" s="3285" t="s">
        <v>3041</v>
      </c>
      <c r="D33" s="3285" t="s">
        <v>3045</v>
      </c>
      <c r="E33" s="3285" t="s">
        <v>3046</v>
      </c>
      <c r="F33" s="3285" t="s">
        <v>3086</v>
      </c>
      <c r="G33" s="3285">
        <v>131923</v>
      </c>
      <c r="H33" s="3285">
        <v>520869</v>
      </c>
      <c r="I33" s="3285" t="s">
        <v>3150</v>
      </c>
      <c r="J33" s="3285" t="s">
        <v>3151</v>
      </c>
      <c r="K33" s="3285" t="s">
        <v>3152</v>
      </c>
      <c r="L33" s="3285">
        <v>57085</v>
      </c>
      <c r="M33" s="3285">
        <v>288.48</v>
      </c>
      <c r="N33" s="3285">
        <v>1095.96</v>
      </c>
      <c r="O33" s="3285">
        <v>1.06</v>
      </c>
      <c r="P33" s="3285" t="s">
        <v>3040</v>
      </c>
    </row>
    <row r="34" spans="1:16" s="2656" customFormat="1">
      <c r="A34" s="2656" t="s">
        <v>3153</v>
      </c>
      <c r="B34" s="2656" t="s">
        <v>3044</v>
      </c>
      <c r="C34" s="2656" t="s">
        <v>3041</v>
      </c>
      <c r="D34" s="2656" t="s">
        <v>3063</v>
      </c>
      <c r="E34" s="2656" t="s">
        <v>3046</v>
      </c>
      <c r="F34" s="2656" t="s">
        <v>3154</v>
      </c>
      <c r="G34" s="2656">
        <v>13534.03</v>
      </c>
      <c r="H34" s="2656">
        <v>40602.089999999997</v>
      </c>
      <c r="I34" s="2656" t="s">
        <v>3048</v>
      </c>
      <c r="J34" s="2656" t="s">
        <v>3155</v>
      </c>
      <c r="K34" s="2656" t="s">
        <v>3156</v>
      </c>
      <c r="L34" s="2656">
        <v>21632</v>
      </c>
      <c r="M34" s="2656">
        <v>1065.56</v>
      </c>
      <c r="N34" s="2656">
        <v>5327.8</v>
      </c>
      <c r="O34" s="2656">
        <v>0</v>
      </c>
      <c r="P34" s="2656" t="s">
        <v>3030</v>
      </c>
    </row>
    <row r="35" spans="1:16" s="3285" customFormat="1">
      <c r="A35" s="3285" t="s">
        <v>3130</v>
      </c>
      <c r="B35" s="3285" t="s">
        <v>3044</v>
      </c>
      <c r="C35" s="3285" t="s">
        <v>3041</v>
      </c>
      <c r="D35" s="3285" t="s">
        <v>3045</v>
      </c>
      <c r="E35" s="3285" t="s">
        <v>3046</v>
      </c>
      <c r="F35" s="3285" t="s">
        <v>3086</v>
      </c>
      <c r="G35" s="3285">
        <v>91776</v>
      </c>
      <c r="H35" s="3285">
        <v>285864</v>
      </c>
      <c r="I35" s="3285" t="s">
        <v>3157</v>
      </c>
      <c r="J35" s="3285" t="s">
        <v>3158</v>
      </c>
      <c r="K35" s="3285" t="s">
        <v>3159</v>
      </c>
      <c r="L35" s="3285">
        <v>52247</v>
      </c>
      <c r="M35" s="3285">
        <v>379.53</v>
      </c>
      <c r="N35" s="3285">
        <v>1827.69</v>
      </c>
      <c r="O35" s="3285">
        <v>0</v>
      </c>
      <c r="P35" s="3285" t="s">
        <v>3040</v>
      </c>
    </row>
    <row r="36" spans="1:16" s="2656" customFormat="1">
      <c r="A36" s="2656" t="s">
        <v>3160</v>
      </c>
      <c r="B36" s="2656" t="s">
        <v>3044</v>
      </c>
      <c r="C36" s="2656" t="s">
        <v>3041</v>
      </c>
      <c r="D36" s="2656" t="s">
        <v>3161</v>
      </c>
      <c r="E36" s="2656" t="s">
        <v>3046</v>
      </c>
      <c r="F36" s="2656" t="s">
        <v>3064</v>
      </c>
      <c r="G36" s="2656">
        <v>210000</v>
      </c>
      <c r="H36" s="2656">
        <v>279715</v>
      </c>
      <c r="I36" s="2656" t="s">
        <v>3162</v>
      </c>
      <c r="J36" s="2656" t="s">
        <v>3039</v>
      </c>
      <c r="K36" s="2656" t="s">
        <v>3163</v>
      </c>
      <c r="L36" s="2656">
        <v>41960</v>
      </c>
      <c r="M36" s="2656">
        <v>133.21</v>
      </c>
      <c r="N36" s="2656">
        <v>1500.09</v>
      </c>
      <c r="O36" s="2656">
        <v>0</v>
      </c>
      <c r="P36" s="2656" t="s">
        <v>3040</v>
      </c>
    </row>
    <row r="37" spans="1:16" s="3285" customFormat="1">
      <c r="A37" s="3285" t="s">
        <v>3100</v>
      </c>
      <c r="B37" s="3285" t="s">
        <v>3044</v>
      </c>
      <c r="C37" s="3285" t="s">
        <v>3041</v>
      </c>
      <c r="D37" s="3285" t="s">
        <v>3043</v>
      </c>
      <c r="E37" s="3285" t="s">
        <v>3046</v>
      </c>
      <c r="F37" s="3285" t="s">
        <v>3047</v>
      </c>
      <c r="G37" s="3285">
        <v>30507</v>
      </c>
      <c r="H37" s="3285">
        <v>91521</v>
      </c>
      <c r="I37" s="3285" t="s">
        <v>3048</v>
      </c>
      <c r="J37" s="3285" t="s">
        <v>3039</v>
      </c>
      <c r="K37" s="3285" t="s">
        <v>3164</v>
      </c>
      <c r="L37" s="3285">
        <v>15133</v>
      </c>
      <c r="M37" s="3285">
        <v>330.7</v>
      </c>
      <c r="N37" s="3285">
        <v>1653.5</v>
      </c>
      <c r="O37" s="3285">
        <v>39.69</v>
      </c>
      <c r="P37" s="3285" t="s">
        <v>3040</v>
      </c>
    </row>
    <row r="38" spans="1:16" s="2656" customFormat="1">
      <c r="A38" s="2656" t="s">
        <v>3165</v>
      </c>
      <c r="B38" s="2656" t="s">
        <v>3044</v>
      </c>
      <c r="C38" s="2656" t="s">
        <v>3041</v>
      </c>
      <c r="D38" s="2656" t="s">
        <v>3063</v>
      </c>
      <c r="E38" s="2656" t="s">
        <v>3046</v>
      </c>
      <c r="F38" s="2656" t="s">
        <v>3064</v>
      </c>
      <c r="G38" s="2656">
        <v>190000</v>
      </c>
      <c r="H38" s="2656">
        <v>259040</v>
      </c>
      <c r="I38" s="2656" t="s">
        <v>3166</v>
      </c>
      <c r="J38" s="2656" t="s">
        <v>3039</v>
      </c>
      <c r="K38" s="2656" t="s">
        <v>3167</v>
      </c>
      <c r="L38" s="2656">
        <v>43000</v>
      </c>
      <c r="M38" s="2656">
        <v>150.88</v>
      </c>
      <c r="N38" s="2656">
        <v>1659.98</v>
      </c>
      <c r="O38" s="2656">
        <v>0</v>
      </c>
      <c r="P38" s="2656" t="s">
        <v>3030</v>
      </c>
    </row>
    <row r="39" spans="1:16" s="2656" customFormat="1">
      <c r="A39" s="2656" t="s">
        <v>3168</v>
      </c>
      <c r="B39" s="2656" t="s">
        <v>3044</v>
      </c>
      <c r="C39" s="2656" t="s">
        <v>3041</v>
      </c>
      <c r="D39" s="2656" t="s">
        <v>3063</v>
      </c>
      <c r="E39" s="2656" t="s">
        <v>3046</v>
      </c>
      <c r="F39" s="2656" t="s">
        <v>3047</v>
      </c>
      <c r="G39" s="2656">
        <v>37576.04</v>
      </c>
      <c r="H39" s="2656">
        <v>105212</v>
      </c>
      <c r="I39" s="2656" t="s">
        <v>3052</v>
      </c>
      <c r="J39" s="2656" t="s">
        <v>3169</v>
      </c>
      <c r="K39" s="2656" t="s">
        <v>3170</v>
      </c>
      <c r="L39" s="2656">
        <v>53660</v>
      </c>
      <c r="M39" s="2656">
        <v>952.03</v>
      </c>
      <c r="N39" s="2656">
        <v>5100.18</v>
      </c>
      <c r="O39" s="2656">
        <v>0</v>
      </c>
      <c r="P39" s="2656" t="s">
        <v>3030</v>
      </c>
    </row>
    <row r="40" spans="1:16" s="3285" customFormat="1">
      <c r="A40" s="3285" t="s">
        <v>3171</v>
      </c>
      <c r="B40" s="3285" t="s">
        <v>3044</v>
      </c>
      <c r="C40" s="3285" t="s">
        <v>3041</v>
      </c>
      <c r="D40" s="3285" t="s">
        <v>3043</v>
      </c>
      <c r="E40" s="3285" t="s">
        <v>3046</v>
      </c>
      <c r="F40" s="3285" t="s">
        <v>3086</v>
      </c>
      <c r="G40" s="3285">
        <v>84782.3</v>
      </c>
      <c r="H40" s="3285">
        <v>296738.09999999998</v>
      </c>
      <c r="I40" s="3285" t="s">
        <v>3073</v>
      </c>
      <c r="J40" s="3285" t="s">
        <v>3172</v>
      </c>
      <c r="K40" s="3285" t="s">
        <v>3173</v>
      </c>
      <c r="L40" s="3285">
        <v>48867</v>
      </c>
      <c r="M40" s="3285">
        <v>384.25</v>
      </c>
      <c r="N40" s="3285">
        <v>1646.8</v>
      </c>
      <c r="O40" s="3285">
        <v>0</v>
      </c>
      <c r="P40" s="3285" t="s">
        <v>3040</v>
      </c>
    </row>
    <row r="41" spans="1:16" s="3285" customFormat="1">
      <c r="A41" s="3285" t="s">
        <v>3092</v>
      </c>
      <c r="B41" s="3285" t="s">
        <v>3044</v>
      </c>
      <c r="C41" s="3285" t="s">
        <v>3041</v>
      </c>
      <c r="D41" s="3285" t="s">
        <v>3043</v>
      </c>
      <c r="E41" s="3285" t="s">
        <v>3046</v>
      </c>
      <c r="F41" s="3285" t="s">
        <v>3086</v>
      </c>
      <c r="G41" s="3285">
        <v>11160</v>
      </c>
      <c r="H41" s="3285">
        <v>44640</v>
      </c>
      <c r="I41" s="3285" t="s">
        <v>3101</v>
      </c>
      <c r="J41" s="3285" t="s">
        <v>3172</v>
      </c>
      <c r="K41" s="3285" t="s">
        <v>3174</v>
      </c>
      <c r="L41" s="3285">
        <v>32174</v>
      </c>
      <c r="M41" s="3285">
        <v>1921.98</v>
      </c>
      <c r="N41" s="3285">
        <v>7207.43</v>
      </c>
      <c r="O41" s="3285">
        <v>0</v>
      </c>
      <c r="P41" s="3285" t="s">
        <v>3040</v>
      </c>
    </row>
    <row r="42" spans="1:16" s="3605" customFormat="1">
      <c r="A42" s="3605" t="s">
        <v>3085</v>
      </c>
      <c r="B42" s="3605" t="s">
        <v>3044</v>
      </c>
      <c r="C42" s="3605" t="s">
        <v>3041</v>
      </c>
      <c r="D42" s="3605" t="s">
        <v>3043</v>
      </c>
      <c r="E42" s="3605" t="s">
        <v>3046</v>
      </c>
      <c r="F42" s="3605" t="s">
        <v>3086</v>
      </c>
      <c r="G42" s="3605">
        <v>93035</v>
      </c>
      <c r="H42" s="3605">
        <v>478851</v>
      </c>
      <c r="I42" s="3605" t="s">
        <v>3175</v>
      </c>
      <c r="J42" s="3605" t="s">
        <v>3172</v>
      </c>
      <c r="K42" s="3605" t="s">
        <v>3176</v>
      </c>
      <c r="L42" s="3605">
        <v>139492</v>
      </c>
      <c r="M42" s="3605">
        <v>999.57</v>
      </c>
      <c r="N42" s="3605">
        <v>2913.05</v>
      </c>
      <c r="O42" s="3605">
        <v>0</v>
      </c>
      <c r="P42" s="3605" t="s">
        <v>3040</v>
      </c>
    </row>
    <row r="43" spans="1:16" s="2656" customFormat="1">
      <c r="A43" s="2656" t="s">
        <v>3045</v>
      </c>
      <c r="B43" s="2656" t="s">
        <v>3044</v>
      </c>
      <c r="C43" s="2656" t="s">
        <v>3041</v>
      </c>
      <c r="D43" s="2656" t="s">
        <v>3045</v>
      </c>
      <c r="E43" s="2656" t="s">
        <v>3046</v>
      </c>
      <c r="F43" s="2656" t="s">
        <v>3177</v>
      </c>
      <c r="G43" s="2656">
        <v>113225</v>
      </c>
      <c r="H43" s="2656">
        <v>541208</v>
      </c>
      <c r="I43" s="2656" t="s">
        <v>3178</v>
      </c>
      <c r="J43" s="2656" t="s">
        <v>3172</v>
      </c>
      <c r="K43" s="2656" t="s">
        <v>3179</v>
      </c>
      <c r="L43" s="2656">
        <v>60945</v>
      </c>
      <c r="M43" s="2656">
        <v>358.84</v>
      </c>
      <c r="N43" s="2656">
        <v>1126.08</v>
      </c>
      <c r="O43" s="2656">
        <v>0</v>
      </c>
      <c r="P43" s="2656" t="s">
        <v>3040</v>
      </c>
    </row>
    <row r="44" spans="1:16" s="3285" customFormat="1">
      <c r="A44" s="3285" t="s">
        <v>3085</v>
      </c>
      <c r="B44" s="3285" t="s">
        <v>3044</v>
      </c>
      <c r="C44" s="3285" t="s">
        <v>3041</v>
      </c>
      <c r="D44" s="3285" t="s">
        <v>3043</v>
      </c>
      <c r="E44" s="3285" t="s">
        <v>3046</v>
      </c>
      <c r="F44" s="3285" t="s">
        <v>3086</v>
      </c>
      <c r="G44" s="3285">
        <v>29078</v>
      </c>
      <c r="H44" s="3285">
        <v>130851</v>
      </c>
      <c r="I44" s="3285" t="s">
        <v>3180</v>
      </c>
      <c r="J44" s="3285" t="s">
        <v>3172</v>
      </c>
      <c r="K44" s="3285" t="s">
        <v>3181</v>
      </c>
      <c r="L44" s="3285">
        <v>77812</v>
      </c>
      <c r="M44" s="3285">
        <v>1783.98</v>
      </c>
      <c r="N44" s="3285">
        <v>5946.6</v>
      </c>
      <c r="O44" s="3285">
        <v>0</v>
      </c>
      <c r="P44" s="3285" t="s">
        <v>3040</v>
      </c>
    </row>
    <row r="45" spans="1:16" s="3286" customFormat="1">
      <c r="A45" s="3286" t="s">
        <v>3085</v>
      </c>
      <c r="B45" s="3286" t="s">
        <v>3044</v>
      </c>
      <c r="C45" s="3286" t="s">
        <v>3041</v>
      </c>
      <c r="D45" s="3286" t="s">
        <v>3043</v>
      </c>
      <c r="E45" s="3286" t="s">
        <v>3046</v>
      </c>
      <c r="F45" s="3286" t="s">
        <v>3086</v>
      </c>
      <c r="G45" s="3286">
        <v>96213</v>
      </c>
      <c r="H45" s="3286">
        <v>365824</v>
      </c>
      <c r="I45" s="3286" t="s">
        <v>3073</v>
      </c>
      <c r="J45" s="3286" t="s">
        <v>3172</v>
      </c>
      <c r="K45" s="3286" t="s">
        <v>3181</v>
      </c>
      <c r="L45" s="3286">
        <v>77812</v>
      </c>
      <c r="M45" s="3286">
        <v>539.16</v>
      </c>
      <c r="N45" s="3286">
        <v>2127.0300000000002</v>
      </c>
      <c r="O45" s="3286">
        <v>0</v>
      </c>
      <c r="P45" s="3286" t="s">
        <v>3040</v>
      </c>
    </row>
    <row r="46" spans="1:16" s="3285" customFormat="1">
      <c r="A46" s="3285" t="s">
        <v>3182</v>
      </c>
      <c r="B46" s="3285" t="s">
        <v>3044</v>
      </c>
      <c r="C46" s="3285" t="s">
        <v>3041</v>
      </c>
      <c r="D46" s="3285" t="s">
        <v>3043</v>
      </c>
      <c r="E46" s="3285" t="s">
        <v>3046</v>
      </c>
      <c r="F46" s="3285" t="s">
        <v>3183</v>
      </c>
      <c r="G46" s="3285">
        <v>2292.34</v>
      </c>
      <c r="H46" s="3285">
        <v>8023</v>
      </c>
      <c r="I46" s="3285" t="s">
        <v>3073</v>
      </c>
      <c r="J46" s="3285" t="s">
        <v>3184</v>
      </c>
      <c r="K46" s="3285" t="s">
        <v>3185</v>
      </c>
      <c r="L46" s="3285">
        <v>4430</v>
      </c>
      <c r="M46" s="3285">
        <v>1288.3499999999999</v>
      </c>
      <c r="N46" s="3285">
        <v>5521.63</v>
      </c>
      <c r="O46" s="3285">
        <v>0</v>
      </c>
      <c r="P46" s="3285" t="s">
        <v>3040</v>
      </c>
    </row>
    <row r="47" spans="1:16" s="2656" customFormat="1">
      <c r="A47" s="2656" t="s">
        <v>3186</v>
      </c>
      <c r="B47" s="2656" t="s">
        <v>3044</v>
      </c>
      <c r="C47" s="2656" t="s">
        <v>3041</v>
      </c>
      <c r="D47" s="2656" t="s">
        <v>3077</v>
      </c>
      <c r="E47" s="2656" t="s">
        <v>3046</v>
      </c>
      <c r="F47" s="2656" t="s">
        <v>3187</v>
      </c>
      <c r="G47" s="2656">
        <v>77723.759999999995</v>
      </c>
      <c r="H47" s="2656">
        <v>233172</v>
      </c>
      <c r="I47" s="2656" t="s">
        <v>3048</v>
      </c>
      <c r="J47" s="2656" t="s">
        <v>3188</v>
      </c>
      <c r="K47" s="2656" t="s">
        <v>3189</v>
      </c>
      <c r="L47" s="2656">
        <v>130910</v>
      </c>
      <c r="M47" s="2656">
        <v>1122.8699999999999</v>
      </c>
      <c r="N47" s="2656">
        <v>5614.31</v>
      </c>
      <c r="O47" s="2656">
        <v>0</v>
      </c>
      <c r="P47" s="2656" t="s">
        <v>3028</v>
      </c>
    </row>
    <row r="48" spans="1:16" s="2656" customFormat="1">
      <c r="A48" s="2656" t="s">
        <v>3190</v>
      </c>
      <c r="B48" s="2656" t="s">
        <v>3044</v>
      </c>
      <c r="C48" s="2656" t="s">
        <v>3041</v>
      </c>
      <c r="D48" s="2656" t="s">
        <v>3071</v>
      </c>
      <c r="E48" s="2656" t="s">
        <v>3046</v>
      </c>
      <c r="F48" s="2656" t="s">
        <v>3187</v>
      </c>
      <c r="G48" s="2656">
        <v>118879.54</v>
      </c>
      <c r="H48" s="2656">
        <v>351540</v>
      </c>
      <c r="I48" s="2656" t="s">
        <v>3048</v>
      </c>
      <c r="J48" s="2656" t="s">
        <v>3191</v>
      </c>
      <c r="K48" s="2656" t="s">
        <v>3192</v>
      </c>
      <c r="L48" s="2656">
        <v>271900</v>
      </c>
      <c r="M48" s="2656">
        <v>1524.79</v>
      </c>
      <c r="N48" s="2656">
        <v>7734.53</v>
      </c>
      <c r="O48" s="2656">
        <v>33.35</v>
      </c>
      <c r="P48" s="2656" t="s">
        <v>3040</v>
      </c>
    </row>
    <row r="49" spans="1:19" s="2656" customFormat="1">
      <c r="A49" s="2656" t="s">
        <v>3193</v>
      </c>
      <c r="B49" s="2656" t="s">
        <v>3044</v>
      </c>
      <c r="C49" s="2656" t="s">
        <v>3041</v>
      </c>
      <c r="D49" s="2656" t="s">
        <v>3071</v>
      </c>
      <c r="E49" s="2656" t="s">
        <v>3046</v>
      </c>
      <c r="F49" s="2656" t="s">
        <v>3187</v>
      </c>
      <c r="G49" s="2656">
        <v>110870.72</v>
      </c>
      <c r="H49" s="2656">
        <v>343700</v>
      </c>
      <c r="I49" s="2656" t="s">
        <v>3083</v>
      </c>
      <c r="J49" s="2656" t="s">
        <v>3191</v>
      </c>
      <c r="K49" s="2656" t="s">
        <v>3194</v>
      </c>
      <c r="L49" s="2656">
        <v>196500</v>
      </c>
      <c r="M49" s="2656">
        <v>1181.56</v>
      </c>
      <c r="N49" s="2656">
        <v>5717.19</v>
      </c>
      <c r="O49" s="2656">
        <v>2.08</v>
      </c>
      <c r="P49" s="2656" t="s">
        <v>3040</v>
      </c>
    </row>
    <row r="50" spans="1:19" s="3285" customFormat="1">
      <c r="A50" s="3285" t="s">
        <v>3043</v>
      </c>
      <c r="B50" s="3285" t="s">
        <v>3044</v>
      </c>
      <c r="C50" s="3285" t="s">
        <v>3041</v>
      </c>
      <c r="D50" s="3285" t="s">
        <v>3043</v>
      </c>
      <c r="E50" s="3285" t="s">
        <v>3046</v>
      </c>
      <c r="F50" s="3285" t="s">
        <v>3047</v>
      </c>
      <c r="G50" s="3285">
        <v>19902</v>
      </c>
      <c r="H50" s="3285">
        <v>69657</v>
      </c>
      <c r="I50" s="3285" t="s">
        <v>3073</v>
      </c>
      <c r="J50" s="3285" t="s">
        <v>3195</v>
      </c>
      <c r="K50" s="3285" t="s">
        <v>3196</v>
      </c>
      <c r="L50" s="3285">
        <v>9941</v>
      </c>
      <c r="M50" s="3285">
        <v>333</v>
      </c>
      <c r="N50" s="3285">
        <v>1427.14</v>
      </c>
      <c r="O50" s="3285">
        <v>0</v>
      </c>
      <c r="P50" s="3285" t="s">
        <v>3040</v>
      </c>
    </row>
    <row r="51" spans="1:19" s="3285" customFormat="1">
      <c r="A51" s="3285" t="s">
        <v>3100</v>
      </c>
      <c r="B51" s="3285" t="s">
        <v>3044</v>
      </c>
      <c r="C51" s="3285" t="s">
        <v>3041</v>
      </c>
      <c r="D51" s="3285" t="s">
        <v>3045</v>
      </c>
      <c r="E51" s="3285" t="s">
        <v>3046</v>
      </c>
      <c r="F51" s="3285" t="s">
        <v>3047</v>
      </c>
      <c r="G51" s="3285">
        <v>18870</v>
      </c>
      <c r="H51" s="3285">
        <v>56610</v>
      </c>
      <c r="I51" s="3285" t="s">
        <v>3048</v>
      </c>
      <c r="J51" s="3285" t="s">
        <v>3197</v>
      </c>
      <c r="K51" s="3285" t="s">
        <v>3198</v>
      </c>
      <c r="L51" s="3285">
        <v>6343</v>
      </c>
      <c r="M51" s="3285">
        <v>224.09</v>
      </c>
      <c r="N51" s="3285">
        <v>1120.47</v>
      </c>
      <c r="O51" s="3285">
        <v>0</v>
      </c>
      <c r="P51" s="3285" t="s">
        <v>3040</v>
      </c>
    </row>
    <row r="57" spans="1:19">
      <c r="O57" s="3295" t="s">
        <v>3200</v>
      </c>
      <c r="P57" s="1709"/>
      <c r="Q57" s="3295" t="s">
        <v>3202</v>
      </c>
      <c r="R57" s="3295" t="s">
        <v>3203</v>
      </c>
    </row>
    <row r="58" spans="1:19">
      <c r="O58" s="3295" t="s">
        <v>3201</v>
      </c>
      <c r="P58" s="1709"/>
      <c r="Q58" s="1709">
        <v>11000</v>
      </c>
      <c r="R58" s="1709">
        <v>2.54</v>
      </c>
      <c r="S58" s="3248" t="s">
        <v>3204</v>
      </c>
    </row>
    <row r="59" spans="1:19">
      <c r="O59" s="3295" t="s">
        <v>3205</v>
      </c>
      <c r="P59" s="1709"/>
      <c r="Q59" s="1709">
        <v>11000</v>
      </c>
      <c r="R59" s="1709">
        <v>3</v>
      </c>
      <c r="S59" s="3248" t="s">
        <v>3204</v>
      </c>
    </row>
    <row r="60" spans="1:19">
      <c r="O60" s="3295" t="s">
        <v>3206</v>
      </c>
      <c r="P60" s="1709"/>
      <c r="Q60" s="1709">
        <v>10500</v>
      </c>
      <c r="R60" s="1709">
        <v>2.93</v>
      </c>
      <c r="S60" s="3248" t="s">
        <v>3204</v>
      </c>
    </row>
    <row r="61" spans="1:19">
      <c r="O61" s="3295" t="s">
        <v>3208</v>
      </c>
      <c r="P61" s="1709"/>
      <c r="Q61" s="1709">
        <v>18000</v>
      </c>
      <c r="R61" s="1709">
        <v>3.9</v>
      </c>
      <c r="S61" s="3248" t="s">
        <v>3207</v>
      </c>
    </row>
    <row r="62" spans="1:19">
      <c r="O62" s="3295" t="s">
        <v>3209</v>
      </c>
      <c r="P62" s="1709"/>
      <c r="Q62" s="1709">
        <v>11600</v>
      </c>
      <c r="R62" s="1709">
        <v>3.8</v>
      </c>
      <c r="S62" s="3248" t="s">
        <v>3207</v>
      </c>
    </row>
    <row r="63" spans="1:19">
      <c r="O63" s="3295" t="s">
        <v>3210</v>
      </c>
      <c r="Q63" s="1709">
        <v>12000</v>
      </c>
      <c r="R63" s="1709">
        <v>3.8</v>
      </c>
      <c r="S63" s="3248" t="s">
        <v>3207</v>
      </c>
    </row>
    <row r="64" spans="1:19">
      <c r="O64" s="3295" t="s">
        <v>3211</v>
      </c>
      <c r="Q64" s="1709">
        <v>9750</v>
      </c>
      <c r="R64" s="1709">
        <v>3.8</v>
      </c>
      <c r="S64" s="3248" t="s">
        <v>3207</v>
      </c>
    </row>
    <row r="82" spans="11:15">
      <c r="K82" s="3248"/>
      <c r="L82" s="3281"/>
      <c r="M82" s="3281"/>
      <c r="N82" s="3281"/>
      <c r="O82" s="3284"/>
    </row>
    <row r="83" spans="11:15">
      <c r="K83" s="3281"/>
      <c r="L83" s="3280"/>
      <c r="M83" s="3280"/>
      <c r="N83" s="3280"/>
      <c r="O83" s="3283"/>
    </row>
    <row r="84" spans="11:15">
      <c r="K84" s="3281"/>
      <c r="L84" s="3280"/>
      <c r="M84" s="3280"/>
      <c r="N84" s="3280"/>
      <c r="O84" s="3283"/>
    </row>
    <row r="85" spans="11:15">
      <c r="K85" s="3248"/>
      <c r="M85" s="3248"/>
    </row>
    <row r="86" spans="11:15">
      <c r="K86" s="3248"/>
    </row>
    <row r="87" spans="11:15">
      <c r="K87" s="3248"/>
    </row>
    <row r="88" spans="11:15">
      <c r="K88" s="3248"/>
      <c r="O88" s="3248"/>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4" zoomScale="85" zoomScaleNormal="95" zoomScaleSheetLayoutView="85" workbookViewId="0">
      <selection activeCell="K14" sqref="K14"/>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38630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2704</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7571</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505</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0" t="s">
        <v>516</v>
      </c>
      <c r="D6" s="3481"/>
      <c r="E6" s="3480" t="s">
        <v>517</v>
      </c>
      <c r="F6" s="3481"/>
      <c r="G6" s="3480" t="s">
        <v>518</v>
      </c>
      <c r="H6" s="3481"/>
      <c r="I6" s="3480" t="s">
        <v>519</v>
      </c>
      <c r="J6" s="3481"/>
      <c r="K6" s="508" t="s">
        <v>520</v>
      </c>
      <c r="L6" s="2016"/>
      <c r="M6" s="2015"/>
      <c r="N6" s="2015"/>
      <c r="O6" s="2017"/>
      <c r="P6" s="3482" t="s">
        <v>521</v>
      </c>
      <c r="Q6" s="3483"/>
      <c r="R6" s="3488" t="s">
        <v>517</v>
      </c>
      <c r="S6" s="3489"/>
      <c r="T6" s="3488" t="s">
        <v>518</v>
      </c>
      <c r="U6" s="3489"/>
      <c r="V6" s="3475" t="s">
        <v>519</v>
      </c>
      <c r="W6" s="3475"/>
      <c r="X6" s="3290"/>
      <c r="Y6" s="3488" t="s">
        <v>521</v>
      </c>
      <c r="Z6" s="3489"/>
      <c r="AA6" s="3477" t="s">
        <v>517</v>
      </c>
      <c r="AB6" s="3478" t="s">
        <v>518</v>
      </c>
      <c r="AC6" s="3477" t="s">
        <v>519</v>
      </c>
    </row>
    <row r="7" spans="1:30" ht="20.25">
      <c r="A7" s="509"/>
      <c r="B7" s="510"/>
      <c r="C7" s="3496" t="s">
        <v>2898</v>
      </c>
      <c r="D7" s="3497"/>
      <c r="E7" s="3496" t="str">
        <f>土地及销售案例!A20</f>
        <v>惠环街道</v>
      </c>
      <c r="F7" s="3497"/>
      <c r="G7" s="3496" t="str">
        <f>土地及销售案例!A24</f>
        <v>惠州仲恺高新区陈江街道</v>
      </c>
      <c r="H7" s="3497"/>
      <c r="I7" s="3496" t="str">
        <f>土地及销售案例!A42</f>
        <v>惠州仲恺高新区惠环街道</v>
      </c>
      <c r="J7" s="3497"/>
      <c r="K7" s="508"/>
      <c r="L7" s="2016"/>
      <c r="M7" s="2015"/>
      <c r="N7" s="2015"/>
      <c r="O7" s="2017"/>
      <c r="P7" s="3484"/>
      <c r="Q7" s="3485"/>
      <c r="R7" s="3490"/>
      <c r="S7" s="3491"/>
      <c r="T7" s="3490"/>
      <c r="U7" s="3491"/>
      <c r="V7" s="3475"/>
      <c r="W7" s="3475"/>
      <c r="X7" s="3290"/>
      <c r="Y7" s="3490"/>
      <c r="Z7" s="3491"/>
      <c r="AA7" s="3478"/>
      <c r="AB7" s="3478"/>
      <c r="AC7" s="3478"/>
    </row>
    <row r="8" spans="1:30" ht="21" thickBot="1">
      <c r="A8" s="509"/>
      <c r="B8" s="510"/>
      <c r="C8" s="3498" t="s">
        <v>2902</v>
      </c>
      <c r="D8" s="3499"/>
      <c r="E8" s="3498" t="s">
        <v>2902</v>
      </c>
      <c r="F8" s="3499"/>
      <c r="G8" s="3494" t="s">
        <v>2902</v>
      </c>
      <c r="H8" s="3495"/>
      <c r="I8" s="3494" t="s">
        <v>2902</v>
      </c>
      <c r="J8" s="3495"/>
      <c r="K8" s="508" t="s">
        <v>522</v>
      </c>
      <c r="L8" s="2016"/>
      <c r="M8" s="2015"/>
      <c r="N8" s="2015"/>
      <c r="O8" s="2017"/>
      <c r="P8" s="3486"/>
      <c r="Q8" s="3487"/>
      <c r="R8" s="3490"/>
      <c r="S8" s="3491"/>
      <c r="T8" s="3492"/>
      <c r="U8" s="3493"/>
      <c r="V8" s="3475"/>
      <c r="W8" s="3475"/>
      <c r="X8" s="3290"/>
      <c r="Y8" s="3492"/>
      <c r="Z8" s="3493"/>
      <c r="AA8" s="3479"/>
      <c r="AB8" s="3479"/>
      <c r="AC8" s="3479"/>
    </row>
    <row r="9" spans="1:30" s="1203" customFormat="1" ht="21" thickBot="1">
      <c r="A9" s="2629"/>
      <c r="B9" s="2636" t="s">
        <v>523</v>
      </c>
      <c r="C9" s="2628">
        <f>'数据-取费表'!B2</f>
        <v>44186</v>
      </c>
      <c r="D9" s="514">
        <v>100</v>
      </c>
      <c r="E9" s="515" t="str">
        <f>土地及销售案例!J20</f>
        <v>2020-09-24</v>
      </c>
      <c r="F9" s="516">
        <f>SUMIF(72:72,YEAR(E9)&amp;"-"&amp;INT((MONTH(E9)+2)/3),73:73)</f>
        <v>100</v>
      </c>
      <c r="G9" s="517" t="str">
        <f>土地及销售案例!J24</f>
        <v>2020-09-21</v>
      </c>
      <c r="H9" s="514">
        <f>SUMIF(72:72,YEAR(G9)&amp;"-"&amp;INT((MONTH(G9)+2)/3),73:73)</f>
        <v>100</v>
      </c>
      <c r="I9" s="517" t="str">
        <f>土地及销售案例!J42</f>
        <v>2020-06-30</v>
      </c>
      <c r="J9" s="514">
        <f>SUMIF(72:72,YEAR(I9)&amp;"-"&amp;INT((MONTH(I9)+2)/3),73:73)</f>
        <v>100</v>
      </c>
      <c r="K9" s="518"/>
      <c r="L9" s="2018"/>
      <c r="M9" s="2015"/>
      <c r="N9" s="2015"/>
      <c r="O9" s="2019"/>
      <c r="P9" s="3505" t="s">
        <v>524</v>
      </c>
      <c r="Q9" s="3507"/>
      <c r="R9" s="1503" t="s">
        <v>8</v>
      </c>
      <c r="S9" s="1504">
        <f t="shared" ref="S9:S17" si="0">F9</f>
        <v>100</v>
      </c>
      <c r="T9" s="1503" t="s">
        <v>8</v>
      </c>
      <c r="U9" s="1504">
        <f t="shared" ref="U9:U17" si="1">H9</f>
        <v>100</v>
      </c>
      <c r="V9" s="1503" t="s">
        <v>8</v>
      </c>
      <c r="W9" s="1504">
        <f t="shared" ref="W9:W17" si="2">J9</f>
        <v>100</v>
      </c>
      <c r="X9" s="1505"/>
      <c r="Y9" s="3505" t="s">
        <v>524</v>
      </c>
      <c r="Z9" s="3506"/>
      <c r="AA9" s="1506">
        <f>D9/F9</f>
        <v>1</v>
      </c>
      <c r="AB9" s="1506">
        <f>D9/H9</f>
        <v>1</v>
      </c>
      <c r="AC9" s="1506">
        <f>D9/J9</f>
        <v>1</v>
      </c>
    </row>
    <row r="10" spans="1:30" s="1203" customFormat="1" ht="21" thickBot="1">
      <c r="A10" s="2630"/>
      <c r="B10" s="2637" t="s">
        <v>525</v>
      </c>
      <c r="C10" s="845" t="s">
        <v>526</v>
      </c>
      <c r="D10" s="514">
        <v>100</v>
      </c>
      <c r="E10" s="519" t="s">
        <v>3031</v>
      </c>
      <c r="F10" s="516">
        <f>SUMIF(75:75,E10,76:76)-SUMIF(75:75,C10,76:76)+100</f>
        <v>100</v>
      </c>
      <c r="G10" s="519" t="s">
        <v>3031</v>
      </c>
      <c r="H10" s="514">
        <f>SUMIF(75:75,G10,76:76)-SUMIF(75:75,C10,76:76)+100</f>
        <v>100</v>
      </c>
      <c r="I10" s="519" t="s">
        <v>3031</v>
      </c>
      <c r="J10" s="514">
        <f>SUMIF(75:75,I10,76:76)-SUMIF(75:75,C10,76:76)+100</f>
        <v>100</v>
      </c>
      <c r="K10" s="518"/>
      <c r="L10" s="2018"/>
      <c r="M10" s="2015"/>
      <c r="N10" s="2015"/>
      <c r="O10" s="2019"/>
      <c r="P10" s="3505" t="s">
        <v>527</v>
      </c>
      <c r="Q10" s="3506"/>
      <c r="R10" s="1503" t="s">
        <v>8</v>
      </c>
      <c r="S10" s="1504">
        <f t="shared" si="0"/>
        <v>100</v>
      </c>
      <c r="T10" s="1503" t="s">
        <v>8</v>
      </c>
      <c r="U10" s="1504">
        <f t="shared" si="1"/>
        <v>100</v>
      </c>
      <c r="V10" s="1503" t="s">
        <v>8</v>
      </c>
      <c r="W10" s="1504">
        <f t="shared" si="2"/>
        <v>100</v>
      </c>
      <c r="X10" s="1505"/>
      <c r="Y10" s="3505" t="s">
        <v>527</v>
      </c>
      <c r="Z10" s="3506"/>
      <c r="AA10" s="1506">
        <f t="shared" ref="AA10:AA47" si="3">D10/F10</f>
        <v>1</v>
      </c>
      <c r="AB10" s="1506">
        <f t="shared" ref="AB10:AB47" si="4">D10/H10</f>
        <v>1</v>
      </c>
      <c r="AC10" s="1506">
        <f t="shared" ref="AC10:AC47" si="5">D10/J10</f>
        <v>1</v>
      </c>
    </row>
    <row r="11" spans="1:30" s="1203" customFormat="1" ht="20.25">
      <c r="A11" s="2631"/>
      <c r="B11" s="2638" t="s">
        <v>2737</v>
      </c>
      <c r="C11" s="3278" t="s">
        <v>3033</v>
      </c>
      <c r="D11" s="252">
        <v>100</v>
      </c>
      <c r="E11" s="3279" t="s">
        <v>3033</v>
      </c>
      <c r="F11" s="252">
        <f>SUMIF(77:77,E11,78:78)-SUMIF(77:77,C11,78:78)+100</f>
        <v>100</v>
      </c>
      <c r="G11" s="3279" t="s">
        <v>3033</v>
      </c>
      <c r="H11" s="252">
        <f>SUMIF(77:77,G11,78:78)-SUMIF(77:77,C11,78:78)+100</f>
        <v>100</v>
      </c>
      <c r="I11" s="3279" t="s">
        <v>3033</v>
      </c>
      <c r="J11" s="252">
        <f>SUMIF(77:77,I11,78:78)-SUMIF(77:77,C11,78:78)+100</f>
        <v>100</v>
      </c>
      <c r="K11" s="518"/>
      <c r="L11" s="2018"/>
      <c r="M11" s="2015"/>
      <c r="N11" s="2015"/>
      <c r="O11" s="2020"/>
      <c r="P11" s="3474" t="s">
        <v>529</v>
      </c>
      <c r="Q11" s="3288" t="str">
        <f t="shared" ref="Q11:Q17" si="6">B11</f>
        <v>用途</v>
      </c>
      <c r="R11" s="1503" t="s">
        <v>8</v>
      </c>
      <c r="S11" s="1504">
        <f t="shared" si="0"/>
        <v>100</v>
      </c>
      <c r="T11" s="1503" t="s">
        <v>8</v>
      </c>
      <c r="U11" s="1504">
        <f t="shared" si="1"/>
        <v>100</v>
      </c>
      <c r="V11" s="1503" t="s">
        <v>8</v>
      </c>
      <c r="W11" s="1504">
        <f t="shared" si="2"/>
        <v>100</v>
      </c>
      <c r="X11" s="1505"/>
      <c r="Y11" s="3420" t="s">
        <v>530</v>
      </c>
      <c r="Z11" s="3287"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74"/>
      <c r="Q12" s="3288" t="str">
        <f t="shared" si="6"/>
        <v>土地使用年限（年）</v>
      </c>
      <c r="R12" s="1503" t="s">
        <v>8</v>
      </c>
      <c r="S12" s="1504">
        <f t="shared" si="0"/>
        <v>100</v>
      </c>
      <c r="T12" s="1503" t="s">
        <v>8</v>
      </c>
      <c r="U12" s="1504">
        <f t="shared" si="1"/>
        <v>100</v>
      </c>
      <c r="V12" s="1503" t="s">
        <v>8</v>
      </c>
      <c r="W12" s="1504">
        <f t="shared" si="2"/>
        <v>100</v>
      </c>
      <c r="X12" s="1505"/>
      <c r="Y12" s="3420"/>
      <c r="Z12" s="3287" t="str">
        <f t="shared" si="7"/>
        <v>土地使用年限（年）</v>
      </c>
      <c r="AA12" s="1506">
        <f t="shared" si="3"/>
        <v>1</v>
      </c>
      <c r="AB12" s="1506">
        <f t="shared" si="4"/>
        <v>1</v>
      </c>
      <c r="AC12" s="1506">
        <f t="shared" si="5"/>
        <v>1</v>
      </c>
    </row>
    <row r="13" spans="1:30" ht="20.25">
      <c r="A13" s="2633"/>
      <c r="B13" s="2637" t="s">
        <v>2739</v>
      </c>
      <c r="C13" s="528">
        <f>'数据-汇总表'!I6</f>
        <v>2.8</v>
      </c>
      <c r="D13" s="253">
        <v>100</v>
      </c>
      <c r="E13" s="527">
        <v>3.8</v>
      </c>
      <c r="F13" s="253">
        <f>LOOKUP(E13,82:82,83:83)-LOOKUP(C13,82:82,83:83)+100</f>
        <v>99</v>
      </c>
      <c r="G13" s="528">
        <v>3</v>
      </c>
      <c r="H13" s="253">
        <f>LOOKUP(G13,82:82,83:83)-LOOKUP(C13,82:82,83:83)+100</f>
        <v>99</v>
      </c>
      <c r="I13" s="527">
        <v>4</v>
      </c>
      <c r="J13" s="253">
        <f>LOOKUP(I13,82:82,83:83)-LOOKUP(C13,82:82,83:83)+100</f>
        <v>98</v>
      </c>
      <c r="K13" s="529">
        <v>1</v>
      </c>
      <c r="L13" s="2023"/>
      <c r="M13" s="2015"/>
      <c r="N13" s="2015"/>
      <c r="O13" s="2024"/>
      <c r="P13" s="3474"/>
      <c r="Q13" s="3288" t="str">
        <f t="shared" si="6"/>
        <v>容积率</v>
      </c>
      <c r="R13" s="1503" t="s">
        <v>8</v>
      </c>
      <c r="S13" s="1504">
        <f t="shared" si="0"/>
        <v>99</v>
      </c>
      <c r="T13" s="1503" t="s">
        <v>8</v>
      </c>
      <c r="U13" s="1504">
        <f t="shared" si="1"/>
        <v>99</v>
      </c>
      <c r="V13" s="1503" t="s">
        <v>8</v>
      </c>
      <c r="W13" s="1504">
        <f t="shared" si="2"/>
        <v>98</v>
      </c>
      <c r="X13" s="1505"/>
      <c r="Y13" s="3420"/>
      <c r="Z13" s="3287" t="str">
        <f t="shared" si="7"/>
        <v>容积率</v>
      </c>
      <c r="AA13" s="1506">
        <f t="shared" si="3"/>
        <v>1.0101010101010102</v>
      </c>
      <c r="AB13" s="1506">
        <f t="shared" si="4"/>
        <v>1.0101010101010102</v>
      </c>
      <c r="AC13" s="1506">
        <f t="shared" si="5"/>
        <v>1.0204081632653061</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4"/>
      <c r="Q14" s="3288" t="str">
        <f t="shared" si="6"/>
        <v>配建</v>
      </c>
      <c r="R14" s="1503" t="s">
        <v>8</v>
      </c>
      <c r="S14" s="1504">
        <f t="shared" si="0"/>
        <v>100</v>
      </c>
      <c r="T14" s="1503" t="s">
        <v>8</v>
      </c>
      <c r="U14" s="1504">
        <f t="shared" si="1"/>
        <v>100</v>
      </c>
      <c r="V14" s="1503" t="s">
        <v>8</v>
      </c>
      <c r="W14" s="1504">
        <f t="shared" si="2"/>
        <v>100</v>
      </c>
      <c r="X14" s="1505"/>
      <c r="Y14" s="3420"/>
      <c r="Z14" s="3287"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4"/>
      <c r="Q15" s="3288">
        <f t="shared" si="6"/>
        <v>111</v>
      </c>
      <c r="R15" s="1503" t="s">
        <v>8</v>
      </c>
      <c r="S15" s="1504">
        <f t="shared" si="0"/>
        <v>100</v>
      </c>
      <c r="T15" s="1503" t="s">
        <v>8</v>
      </c>
      <c r="U15" s="1504">
        <f t="shared" si="1"/>
        <v>100</v>
      </c>
      <c r="V15" s="1503" t="s">
        <v>8</v>
      </c>
      <c r="W15" s="1504">
        <f t="shared" si="2"/>
        <v>100</v>
      </c>
      <c r="X15" s="1505"/>
      <c r="Y15" s="3420"/>
      <c r="Z15" s="3287">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4"/>
      <c r="Q16" s="3288">
        <f t="shared" si="6"/>
        <v>111</v>
      </c>
      <c r="R16" s="1503" t="s">
        <v>8</v>
      </c>
      <c r="S16" s="1504">
        <f t="shared" si="0"/>
        <v>100</v>
      </c>
      <c r="T16" s="1503" t="s">
        <v>8</v>
      </c>
      <c r="U16" s="1504">
        <f t="shared" si="1"/>
        <v>100</v>
      </c>
      <c r="V16" s="1503" t="s">
        <v>8</v>
      </c>
      <c r="W16" s="1504">
        <f t="shared" si="2"/>
        <v>100</v>
      </c>
      <c r="X16" s="1505"/>
      <c r="Y16" s="3420"/>
      <c r="Z16" s="3287">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105</v>
      </c>
      <c r="G17" s="544"/>
      <c r="H17" s="543">
        <f>SUMIF(90:90,G18,91:91)-SUMIF(90:90,C18,91:91)+100</f>
        <v>105</v>
      </c>
      <c r="I17" s="546"/>
      <c r="J17" s="543">
        <f>SUMIF(90:90,I18,91:91)-SUMIF(90:90,C18,91:91)+100</f>
        <v>105</v>
      </c>
      <c r="K17" s="529">
        <v>5</v>
      </c>
      <c r="L17" s="2025"/>
      <c r="M17" s="2015"/>
      <c r="N17" s="2015"/>
      <c r="O17" s="2024"/>
      <c r="P17" s="3508" t="s">
        <v>534</v>
      </c>
      <c r="Q17" s="3291" t="str">
        <f t="shared" si="6"/>
        <v>居住社区成熟度</v>
      </c>
      <c r="R17" s="1508" t="s">
        <v>8</v>
      </c>
      <c r="S17" s="1509">
        <f t="shared" si="0"/>
        <v>105</v>
      </c>
      <c r="T17" s="1508" t="s">
        <v>8</v>
      </c>
      <c r="U17" s="1509">
        <f t="shared" si="1"/>
        <v>105</v>
      </c>
      <c r="V17" s="1508" t="s">
        <v>8</v>
      </c>
      <c r="W17" s="1509">
        <f t="shared" si="2"/>
        <v>105</v>
      </c>
      <c r="X17" s="3290"/>
      <c r="Y17" s="3508" t="s">
        <v>534</v>
      </c>
      <c r="Z17" s="3292" t="str">
        <f t="shared" si="7"/>
        <v>居住社区成熟度</v>
      </c>
      <c r="AA17" s="3293">
        <f t="shared" si="3"/>
        <v>0.95238095238095233</v>
      </c>
      <c r="AB17" s="3293">
        <f t="shared" si="4"/>
        <v>0.95238095238095233</v>
      </c>
      <c r="AC17" s="3293">
        <f t="shared" si="5"/>
        <v>0.95238095238095233</v>
      </c>
    </row>
    <row r="18" spans="1:29" ht="20.25">
      <c r="A18" s="526"/>
      <c r="B18" s="547"/>
      <c r="C18" s="548" t="s">
        <v>3216</v>
      </c>
      <c r="D18" s="551"/>
      <c r="E18" s="552" t="s">
        <v>3217</v>
      </c>
      <c r="F18" s="549"/>
      <c r="G18" s="550" t="s">
        <v>3217</v>
      </c>
      <c r="H18" s="553"/>
      <c r="I18" s="552" t="s">
        <v>3217</v>
      </c>
      <c r="J18" s="549"/>
      <c r="K18" s="525"/>
      <c r="L18" s="2025"/>
      <c r="M18" s="2015"/>
      <c r="N18" s="2015"/>
      <c r="O18" s="2024"/>
      <c r="P18" s="3509"/>
      <c r="Q18" s="3291"/>
      <c r="R18" s="1508"/>
      <c r="S18" s="1509"/>
      <c r="T18" s="1508"/>
      <c r="U18" s="1509"/>
      <c r="V18" s="1508"/>
      <c r="W18" s="1509"/>
      <c r="X18" s="3290"/>
      <c r="Y18" s="3509"/>
      <c r="Z18" s="3292"/>
      <c r="AA18" s="3293">
        <v>1</v>
      </c>
      <c r="AB18" s="3293">
        <v>1</v>
      </c>
      <c r="AC18" s="3293">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105</v>
      </c>
      <c r="G19" s="556"/>
      <c r="H19" s="559">
        <f>SUMIF(92:92,G20,93:93)-SUMIF(92:92,C20,93:93)+100</f>
        <v>105</v>
      </c>
      <c r="I19" s="558"/>
      <c r="J19" s="559">
        <f>SUMIF(92:92,I20,93:93)-SUMIF(92:92,C20,93:93)+100</f>
        <v>105</v>
      </c>
      <c r="K19" s="529">
        <v>5</v>
      </c>
      <c r="L19" s="2025"/>
      <c r="M19" s="2015"/>
      <c r="N19" s="2015"/>
      <c r="O19" s="2024"/>
      <c r="P19" s="3509"/>
      <c r="Q19" s="3291" t="str">
        <f>B19</f>
        <v>商业繁华度</v>
      </c>
      <c r="R19" s="1508" t="s">
        <v>8</v>
      </c>
      <c r="S19" s="1509">
        <f>F19</f>
        <v>105</v>
      </c>
      <c r="T19" s="1508" t="s">
        <v>8</v>
      </c>
      <c r="U19" s="1509">
        <f>H19</f>
        <v>105</v>
      </c>
      <c r="V19" s="1508" t="s">
        <v>8</v>
      </c>
      <c r="W19" s="1509">
        <f>J19</f>
        <v>105</v>
      </c>
      <c r="X19" s="3290"/>
      <c r="Y19" s="3509"/>
      <c r="Z19" s="3292" t="str">
        <f>Q19</f>
        <v>商业繁华度</v>
      </c>
      <c r="AA19" s="3293">
        <f t="shared" si="3"/>
        <v>0.95238095238095233</v>
      </c>
      <c r="AB19" s="3293">
        <f t="shared" si="4"/>
        <v>0.95238095238095233</v>
      </c>
      <c r="AC19" s="3293">
        <f t="shared" si="5"/>
        <v>0.95238095238095233</v>
      </c>
    </row>
    <row r="20" spans="1:29" ht="20.25">
      <c r="A20" s="526"/>
      <c r="B20" s="560"/>
      <c r="C20" s="548" t="s">
        <v>3216</v>
      </c>
      <c r="D20" s="557"/>
      <c r="E20" s="552" t="s">
        <v>3217</v>
      </c>
      <c r="F20" s="553"/>
      <c r="G20" s="552" t="s">
        <v>3217</v>
      </c>
      <c r="H20" s="549"/>
      <c r="I20" s="552" t="s">
        <v>3217</v>
      </c>
      <c r="J20" s="549"/>
      <c r="K20" s="525"/>
      <c r="L20" s="2025"/>
      <c r="M20" s="2015"/>
      <c r="N20" s="2015"/>
      <c r="O20" s="2024"/>
      <c r="P20" s="3509"/>
      <c r="Q20" s="3291"/>
      <c r="R20" s="1508"/>
      <c r="S20" s="1509"/>
      <c r="T20" s="1508"/>
      <c r="U20" s="1509"/>
      <c r="V20" s="1508"/>
      <c r="W20" s="1509"/>
      <c r="X20" s="3290"/>
      <c r="Y20" s="3509"/>
      <c r="Z20" s="3292"/>
      <c r="AA20" s="3293">
        <v>1</v>
      </c>
      <c r="AB20" s="3293">
        <v>1</v>
      </c>
      <c r="AC20" s="3293">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9"/>
      <c r="Q21" s="3291" t="str">
        <f>B21</f>
        <v>办公集聚程度</v>
      </c>
      <c r="R21" s="1508" t="s">
        <v>8</v>
      </c>
      <c r="S21" s="1509">
        <f>F21</f>
        <v>100</v>
      </c>
      <c r="T21" s="1508" t="s">
        <v>8</v>
      </c>
      <c r="U21" s="1509">
        <f>H21</f>
        <v>100</v>
      </c>
      <c r="V21" s="1508" t="s">
        <v>8</v>
      </c>
      <c r="W21" s="1509">
        <f>J21</f>
        <v>100</v>
      </c>
      <c r="X21" s="3290"/>
      <c r="Y21" s="3509"/>
      <c r="Z21" s="3292" t="str">
        <f>Q21</f>
        <v>办公集聚程度</v>
      </c>
      <c r="AA21" s="3293">
        <f t="shared" si="3"/>
        <v>1</v>
      </c>
      <c r="AB21" s="3293">
        <f t="shared" si="4"/>
        <v>1</v>
      </c>
      <c r="AC21" s="3293">
        <f t="shared" si="5"/>
        <v>1</v>
      </c>
    </row>
    <row r="22" spans="1:29" ht="20.25">
      <c r="A22" s="526"/>
      <c r="B22" s="560"/>
      <c r="C22" s="548"/>
      <c r="D22" s="551"/>
      <c r="E22" s="552"/>
      <c r="F22" s="549"/>
      <c r="G22" s="550"/>
      <c r="H22" s="549"/>
      <c r="I22" s="552"/>
      <c r="J22" s="549"/>
      <c r="K22" s="525"/>
      <c r="L22" s="2025"/>
      <c r="M22" s="2015"/>
      <c r="N22" s="2015"/>
      <c r="O22" s="2024"/>
      <c r="P22" s="3509"/>
      <c r="Q22" s="3291"/>
      <c r="R22" s="1508"/>
      <c r="S22" s="1509"/>
      <c r="T22" s="1508"/>
      <c r="U22" s="1509"/>
      <c r="V22" s="1508"/>
      <c r="W22" s="1509"/>
      <c r="X22" s="3290"/>
      <c r="Y22" s="3509"/>
      <c r="Z22" s="3292"/>
      <c r="AA22" s="3293">
        <v>1</v>
      </c>
      <c r="AB22" s="3293">
        <v>1</v>
      </c>
      <c r="AC22" s="3293">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09"/>
      <c r="Q23" s="3291" t="str">
        <f>B23</f>
        <v>交通便捷度</v>
      </c>
      <c r="R23" s="1508" t="s">
        <v>8</v>
      </c>
      <c r="S23" s="1509">
        <f>F23</f>
        <v>100</v>
      </c>
      <c r="T23" s="1508" t="s">
        <v>8</v>
      </c>
      <c r="U23" s="1509">
        <f>H23</f>
        <v>100</v>
      </c>
      <c r="V23" s="1508" t="s">
        <v>8</v>
      </c>
      <c r="W23" s="1509">
        <f>J23</f>
        <v>100</v>
      </c>
      <c r="X23" s="3290"/>
      <c r="Y23" s="3509"/>
      <c r="Z23" s="3292" t="str">
        <f>Q23</f>
        <v>交通便捷度</v>
      </c>
      <c r="AA23" s="3293">
        <f t="shared" si="3"/>
        <v>1</v>
      </c>
      <c r="AB23" s="3293">
        <f t="shared" si="4"/>
        <v>1</v>
      </c>
      <c r="AC23" s="3293">
        <f t="shared" si="5"/>
        <v>1</v>
      </c>
    </row>
    <row r="24" spans="1:29" ht="20.25">
      <c r="A24" s="526"/>
      <c r="B24" s="572"/>
      <c r="C24" s="548"/>
      <c r="D24" s="551"/>
      <c r="E24" s="552"/>
      <c r="F24" s="549"/>
      <c r="G24" s="550"/>
      <c r="H24" s="549"/>
      <c r="I24" s="552"/>
      <c r="J24" s="549"/>
      <c r="K24" s="525"/>
      <c r="L24" s="2025"/>
      <c r="M24" s="2015"/>
      <c r="N24" s="2015"/>
      <c r="O24" s="2024"/>
      <c r="P24" s="3509"/>
      <c r="Q24" s="3291"/>
      <c r="R24" s="1508"/>
      <c r="S24" s="1509"/>
      <c r="T24" s="1508"/>
      <c r="U24" s="1509"/>
      <c r="V24" s="1508"/>
      <c r="W24" s="1509"/>
      <c r="X24" s="3290"/>
      <c r="Y24" s="3509"/>
      <c r="Z24" s="3292"/>
      <c r="AA24" s="3293">
        <v>1</v>
      </c>
      <c r="AB24" s="3293">
        <v>1</v>
      </c>
      <c r="AC24" s="3293">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09"/>
      <c r="Q25" s="3291" t="str">
        <f t="shared" ref="Q25:Q39" si="8">B25</f>
        <v>区域土地利用方向</v>
      </c>
      <c r="R25" s="1508" t="s">
        <v>8</v>
      </c>
      <c r="S25" s="1509">
        <f>F25</f>
        <v>100</v>
      </c>
      <c r="T25" s="1508" t="s">
        <v>8</v>
      </c>
      <c r="U25" s="1509">
        <f>H25</f>
        <v>100</v>
      </c>
      <c r="V25" s="1508" t="s">
        <v>8</v>
      </c>
      <c r="W25" s="1509">
        <f>J25</f>
        <v>100</v>
      </c>
      <c r="X25" s="3290"/>
      <c r="Y25" s="3509"/>
      <c r="Z25" s="3292" t="str">
        <f>Q25</f>
        <v>区域土地利用方向</v>
      </c>
      <c r="AA25" s="3293">
        <f t="shared" si="3"/>
        <v>1</v>
      </c>
      <c r="AB25" s="3293">
        <f t="shared" si="4"/>
        <v>1</v>
      </c>
      <c r="AC25" s="3293">
        <f t="shared" si="5"/>
        <v>1</v>
      </c>
    </row>
    <row r="26" spans="1:29" ht="20.25">
      <c r="A26" s="509"/>
      <c r="B26" s="994"/>
      <c r="C26" s="548"/>
      <c r="D26" s="551"/>
      <c r="E26" s="552"/>
      <c r="F26" s="549"/>
      <c r="G26" s="550"/>
      <c r="H26" s="549"/>
      <c r="I26" s="552"/>
      <c r="J26" s="549"/>
      <c r="K26" s="525"/>
      <c r="L26" s="2025"/>
      <c r="M26" s="2015"/>
      <c r="N26" s="2015"/>
      <c r="O26" s="2024"/>
      <c r="P26" s="3509"/>
      <c r="Q26" s="3291"/>
      <c r="R26" s="1508"/>
      <c r="S26" s="1509"/>
      <c r="T26" s="1508"/>
      <c r="U26" s="1509"/>
      <c r="V26" s="1508"/>
      <c r="W26" s="1509"/>
      <c r="X26" s="3290"/>
      <c r="Y26" s="3509"/>
      <c r="Z26" s="3292"/>
      <c r="AA26" s="3293"/>
      <c r="AB26" s="3293"/>
      <c r="AC26" s="3293"/>
    </row>
    <row r="27" spans="1:29" ht="57">
      <c r="A27" s="509"/>
      <c r="B27" s="572" t="s">
        <v>539</v>
      </c>
      <c r="C27" s="555" t="str">
        <f>估价对象房地状况!C20</f>
        <v>区域自然环境：；人文环境；综合评价环境状况一般</v>
      </c>
      <c r="D27" s="557">
        <v>100</v>
      </c>
      <c r="E27" s="558"/>
      <c r="F27" s="553">
        <f>SUMIF(100:100,E28,101:101)-SUMIF(100:100,C28,101:101)+100</f>
        <v>105</v>
      </c>
      <c r="G27" s="556"/>
      <c r="H27" s="553">
        <f>SUMIF(100:100,G28,101:101)-SUMIF(100:100,C28,101:101)+100</f>
        <v>105</v>
      </c>
      <c r="I27" s="558"/>
      <c r="J27" s="553">
        <f>SUMIF(100:100,I28,101:101)-SUMIF(100:100,C28,101:101)+100</f>
        <v>105</v>
      </c>
      <c r="K27" s="529">
        <v>5</v>
      </c>
      <c r="L27" s="2025"/>
      <c r="M27" s="2015"/>
      <c r="N27" s="2015"/>
      <c r="O27" s="2024"/>
      <c r="P27" s="3509"/>
      <c r="Q27" s="3291" t="str">
        <f t="shared" si="8"/>
        <v>自然及人文环境状况</v>
      </c>
      <c r="R27" s="1508" t="s">
        <v>8</v>
      </c>
      <c r="S27" s="1509">
        <f>F27</f>
        <v>105</v>
      </c>
      <c r="T27" s="1508" t="s">
        <v>8</v>
      </c>
      <c r="U27" s="1509">
        <f>H27</f>
        <v>105</v>
      </c>
      <c r="V27" s="1508" t="s">
        <v>8</v>
      </c>
      <c r="W27" s="1509">
        <f>J27</f>
        <v>105</v>
      </c>
      <c r="X27" s="3290"/>
      <c r="Y27" s="3509"/>
      <c r="Z27" s="3292" t="str">
        <f>Q27</f>
        <v>自然及人文环境状况</v>
      </c>
      <c r="AA27" s="3293">
        <f t="shared" si="3"/>
        <v>0.95238095238095233</v>
      </c>
      <c r="AB27" s="3293">
        <f t="shared" si="4"/>
        <v>0.95238095238095233</v>
      </c>
      <c r="AC27" s="3293">
        <f t="shared" si="5"/>
        <v>0.95238095238095233</v>
      </c>
    </row>
    <row r="28" spans="1:29" ht="20.25">
      <c r="A28" s="509"/>
      <c r="B28" s="560"/>
      <c r="C28" s="548" t="s">
        <v>3216</v>
      </c>
      <c r="D28" s="551"/>
      <c r="E28" s="570" t="s">
        <v>3217</v>
      </c>
      <c r="F28" s="549"/>
      <c r="G28" s="548" t="s">
        <v>3217</v>
      </c>
      <c r="H28" s="549"/>
      <c r="I28" s="570" t="s">
        <v>3217</v>
      </c>
      <c r="J28" s="549"/>
      <c r="K28" s="525"/>
      <c r="L28" s="2025"/>
      <c r="M28" s="2015"/>
      <c r="N28" s="2015"/>
      <c r="O28" s="2024"/>
      <c r="P28" s="3509"/>
      <c r="Q28" s="3291"/>
      <c r="R28" s="1508"/>
      <c r="S28" s="1509"/>
      <c r="T28" s="1508"/>
      <c r="U28" s="1509"/>
      <c r="V28" s="1508"/>
      <c r="W28" s="1509"/>
      <c r="X28" s="3290"/>
      <c r="Y28" s="3509"/>
      <c r="Z28" s="3292"/>
      <c r="AA28" s="3293">
        <v>1</v>
      </c>
      <c r="AB28" s="3293">
        <v>1</v>
      </c>
      <c r="AC28" s="3293">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105</v>
      </c>
      <c r="G29" s="556"/>
      <c r="H29" s="553">
        <f>SUMIF(102:102,G30,103:103)-SUMIF(102:102,C30,103:103)+100</f>
        <v>105</v>
      </c>
      <c r="I29" s="558"/>
      <c r="J29" s="553">
        <f>SUMIF(102:102,I30,103:103)-SUMIF(102:102,C30,103:103)+100</f>
        <v>105</v>
      </c>
      <c r="K29" s="529">
        <v>5</v>
      </c>
      <c r="L29" s="2018"/>
      <c r="M29" s="2015"/>
      <c r="N29" s="2015"/>
      <c r="O29" s="2020"/>
      <c r="P29" s="3509"/>
      <c r="Q29" s="3288" t="str">
        <f t="shared" si="8"/>
        <v>公共配套设施</v>
      </c>
      <c r="R29" s="1503" t="s">
        <v>8</v>
      </c>
      <c r="S29" s="1504">
        <f>F29</f>
        <v>105</v>
      </c>
      <c r="T29" s="1503" t="s">
        <v>8</v>
      </c>
      <c r="U29" s="1504">
        <f>H29</f>
        <v>105</v>
      </c>
      <c r="V29" s="1503" t="s">
        <v>8</v>
      </c>
      <c r="W29" s="1504">
        <f>J29</f>
        <v>105</v>
      </c>
      <c r="X29" s="1505"/>
      <c r="Y29" s="3509"/>
      <c r="Z29" s="3287" t="str">
        <f>Q29</f>
        <v>公共配套设施</v>
      </c>
      <c r="AA29" s="3293">
        <f>D29/F29</f>
        <v>0.95238095238095233</v>
      </c>
      <c r="AB29" s="3293">
        <f>D29/H29</f>
        <v>0.95238095238095233</v>
      </c>
      <c r="AC29" s="3293">
        <f>D29/J29</f>
        <v>0.95238095238095233</v>
      </c>
    </row>
    <row r="30" spans="1:29" s="1203" customFormat="1" ht="20.25">
      <c r="A30" s="571"/>
      <c r="B30" s="560"/>
      <c r="C30" s="548" t="s">
        <v>3216</v>
      </c>
      <c r="D30" s="551"/>
      <c r="E30" s="552" t="s">
        <v>3217</v>
      </c>
      <c r="F30" s="549"/>
      <c r="G30" s="552" t="s">
        <v>3217</v>
      </c>
      <c r="H30" s="549"/>
      <c r="I30" s="552" t="s">
        <v>3217</v>
      </c>
      <c r="J30" s="549"/>
      <c r="K30" s="525"/>
      <c r="L30" s="2018"/>
      <c r="M30" s="2015"/>
      <c r="N30" s="2015"/>
      <c r="O30" s="2020"/>
      <c r="P30" s="3509"/>
      <c r="Q30" s="3288"/>
      <c r="R30" s="1503"/>
      <c r="S30" s="1504"/>
      <c r="T30" s="1503"/>
      <c r="U30" s="1504"/>
      <c r="V30" s="1503"/>
      <c r="W30" s="1504"/>
      <c r="X30" s="1505"/>
      <c r="Y30" s="3509"/>
      <c r="Z30" s="3287"/>
      <c r="AA30" s="3293">
        <v>1</v>
      </c>
      <c r="AB30" s="3293">
        <v>1</v>
      </c>
      <c r="AC30" s="3293">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09"/>
      <c r="Q31" s="3288" t="str">
        <f t="shared" ref="Q31" si="9">B31</f>
        <v>基础设施水平</v>
      </c>
      <c r="R31" s="1503" t="s">
        <v>8</v>
      </c>
      <c r="S31" s="1504">
        <f>F31</f>
        <v>100</v>
      </c>
      <c r="T31" s="1503" t="s">
        <v>8</v>
      </c>
      <c r="U31" s="1504">
        <f>H31</f>
        <v>100</v>
      </c>
      <c r="V31" s="1503" t="s">
        <v>8</v>
      </c>
      <c r="W31" s="1504">
        <f>J31</f>
        <v>100</v>
      </c>
      <c r="X31" s="1505"/>
      <c r="Y31" s="3509"/>
      <c r="Z31" s="3287" t="str">
        <f>Q31</f>
        <v>基础设施水平</v>
      </c>
      <c r="AA31" s="3293">
        <f>D31/F31</f>
        <v>1</v>
      </c>
      <c r="AB31" s="3293">
        <f>D31/H31</f>
        <v>1</v>
      </c>
      <c r="AC31" s="3293">
        <f>D31/J31</f>
        <v>1</v>
      </c>
    </row>
    <row r="32" spans="1:29" s="1203" customFormat="1" ht="20.25">
      <c r="A32" s="571"/>
      <c r="B32" s="560"/>
      <c r="C32" s="573"/>
      <c r="D32" s="551"/>
      <c r="E32" s="2437"/>
      <c r="F32" s="549"/>
      <c r="G32" s="573"/>
      <c r="H32" s="549"/>
      <c r="I32" s="573"/>
      <c r="J32" s="549"/>
      <c r="K32" s="525"/>
      <c r="L32" s="2018"/>
      <c r="M32" s="2015"/>
      <c r="N32" s="2015"/>
      <c r="O32" s="2020"/>
      <c r="P32" s="3509"/>
      <c r="Q32" s="3288"/>
      <c r="R32" s="1503"/>
      <c r="S32" s="1504"/>
      <c r="T32" s="1503"/>
      <c r="U32" s="1504"/>
      <c r="V32" s="1503"/>
      <c r="W32" s="1504"/>
      <c r="X32" s="1505"/>
      <c r="Y32" s="3509"/>
      <c r="Z32" s="3287"/>
      <c r="AA32" s="3293">
        <v>1</v>
      </c>
      <c r="AB32" s="3293">
        <v>1</v>
      </c>
      <c r="AC32" s="3293">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9"/>
      <c r="Q33" s="3291" t="str">
        <f t="shared" si="8"/>
        <v>临街状况</v>
      </c>
      <c r="R33" s="1508" t="s">
        <v>8</v>
      </c>
      <c r="S33" s="1509">
        <f t="shared" ref="S33:S47" si="10">F33</f>
        <v>100</v>
      </c>
      <c r="T33" s="1508" t="s">
        <v>8</v>
      </c>
      <c r="U33" s="1509">
        <f t="shared" ref="U33:U47" si="11">H33</f>
        <v>100</v>
      </c>
      <c r="V33" s="1508" t="s">
        <v>8</v>
      </c>
      <c r="W33" s="1509">
        <f t="shared" ref="W33:W47" si="12">J33</f>
        <v>100</v>
      </c>
      <c r="X33" s="3290"/>
      <c r="Y33" s="3509"/>
      <c r="Z33" s="3292" t="str">
        <f t="shared" ref="Z33:Z47" si="13">Q33</f>
        <v>临街状况</v>
      </c>
      <c r="AA33" s="3293">
        <f t="shared" si="3"/>
        <v>1</v>
      </c>
      <c r="AB33" s="3293">
        <f t="shared" si="4"/>
        <v>1</v>
      </c>
      <c r="AC33" s="3293">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9"/>
      <c r="Q34" s="3291" t="str">
        <f t="shared" si="8"/>
        <v>毗邻道路的类型与等级</v>
      </c>
      <c r="R34" s="1508" t="s">
        <v>8</v>
      </c>
      <c r="S34" s="1509">
        <f t="shared" si="10"/>
        <v>100</v>
      </c>
      <c r="T34" s="1508" t="s">
        <v>8</v>
      </c>
      <c r="U34" s="1509">
        <f t="shared" si="11"/>
        <v>100</v>
      </c>
      <c r="V34" s="1508" t="s">
        <v>8</v>
      </c>
      <c r="W34" s="1509">
        <f t="shared" si="12"/>
        <v>100</v>
      </c>
      <c r="X34" s="3290"/>
      <c r="Y34" s="3509"/>
      <c r="Z34" s="3292" t="str">
        <f t="shared" si="13"/>
        <v>毗邻道路的类型与等级</v>
      </c>
      <c r="AA34" s="3293">
        <f t="shared" si="3"/>
        <v>1</v>
      </c>
      <c r="AB34" s="3293">
        <f t="shared" si="4"/>
        <v>1</v>
      </c>
      <c r="AC34" s="3293">
        <f t="shared" si="5"/>
        <v>1</v>
      </c>
    </row>
    <row r="35" spans="1:29" ht="20.25">
      <c r="A35" s="526"/>
      <c r="B35" s="560"/>
      <c r="C35" s="548"/>
      <c r="D35" s="551"/>
      <c r="E35" s="570"/>
      <c r="F35" s="549"/>
      <c r="G35" s="548"/>
      <c r="H35" s="549"/>
      <c r="I35" s="570"/>
      <c r="J35" s="549"/>
      <c r="K35" s="575"/>
      <c r="L35" s="2025"/>
      <c r="M35" s="2015"/>
      <c r="N35" s="2015"/>
      <c r="O35" s="2024"/>
      <c r="P35" s="3509"/>
      <c r="Q35" s="3291"/>
      <c r="R35" s="1508"/>
      <c r="S35" s="1509"/>
      <c r="T35" s="1508"/>
      <c r="U35" s="1509"/>
      <c r="V35" s="1508"/>
      <c r="W35" s="1509"/>
      <c r="X35" s="3290"/>
      <c r="Y35" s="3509"/>
      <c r="Z35" s="3292"/>
      <c r="AA35" s="3293">
        <v>1</v>
      </c>
      <c r="AB35" s="3293">
        <v>1</v>
      </c>
      <c r="AC35" s="3293">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9"/>
      <c r="Q36" s="3291" t="str">
        <f t="shared" si="8"/>
        <v>土地级别</v>
      </c>
      <c r="R36" s="1508" t="s">
        <v>8</v>
      </c>
      <c r="S36" s="1509">
        <f t="shared" si="10"/>
        <v>100</v>
      </c>
      <c r="T36" s="1508" t="s">
        <v>8</v>
      </c>
      <c r="U36" s="1509">
        <f t="shared" si="11"/>
        <v>100</v>
      </c>
      <c r="V36" s="1508" t="s">
        <v>8</v>
      </c>
      <c r="W36" s="1509">
        <f t="shared" si="12"/>
        <v>100</v>
      </c>
      <c r="X36" s="3290"/>
      <c r="Y36" s="3509"/>
      <c r="Z36" s="3292" t="str">
        <f t="shared" si="13"/>
        <v>土地级别</v>
      </c>
      <c r="AA36" s="3293">
        <f t="shared" si="3"/>
        <v>1</v>
      </c>
      <c r="AB36" s="3293">
        <f t="shared" si="4"/>
        <v>1</v>
      </c>
      <c r="AC36" s="3293">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9"/>
      <c r="Q37" s="3291">
        <f t="shared" si="8"/>
        <v>111</v>
      </c>
      <c r="R37" s="1508" t="s">
        <v>8</v>
      </c>
      <c r="S37" s="1509">
        <f t="shared" si="10"/>
        <v>100</v>
      </c>
      <c r="T37" s="1508" t="s">
        <v>8</v>
      </c>
      <c r="U37" s="1509">
        <f t="shared" si="11"/>
        <v>100</v>
      </c>
      <c r="V37" s="1508" t="s">
        <v>8</v>
      </c>
      <c r="W37" s="1509">
        <f t="shared" si="12"/>
        <v>100</v>
      </c>
      <c r="X37" s="3290"/>
      <c r="Y37" s="3509"/>
      <c r="Z37" s="3292">
        <f t="shared" si="13"/>
        <v>111</v>
      </c>
      <c r="AA37" s="3293">
        <f t="shared" si="3"/>
        <v>1</v>
      </c>
      <c r="AB37" s="3293">
        <f t="shared" si="4"/>
        <v>1</v>
      </c>
      <c r="AC37" s="3293">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0" t="s">
        <v>544</v>
      </c>
      <c r="Q38" s="3291">
        <f t="shared" si="8"/>
        <v>111</v>
      </c>
      <c r="R38" s="1508" t="s">
        <v>8</v>
      </c>
      <c r="S38" s="1509">
        <f t="shared" si="10"/>
        <v>100</v>
      </c>
      <c r="T38" s="1508" t="s">
        <v>8</v>
      </c>
      <c r="U38" s="1509">
        <f t="shared" si="11"/>
        <v>100</v>
      </c>
      <c r="V38" s="1508" t="s">
        <v>8</v>
      </c>
      <c r="W38" s="1509">
        <f t="shared" si="12"/>
        <v>100</v>
      </c>
      <c r="X38" s="3290"/>
      <c r="Y38" s="3511" t="s">
        <v>544</v>
      </c>
      <c r="Z38" s="3292">
        <f t="shared" si="13"/>
        <v>111</v>
      </c>
      <c r="AA38" s="3293">
        <f t="shared" si="3"/>
        <v>1</v>
      </c>
      <c r="AB38" s="3293">
        <f t="shared" si="4"/>
        <v>1</v>
      </c>
      <c r="AC38" s="3293">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1"/>
      <c r="Q39" s="3291">
        <f t="shared" si="8"/>
        <v>111</v>
      </c>
      <c r="R39" s="1512" t="s">
        <v>8</v>
      </c>
      <c r="S39" s="1513">
        <f t="shared" si="10"/>
        <v>100</v>
      </c>
      <c r="T39" s="1512" t="s">
        <v>8</v>
      </c>
      <c r="U39" s="1513">
        <f t="shared" si="11"/>
        <v>100</v>
      </c>
      <c r="V39" s="1512" t="s">
        <v>8</v>
      </c>
      <c r="W39" s="1513">
        <f t="shared" si="12"/>
        <v>100</v>
      </c>
      <c r="X39" s="1514"/>
      <c r="Y39" s="3511"/>
      <c r="Z39" s="1515">
        <f t="shared" si="13"/>
        <v>111</v>
      </c>
      <c r="AA39" s="3293">
        <f t="shared" si="3"/>
        <v>1</v>
      </c>
      <c r="AB39" s="3293">
        <f t="shared" si="4"/>
        <v>1</v>
      </c>
      <c r="AC39" s="3293">
        <f t="shared" si="5"/>
        <v>1</v>
      </c>
    </row>
    <row r="40" spans="1:29" ht="20.25">
      <c r="A40" s="2625" t="s">
        <v>2736</v>
      </c>
      <c r="B40" s="589" t="s">
        <v>546</v>
      </c>
      <c r="C40" s="590">
        <f>'数据-汇总表'!D19</f>
        <v>40307.71</v>
      </c>
      <c r="D40" s="591">
        <v>100</v>
      </c>
      <c r="E40" s="590">
        <f>土地及销售案例!G20</f>
        <v>42522</v>
      </c>
      <c r="F40" s="591">
        <f>LOOKUP(E40,119:119,120:120)-LOOKUP(C40,119:119,120:120)+100</f>
        <v>100</v>
      </c>
      <c r="G40" s="590">
        <f>土地及销售案例!G24</f>
        <v>47227</v>
      </c>
      <c r="H40" s="591">
        <f>LOOKUP(G40,119:119,120:120)-LOOKUP(C40,119:119,120:120)+100</f>
        <v>100</v>
      </c>
      <c r="I40" s="592">
        <f>土地及销售案例!G42</f>
        <v>93035</v>
      </c>
      <c r="J40" s="591">
        <f>LOOKUP(I40,119:119,120:120)-LOOKUP(C40,119:119,120:120)+100</f>
        <v>102</v>
      </c>
      <c r="K40" s="575"/>
      <c r="L40" s="2025"/>
      <c r="M40" s="2015"/>
      <c r="N40" s="2015"/>
      <c r="O40" s="2024"/>
      <c r="P40" s="3511"/>
      <c r="Q40" s="3291" t="str">
        <f>B40</f>
        <v>宗地面积</v>
      </c>
      <c r="R40" s="1508" t="s">
        <v>8</v>
      </c>
      <c r="S40" s="1509">
        <f t="shared" si="10"/>
        <v>100</v>
      </c>
      <c r="T40" s="1508" t="s">
        <v>8</v>
      </c>
      <c r="U40" s="1509">
        <f t="shared" si="11"/>
        <v>100</v>
      </c>
      <c r="V40" s="1508" t="s">
        <v>8</v>
      </c>
      <c r="W40" s="1509">
        <f t="shared" si="12"/>
        <v>102</v>
      </c>
      <c r="X40" s="3290"/>
      <c r="Y40" s="3511"/>
      <c r="Z40" s="3292" t="str">
        <f t="shared" si="13"/>
        <v>宗地面积</v>
      </c>
      <c r="AA40" s="3293">
        <f t="shared" si="3"/>
        <v>1</v>
      </c>
      <c r="AB40" s="3293">
        <f t="shared" si="4"/>
        <v>1</v>
      </c>
      <c r="AC40" s="3293">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11"/>
      <c r="Q41" s="3291" t="str">
        <f t="shared" ref="Q41:Q47" si="14">B41</f>
        <v>宗地形状</v>
      </c>
      <c r="R41" s="1508" t="s">
        <v>8</v>
      </c>
      <c r="S41" s="1509">
        <f t="shared" si="10"/>
        <v>100</v>
      </c>
      <c r="T41" s="1508" t="s">
        <v>8</v>
      </c>
      <c r="U41" s="1509">
        <f t="shared" si="11"/>
        <v>100</v>
      </c>
      <c r="V41" s="1508" t="s">
        <v>8</v>
      </c>
      <c r="W41" s="1509">
        <f t="shared" si="12"/>
        <v>100</v>
      </c>
      <c r="X41" s="3290"/>
      <c r="Y41" s="3511"/>
      <c r="Z41" s="3292" t="str">
        <f t="shared" si="13"/>
        <v>宗地形状</v>
      </c>
      <c r="AA41" s="3293">
        <f t="shared" si="3"/>
        <v>1</v>
      </c>
      <c r="AB41" s="3293">
        <f t="shared" si="4"/>
        <v>1</v>
      </c>
      <c r="AC41" s="3293">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1"/>
      <c r="Q42" s="3291" t="str">
        <f t="shared" si="14"/>
        <v>临街宽度及深度</v>
      </c>
      <c r="R42" s="1508" t="s">
        <v>8</v>
      </c>
      <c r="S42" s="1509">
        <f t="shared" si="10"/>
        <v>100</v>
      </c>
      <c r="T42" s="1508" t="s">
        <v>8</v>
      </c>
      <c r="U42" s="1509">
        <f t="shared" si="11"/>
        <v>100</v>
      </c>
      <c r="V42" s="1508" t="s">
        <v>8</v>
      </c>
      <c r="W42" s="1509">
        <f t="shared" si="12"/>
        <v>100</v>
      </c>
      <c r="X42" s="3290"/>
      <c r="Y42" s="3511"/>
      <c r="Z42" s="3292" t="str">
        <f t="shared" si="13"/>
        <v>临街宽度及深度</v>
      </c>
      <c r="AA42" s="3293">
        <f t="shared" si="3"/>
        <v>1</v>
      </c>
      <c r="AB42" s="3293">
        <f t="shared" si="4"/>
        <v>1</v>
      </c>
      <c r="AC42" s="3293">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11"/>
      <c r="Q43" s="3291" t="str">
        <f t="shared" si="14"/>
        <v>宗地开发程度</v>
      </c>
      <c r="R43" s="1503" t="s">
        <v>8</v>
      </c>
      <c r="S43" s="1504">
        <f t="shared" si="10"/>
        <v>100</v>
      </c>
      <c r="T43" s="1503" t="s">
        <v>8</v>
      </c>
      <c r="U43" s="1504">
        <f t="shared" si="11"/>
        <v>100</v>
      </c>
      <c r="V43" s="1503" t="s">
        <v>8</v>
      </c>
      <c r="W43" s="1504">
        <f t="shared" si="12"/>
        <v>100</v>
      </c>
      <c r="X43" s="1505"/>
      <c r="Y43" s="3511"/>
      <c r="Z43" s="3287"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1" t="s">
        <v>544</v>
      </c>
      <c r="Q44" s="3291" t="str">
        <f t="shared" si="14"/>
        <v>工程地质条件</v>
      </c>
      <c r="R44" s="1508" t="s">
        <v>8</v>
      </c>
      <c r="S44" s="1509">
        <f t="shared" si="10"/>
        <v>100</v>
      </c>
      <c r="T44" s="1508" t="s">
        <v>8</v>
      </c>
      <c r="U44" s="1509">
        <f t="shared" si="11"/>
        <v>100</v>
      </c>
      <c r="V44" s="1508" t="s">
        <v>8</v>
      </c>
      <c r="W44" s="1509">
        <f t="shared" si="12"/>
        <v>100</v>
      </c>
      <c r="X44" s="3290"/>
      <c r="Y44" s="3511" t="s">
        <v>544</v>
      </c>
      <c r="Z44" s="3292" t="str">
        <f t="shared" si="13"/>
        <v>工程地质条件</v>
      </c>
      <c r="AA44" s="3293">
        <f t="shared" si="3"/>
        <v>1</v>
      </c>
      <c r="AB44" s="3293">
        <f t="shared" si="4"/>
        <v>1</v>
      </c>
      <c r="AC44" s="3293">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1"/>
      <c r="Q45" s="3291">
        <f t="shared" si="14"/>
        <v>111</v>
      </c>
      <c r="R45" s="1508" t="s">
        <v>8</v>
      </c>
      <c r="S45" s="1509">
        <f t="shared" si="10"/>
        <v>100</v>
      </c>
      <c r="T45" s="1508" t="s">
        <v>8</v>
      </c>
      <c r="U45" s="1509">
        <f t="shared" si="11"/>
        <v>100</v>
      </c>
      <c r="V45" s="1508" t="s">
        <v>8</v>
      </c>
      <c r="W45" s="1509">
        <f t="shared" si="12"/>
        <v>100</v>
      </c>
      <c r="X45" s="3290"/>
      <c r="Y45" s="3511"/>
      <c r="Z45" s="3292">
        <f t="shared" si="13"/>
        <v>111</v>
      </c>
      <c r="AA45" s="3293">
        <f t="shared" si="3"/>
        <v>1</v>
      </c>
      <c r="AB45" s="3293">
        <f t="shared" si="4"/>
        <v>1</v>
      </c>
      <c r="AC45" s="3293">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1"/>
      <c r="Q46" s="3291">
        <f t="shared" si="14"/>
        <v>111</v>
      </c>
      <c r="R46" s="1508" t="s">
        <v>8</v>
      </c>
      <c r="S46" s="1509">
        <f t="shared" si="10"/>
        <v>100</v>
      </c>
      <c r="T46" s="1508" t="s">
        <v>8</v>
      </c>
      <c r="U46" s="1509">
        <f t="shared" si="11"/>
        <v>100</v>
      </c>
      <c r="V46" s="1508" t="s">
        <v>8</v>
      </c>
      <c r="W46" s="1509">
        <f t="shared" si="12"/>
        <v>100</v>
      </c>
      <c r="X46" s="3290"/>
      <c r="Y46" s="3511"/>
      <c r="Z46" s="3292">
        <f t="shared" si="13"/>
        <v>111</v>
      </c>
      <c r="AA46" s="3293">
        <f t="shared" si="3"/>
        <v>1</v>
      </c>
      <c r="AB46" s="3293">
        <f t="shared" si="4"/>
        <v>1</v>
      </c>
      <c r="AC46" s="3293">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1"/>
      <c r="Q47" s="3291">
        <f t="shared" si="14"/>
        <v>111</v>
      </c>
      <c r="R47" s="1512" t="s">
        <v>8</v>
      </c>
      <c r="S47" s="1513">
        <f t="shared" si="10"/>
        <v>100</v>
      </c>
      <c r="T47" s="1512" t="s">
        <v>8</v>
      </c>
      <c r="U47" s="1513">
        <f t="shared" si="11"/>
        <v>100</v>
      </c>
      <c r="V47" s="1512" t="s">
        <v>8</v>
      </c>
      <c r="W47" s="1513">
        <f t="shared" si="12"/>
        <v>100</v>
      </c>
      <c r="X47" s="1514"/>
      <c r="Y47" s="3511"/>
      <c r="Z47" s="1515">
        <f t="shared" si="13"/>
        <v>111</v>
      </c>
      <c r="AA47" s="3293">
        <f t="shared" si="3"/>
        <v>1</v>
      </c>
      <c r="AB47" s="3293">
        <f t="shared" si="4"/>
        <v>1</v>
      </c>
      <c r="AC47" s="3293">
        <f t="shared" si="5"/>
        <v>1</v>
      </c>
    </row>
    <row r="48" spans="1:29" ht="20.25">
      <c r="A48" s="601" t="s">
        <v>550</v>
      </c>
      <c r="B48" s="602" t="s">
        <v>3032</v>
      </c>
      <c r="C48" s="603" t="s">
        <v>1</v>
      </c>
      <c r="D48" s="604"/>
      <c r="E48" s="605">
        <f>土地及销售案例!N20</f>
        <v>3523.48</v>
      </c>
      <c r="F48" s="606"/>
      <c r="G48" s="607">
        <f>土地及销售案例!N24</f>
        <v>3351.19</v>
      </c>
      <c r="H48" s="608"/>
      <c r="I48" s="605">
        <f>土地及销售案例!N42</f>
        <v>2913.05</v>
      </c>
      <c r="J48" s="608"/>
      <c r="K48" s="1294"/>
      <c r="L48" s="2027"/>
      <c r="M48" s="2015"/>
      <c r="N48" s="2015"/>
      <c r="O48" s="2028"/>
      <c r="P48" s="3474" t="str">
        <f>A48</f>
        <v>成交单价</v>
      </c>
      <c r="Q48" s="3474"/>
      <c r="R48" s="3475">
        <f>E48</f>
        <v>3523.48</v>
      </c>
      <c r="S48" s="3475"/>
      <c r="T48" s="3475">
        <f>G48</f>
        <v>3351.19</v>
      </c>
      <c r="U48" s="3475"/>
      <c r="V48" s="3475">
        <f>I48</f>
        <v>2913.05</v>
      </c>
      <c r="W48" s="3475"/>
      <c r="X48" s="1497"/>
      <c r="Y48" s="1516"/>
      <c r="Z48" s="1497"/>
      <c r="AA48" s="1497"/>
      <c r="AB48" s="1497"/>
      <c r="AC48" s="1497"/>
    </row>
    <row r="49" spans="1:29" ht="21" thickBot="1">
      <c r="A49" s="609" t="s">
        <v>2674</v>
      </c>
      <c r="B49" s="610"/>
      <c r="C49" s="611">
        <f>R50</f>
        <v>2704</v>
      </c>
      <c r="D49" s="3014" t="s">
        <v>2972</v>
      </c>
      <c r="E49" s="611">
        <f>R49</f>
        <v>2928</v>
      </c>
      <c r="F49" s="3015"/>
      <c r="G49" s="612">
        <f>T49</f>
        <v>2785</v>
      </c>
      <c r="H49" s="3015"/>
      <c r="I49" s="611">
        <f>V49</f>
        <v>2398</v>
      </c>
      <c r="J49" s="3015"/>
      <c r="K49" s="3016">
        <f>F49+H49+J49</f>
        <v>0</v>
      </c>
      <c r="L49" s="2027"/>
      <c r="M49" s="2015"/>
      <c r="N49" s="2015"/>
      <c r="O49" s="2028"/>
      <c r="P49" s="3474" t="str">
        <f>A49</f>
        <v>比较价格（元/平方米）</v>
      </c>
      <c r="Q49" s="3474"/>
      <c r="R49" s="3476">
        <f>ROUND(PRODUCT(R48,AA9:AA47),0)</f>
        <v>2928</v>
      </c>
      <c r="S49" s="3476"/>
      <c r="T49" s="3476">
        <f>ROUND(PRODUCT(T48,AB9:AB47),0)</f>
        <v>2785</v>
      </c>
      <c r="U49" s="3476"/>
      <c r="V49" s="3476">
        <f>ROUND(PRODUCT(V48,AC9:AC47),0)</f>
        <v>2398</v>
      </c>
      <c r="W49" s="3476"/>
      <c r="X49" s="1497"/>
      <c r="Y49" s="1497"/>
      <c r="Z49" s="1497"/>
      <c r="AA49" s="1497"/>
      <c r="AB49" s="1497"/>
      <c r="AC49" s="1497"/>
    </row>
    <row r="50" spans="1:29" ht="21" thickBot="1">
      <c r="A50" s="613" t="s">
        <v>2904</v>
      </c>
      <c r="B50" s="614"/>
      <c r="C50" s="615">
        <f>R50</f>
        <v>2704</v>
      </c>
      <c r="D50" s="615"/>
      <c r="E50" s="615"/>
      <c r="F50" s="615"/>
      <c r="G50" s="615"/>
      <c r="H50" s="615"/>
      <c r="I50" s="615"/>
      <c r="J50" s="615"/>
      <c r="K50" s="1295"/>
      <c r="L50" s="2027"/>
      <c r="M50" s="2015"/>
      <c r="N50" s="2015"/>
      <c r="O50" s="2028"/>
      <c r="P50" s="3471" t="str">
        <f>A50</f>
        <v>估价对象XX用房的比较价格（楼面单价，元/平方米）</v>
      </c>
      <c r="Q50" s="3472"/>
      <c r="R50" s="3473">
        <f>ROUND(IF(D49="简单平均",AVERAGE(R49:W49),R49*F49+T49*H49+V49*J49),0)</f>
        <v>2704</v>
      </c>
      <c r="S50" s="3473"/>
      <c r="T50" s="3473"/>
      <c r="U50" s="3473"/>
      <c r="V50" s="3473"/>
      <c r="W50" s="3473"/>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0.20337431693989072</v>
      </c>
      <c r="F53" s="619" t="str">
        <f>IF(OR(E53&gt;=0.3,E53&lt;=-0.3),"超过30%","")</f>
        <v/>
      </c>
      <c r="G53" s="618">
        <f>IF(G48&lt;G49,G49/G48-1,G48/G49-1)</f>
        <v>0.20329982046678641</v>
      </c>
      <c r="H53" s="619" t="str">
        <f>IF(OR(G53&gt;=0.3,G53&lt;=-0.3),"超过30%","")</f>
        <v/>
      </c>
      <c r="I53" s="618">
        <f>IF(I48&lt;I49,I49/I48-1,I48/I49-1)</f>
        <v>0.2147831526271895</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5.134649910233402E-2</v>
      </c>
      <c r="F54" s="619" t="str">
        <f>IF(OR(E54&gt;=0.2,E54&lt;=-0.2),"超过20%","")</f>
        <v/>
      </c>
      <c r="G54" s="618">
        <f>IF(G49&lt;I49,I49/G49-1,G49/I49-1)</f>
        <v>0.16138448707256048</v>
      </c>
      <c r="H54" s="619" t="str">
        <f>IF(OR(G54&gt;=0.2,G54&lt;=-0.2),"超过20%","")</f>
        <v/>
      </c>
      <c r="I54" s="618">
        <f>IF(I49&lt;E49,E49/I49-1,I49/E49-1)</f>
        <v>0.22101751459549623</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5.1411588122428187E-2</v>
      </c>
      <c r="F55" s="619" t="str">
        <f>IF(OR(E55&gt;=0.3,E55&lt;=-0.3),"超过30%","")</f>
        <v/>
      </c>
      <c r="G55" s="618">
        <f>IF(G48&lt;I48,I48/G48-1,G48/I48-1)</f>
        <v>0.15040593192701812</v>
      </c>
      <c r="H55" s="619" t="str">
        <f>IF(OR(G55&gt;=0.3,G55&lt;=-0.3),"超过30%","")</f>
        <v/>
      </c>
      <c r="I55" s="618">
        <f>IF(I48&lt;E48,E48/I48-1,I48/E48-1)</f>
        <v>0.20955012787284799</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0" t="s">
        <v>2269</v>
      </c>
      <c r="H57" s="350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2704</v>
      </c>
      <c r="C58" s="627">
        <v>1</v>
      </c>
      <c r="D58" s="2109">
        <v>1</v>
      </c>
      <c r="E58" s="627">
        <f>'数据-汇总表'!E8+'数据-汇总表'!E9</f>
        <v>142861.59999999998</v>
      </c>
      <c r="F58" s="628">
        <f t="shared" ref="F58:F67" si="15">ROUND(B58*E58/10000,0)</f>
        <v>38630</v>
      </c>
      <c r="G58" s="3502"/>
      <c r="H58" s="350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04"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04"/>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04"/>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04"/>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3289"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3289"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142861.59999999998</v>
      </c>
      <c r="F68" s="636">
        <f>IF(B48="楼面地价",SUM(F58:F67),ROUND(C50*E68/10000,0))</f>
        <v>38630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2020-12-1</v>
      </c>
      <c r="D70" s="2517">
        <f>EDATE(C70,-3)</f>
        <v>44075</v>
      </c>
      <c r="E70" s="2517">
        <f t="shared" ref="E70:N70" si="18">EDATE(D70,-3)</f>
        <v>43983</v>
      </c>
      <c r="F70" s="2517">
        <f t="shared" si="18"/>
        <v>43891</v>
      </c>
      <c r="G70" s="2517">
        <f t="shared" si="18"/>
        <v>43800</v>
      </c>
      <c r="H70" s="2517">
        <f t="shared" si="18"/>
        <v>43709</v>
      </c>
      <c r="I70" s="2517">
        <f t="shared" si="18"/>
        <v>43617</v>
      </c>
      <c r="J70" s="2517">
        <f t="shared" si="18"/>
        <v>43525</v>
      </c>
      <c r="K70" s="2517">
        <f t="shared" si="18"/>
        <v>43435</v>
      </c>
      <c r="L70" s="2517">
        <f t="shared" si="18"/>
        <v>43344</v>
      </c>
      <c r="M70" s="2517">
        <f t="shared" si="18"/>
        <v>43252</v>
      </c>
      <c r="N70" s="2517">
        <f t="shared" si="18"/>
        <v>43160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9"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722">
        <v>100</v>
      </c>
      <c r="E73" s="722">
        <v>100</v>
      </c>
      <c r="F73" s="722">
        <v>100</v>
      </c>
      <c r="G73" s="722">
        <v>100</v>
      </c>
      <c r="H73" s="722">
        <v>100</v>
      </c>
      <c r="I73" s="722">
        <v>100</v>
      </c>
      <c r="J73" s="722">
        <v>100</v>
      </c>
      <c r="K73" s="722">
        <v>100</v>
      </c>
      <c r="L73" s="722">
        <v>100</v>
      </c>
      <c r="M73" s="722">
        <v>100</v>
      </c>
      <c r="N73" s="722">
        <v>100</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95</v>
      </c>
      <c r="E91" s="671">
        <f>D91-$K17</f>
        <v>90</v>
      </c>
      <c r="F91" s="671">
        <f>E91-$K17</f>
        <v>85</v>
      </c>
      <c r="G91" s="671">
        <f>F91-$K17</f>
        <v>80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95</v>
      </c>
      <c r="E93" s="671">
        <f>D93-$K19</f>
        <v>90</v>
      </c>
      <c r="F93" s="671">
        <f>E93-$K19</f>
        <v>85</v>
      </c>
      <c r="G93" s="671">
        <f>F93-$K19</f>
        <v>80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692">
        <v>102</v>
      </c>
      <c r="F120" s="718">
        <v>103</v>
      </c>
      <c r="G120" s="692">
        <v>104</v>
      </c>
      <c r="H120" s="718">
        <v>105</v>
      </c>
      <c r="I120" s="692">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8"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2027</v>
      </c>
      <c r="B1" s="3302"/>
      <c r="C1" s="3302"/>
      <c r="D1" s="3302"/>
      <c r="E1" s="3302"/>
      <c r="F1" s="3302"/>
      <c r="G1" s="3302"/>
      <c r="H1" s="3302"/>
      <c r="I1" s="3302"/>
      <c r="J1" s="3302"/>
      <c r="K1" s="3302"/>
      <c r="L1" s="3302"/>
      <c r="M1" s="3302"/>
      <c r="N1" s="3302"/>
      <c r="O1" s="3302"/>
      <c r="P1" s="3302"/>
      <c r="Q1" s="3302"/>
      <c r="R1" s="3302"/>
    </row>
    <row r="2" spans="1:18">
      <c r="A2" s="1723" t="s">
        <v>2029</v>
      </c>
      <c r="B2" s="1723"/>
      <c r="C2" s="1723"/>
      <c r="D2" s="1723"/>
      <c r="E2" s="1723"/>
      <c r="F2" s="1723"/>
      <c r="G2" s="1723"/>
      <c r="H2" s="1723"/>
      <c r="I2" s="1724"/>
      <c r="J2" s="1724"/>
      <c r="K2" s="1725" t="str">
        <f>"估价期日："&amp;TEXT(项目基本情况!D3,"yyyy年m月d日;;")</f>
        <v>估价期日：2020年12月21日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3" t="s">
        <v>2018</v>
      </c>
      <c r="B3" s="3303" t="s">
        <v>2712</v>
      </c>
      <c r="C3" s="3304" t="s">
        <v>2019</v>
      </c>
      <c r="D3" s="3303" t="s">
        <v>2716</v>
      </c>
      <c r="E3" s="3306" t="s">
        <v>2020</v>
      </c>
      <c r="F3" s="3306"/>
      <c r="G3" s="3306"/>
      <c r="H3" s="3306" t="s">
        <v>2021</v>
      </c>
      <c r="I3" s="3306"/>
      <c r="J3" s="3306"/>
      <c r="K3" s="3304" t="s">
        <v>2022</v>
      </c>
      <c r="L3" s="3304" t="s">
        <v>2023</v>
      </c>
      <c r="M3" s="3303" t="s">
        <v>2713</v>
      </c>
      <c r="N3" s="3305" t="str">
        <f>"（分摊）"&amp;项目基本情况!B16&amp;"国有建设用地使用权面积/㎡"</f>
        <v>（分摊）出让国有建设用地使用权面积/㎡</v>
      </c>
      <c r="O3" s="3303" t="s">
        <v>2052</v>
      </c>
      <c r="P3" s="3304" t="s">
        <v>2032</v>
      </c>
      <c r="Q3" s="3304" t="s">
        <v>2053</v>
      </c>
      <c r="R3" s="3304" t="s">
        <v>2024</v>
      </c>
    </row>
    <row r="4" spans="1:18" ht="36.75" customHeight="1">
      <c r="A4" s="3303"/>
      <c r="B4" s="3303"/>
      <c r="C4" s="3304"/>
      <c r="D4" s="3303"/>
      <c r="E4" s="2492" t="s">
        <v>2031</v>
      </c>
      <c r="F4" s="2492" t="s">
        <v>2725</v>
      </c>
      <c r="G4" s="2492" t="s">
        <v>2025</v>
      </c>
      <c r="H4" s="2492" t="s">
        <v>2026</v>
      </c>
      <c r="I4" s="2492" t="s">
        <v>2726</v>
      </c>
      <c r="J4" s="2492" t="s">
        <v>2025</v>
      </c>
      <c r="K4" s="3304"/>
      <c r="L4" s="3304"/>
      <c r="M4" s="3303"/>
      <c r="N4" s="3305"/>
      <c r="O4" s="3303"/>
      <c r="P4" s="3304"/>
      <c r="Q4" s="3304"/>
      <c r="R4" s="3304"/>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51022</v>
      </c>
      <c r="O5" s="1726">
        <f>项目基本情况!C21</f>
        <v>142861.59999999998</v>
      </c>
      <c r="P5" s="1726">
        <f ca="1">结果表!E42</f>
        <v>6994</v>
      </c>
      <c r="Q5" s="1726">
        <f ca="1">结果表!D42</f>
        <v>2498</v>
      </c>
      <c r="R5" s="1727">
        <f ca="1">结果表!C42</f>
        <v>35685</v>
      </c>
    </row>
    <row r="6" spans="1:18">
      <c r="A6" s="3299" t="str">
        <f>IF(项目基本情况!B9="市场价格","——","抵押价格")</f>
        <v>抵押价格</v>
      </c>
      <c r="B6" s="3300"/>
      <c r="C6" s="3300"/>
      <c r="D6" s="3300"/>
      <c r="E6" s="3300"/>
      <c r="F6" s="3300"/>
      <c r="G6" s="3300"/>
      <c r="H6" s="3300"/>
      <c r="I6" s="3300"/>
      <c r="J6" s="3300"/>
      <c r="K6" s="3300"/>
      <c r="L6" s="3300"/>
      <c r="M6" s="3300"/>
      <c r="N6" s="3300"/>
      <c r="O6" s="3300"/>
      <c r="P6" s="3300"/>
      <c r="Q6" s="3301"/>
      <c r="R6" s="1728" t="str">
        <f>结果表!O39</f>
        <v>——</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8" t="str">
        <f>结果表!O40</f>
        <v>——</v>
      </c>
    </row>
    <row r="8" spans="1:18">
      <c r="A8" s="3299">
        <f>IF(项目基本情况!B9="市场价格","——",项目基本情况!E9)</f>
        <v>0</v>
      </c>
      <c r="B8" s="3300"/>
      <c r="C8" s="3300"/>
      <c r="D8" s="3300"/>
      <c r="E8" s="3300"/>
      <c r="F8" s="3300"/>
      <c r="G8" s="3300"/>
      <c r="H8" s="3300"/>
      <c r="I8" s="3300"/>
      <c r="J8" s="3300"/>
      <c r="K8" s="3300"/>
      <c r="L8" s="3300"/>
      <c r="M8" s="3300"/>
      <c r="N8" s="3300"/>
      <c r="O8" s="3300"/>
      <c r="P8" s="3300"/>
      <c r="Q8" s="330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8" t="s">
        <v>2054</v>
      </c>
      <c r="B1" s="3308"/>
      <c r="C1" s="3308"/>
      <c r="D1" s="3308"/>
    </row>
    <row r="2" spans="1:4" ht="47.25" customHeight="1">
      <c r="A2" s="3309" t="str">
        <f>"1.权利限制："&amp;项目基本情况!L24&amp;"未设定租赁等其他他项权利。"</f>
        <v>1.权利限制：根据估价对象《不动产权证书》原件、《国有土地使用权》复印件，截至估价期日，估价对象抵押权未见登记。未设定租赁等其他他项权利。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2055</v>
      </c>
      <c r="B5" s="3307"/>
      <c r="C5" s="3307"/>
      <c r="D5" s="3307"/>
    </row>
    <row r="6" spans="1:4">
      <c r="A6" s="3308" t="s">
        <v>2033</v>
      </c>
      <c r="B6" s="3308"/>
      <c r="C6" s="3308"/>
      <c r="D6" s="3308"/>
    </row>
    <row r="7" spans="1:4" ht="33" customHeight="1">
      <c r="A7" s="3308" t="s">
        <v>2556</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8"/>
      <c r="C8" s="3308"/>
      <c r="D8" s="3308"/>
    </row>
    <row r="9" spans="1:4" ht="33.75" customHeight="1">
      <c r="A9" s="33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8"/>
      <c r="C9" s="3308"/>
      <c r="D9" s="3308"/>
    </row>
    <row r="10" spans="1:4">
      <c r="A10" s="3308" t="str">
        <f>IF(项目基本情况!B8="抵押","4.估价师所知悉的法定优先受偿款情况为：","——")</f>
        <v>4.估价师所知悉的法定优先受偿款情况为：</v>
      </c>
      <c r="B10" s="3308"/>
      <c r="C10" s="3308"/>
      <c r="D10" s="3308"/>
    </row>
    <row r="11" spans="1:4" ht="37.5" customHeight="1">
      <c r="A11" s="33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0"/>
      <c r="C11" s="3310"/>
      <c r="D11" s="3310"/>
    </row>
    <row r="12" spans="1:4" ht="168" customHeight="1">
      <c r="A12" s="3307" t="s">
        <v>2057</v>
      </c>
      <c r="B12" s="3307"/>
      <c r="C12" s="3307"/>
      <c r="D12" s="3307"/>
    </row>
    <row r="13" spans="1:4">
      <c r="A13" s="3311" t="s">
        <v>2727</v>
      </c>
      <c r="B13" s="3311"/>
      <c r="C13" s="3311"/>
      <c r="D13" s="3311"/>
    </row>
    <row r="14" spans="1:4">
      <c r="A14" s="3310" t="str">
        <f>IF(项目基本情况!B8="抵押","综上，"&amp;结果表!K47,"——")</f>
        <v>综上，本次评估不存在估价师知悉的法定优先受偿款</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2683</v>
      </c>
      <c r="B17" s="3308"/>
      <c r="C17" s="3308"/>
      <c r="D17" s="3308"/>
    </row>
    <row r="18" spans="1:4">
      <c r="A18" s="3308" t="s">
        <v>2675</v>
      </c>
      <c r="B18" s="3308"/>
      <c r="C18" s="3308"/>
      <c r="D18" s="3308"/>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08" t="s">
        <v>2680</v>
      </c>
      <c r="B23" s="3308"/>
      <c r="C23" s="3308"/>
      <c r="D23" s="3308"/>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9" t="s">
        <v>53</v>
      </c>
      <c r="B15" s="3320" t="s">
        <v>838</v>
      </c>
      <c r="C15" s="3316"/>
    </row>
    <row r="16" spans="1:7" ht="14.25">
      <c r="A16" s="3319"/>
      <c r="B16" s="3317" t="s">
        <v>54</v>
      </c>
      <c r="C16" s="1155" t="s">
        <v>53</v>
      </c>
    </row>
    <row r="17" spans="1:3" ht="14.25">
      <c r="A17" s="3319"/>
      <c r="B17" s="3317"/>
      <c r="C17" s="1155" t="s">
        <v>55</v>
      </c>
    </row>
    <row r="18" spans="1:3" ht="14.25">
      <c r="A18" s="3319"/>
      <c r="B18" s="3317"/>
      <c r="C18" s="1155" t="s">
        <v>56</v>
      </c>
    </row>
    <row r="19" spans="1:3" ht="14.25">
      <c r="A19" s="3319"/>
      <c r="B19" s="3315" t="s">
        <v>57</v>
      </c>
      <c r="C19" s="3316"/>
    </row>
    <row r="20" spans="1:3" ht="14.25">
      <c r="A20" s="1156" t="s">
        <v>58</v>
      </c>
      <c r="B20" s="1157"/>
      <c r="C20" s="1158"/>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9" t="s">
        <v>829</v>
      </c>
    </row>
    <row r="25" spans="1:3" ht="14.25">
      <c r="A25" s="3318"/>
      <c r="B25" s="3322"/>
      <c r="C25" s="1159" t="s">
        <v>830</v>
      </c>
    </row>
    <row r="26" spans="1:3" ht="14.25">
      <c r="A26" s="3318"/>
      <c r="B26" s="3322"/>
      <c r="C26" s="1159" t="s">
        <v>831</v>
      </c>
    </row>
    <row r="27" spans="1:3" ht="14.25">
      <c r="A27" s="3318"/>
      <c r="B27" s="3322"/>
      <c r="C27" s="1159" t="s">
        <v>832</v>
      </c>
    </row>
    <row r="28" spans="1:3" ht="14.25">
      <c r="A28" s="3318"/>
      <c r="B28" s="3322"/>
      <c r="C28" s="1159" t="s">
        <v>833</v>
      </c>
    </row>
    <row r="29" spans="1:3" ht="14.25">
      <c r="A29" s="3318"/>
      <c r="B29" s="3322"/>
      <c r="C29" s="1159" t="s">
        <v>834</v>
      </c>
    </row>
    <row r="30" spans="1:3" ht="14.25">
      <c r="A30" s="3318"/>
      <c r="B30" s="3322"/>
      <c r="C30" s="1159" t="s">
        <v>835</v>
      </c>
    </row>
    <row r="31" spans="1:3" ht="14.25">
      <c r="A31" s="3318"/>
      <c r="B31" s="3322"/>
      <c r="C31" s="1159" t="s">
        <v>836</v>
      </c>
    </row>
    <row r="32" spans="1:3" ht="14.25">
      <c r="A32" s="3318"/>
      <c r="B32" s="3322"/>
      <c r="C32" s="1159" t="s">
        <v>1637</v>
      </c>
    </row>
    <row r="33" spans="1:3" ht="14.25">
      <c r="A33" s="3318"/>
      <c r="B33" s="3312" t="s">
        <v>1643</v>
      </c>
      <c r="C33" s="1159" t="s">
        <v>1638</v>
      </c>
    </row>
    <row r="34" spans="1:3" ht="14.25">
      <c r="A34" s="3318"/>
      <c r="B34" s="3313"/>
      <c r="C34" s="1164" t="s">
        <v>1639</v>
      </c>
    </row>
    <row r="35" spans="1:3" ht="14.25">
      <c r="A35" s="3318"/>
      <c r="B35" s="3313"/>
      <c r="C35" s="1165" t="s">
        <v>1640</v>
      </c>
    </row>
    <row r="36" spans="1:3" ht="14.25">
      <c r="A36" s="3318"/>
      <c r="B36" s="3313"/>
      <c r="C36" s="1165" t="s">
        <v>1641</v>
      </c>
    </row>
    <row r="37" spans="1:3" ht="14.25">
      <c r="A37" s="3318"/>
      <c r="B37" s="331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44187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2961</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6" t="s">
        <v>1915</v>
      </c>
      <c r="B17" s="3327"/>
      <c r="C17" s="3327"/>
      <c r="D17" s="3327"/>
      <c r="E17" s="3327"/>
      <c r="F17" s="3327"/>
      <c r="G17" s="3034"/>
    </row>
    <row r="18" spans="1:7" ht="20.25" customHeight="1">
      <c r="A18" s="3323" t="s">
        <v>1916</v>
      </c>
      <c r="B18" s="3323"/>
      <c r="C18" s="3324"/>
      <c r="D18" s="3325" t="s">
        <v>1917</v>
      </c>
      <c r="E18" s="3323"/>
      <c r="F18" s="332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2960</v>
      </c>
      <c r="F21" s="3038">
        <v>44012</v>
      </c>
      <c r="G21" s="3026"/>
    </row>
    <row r="22" spans="1:7" ht="20.25" customHeight="1">
      <c r="A22" s="3025"/>
      <c r="B22" s="3025"/>
      <c r="C22" s="3039"/>
      <c r="D22" s="3047"/>
      <c r="E22" s="3048"/>
      <c r="F22" s="3040" t="s">
        <v>2974</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42" priority="149">
      <formula>AND($C5-TODAY()&lt;30,TODAY()&lt;$C5)</formula>
    </cfRule>
  </conditionalFormatting>
  <conditionalFormatting sqref="C20">
    <cfRule type="expression" dxfId="241" priority="148">
      <formula>AND($C20-TODAY()&lt;30,TODAY()&lt;$C20)</formula>
    </cfRule>
  </conditionalFormatting>
  <conditionalFormatting sqref="C20 F4 C5 C13">
    <cfRule type="cellIs" dxfId="240" priority="150" stopIfTrue="1" operator="lessThan">
      <formula>$B$2</formula>
    </cfRule>
  </conditionalFormatting>
  <conditionalFormatting sqref="F5 F7 F9">
    <cfRule type="cellIs" dxfId="239" priority="144" stopIfTrue="1" operator="lessThan">
      <formula>$B$2</formula>
    </cfRule>
  </conditionalFormatting>
  <conditionalFormatting sqref="C16:D16">
    <cfRule type="expression" dxfId="238" priority="142">
      <formula>AND($C16-TODAY()&lt;30,TODAY()&lt;$C16)</formula>
    </cfRule>
  </conditionalFormatting>
  <conditionalFormatting sqref="F6 F8 F10 C16:D16">
    <cfRule type="cellIs" dxfId="237" priority="143" stopIfTrue="1" operator="lessThan">
      <formula>$B$2</formula>
    </cfRule>
  </conditionalFormatting>
  <conditionalFormatting sqref="F14">
    <cfRule type="cellIs" dxfId="236" priority="114" stopIfTrue="1" operator="lessThan">
      <formula>$B$2</formula>
    </cfRule>
  </conditionalFormatting>
  <conditionalFormatting sqref="F13">
    <cfRule type="cellIs" dxfId="235" priority="113" stopIfTrue="1" operator="lessThan">
      <formula>$B$2</formula>
    </cfRule>
  </conditionalFormatting>
  <conditionalFormatting sqref="B4:B11 E4:E11 E13:E15 B13:B15">
    <cfRule type="cellIs" dxfId="234" priority="111" stopIfTrue="1" operator="equal">
      <formula>"已过期"</formula>
    </cfRule>
  </conditionalFormatting>
  <conditionalFormatting sqref="F20">
    <cfRule type="cellIs" dxfId="233" priority="108" stopIfTrue="1" operator="lessThan">
      <formula>$B$2</formula>
    </cfRule>
  </conditionalFormatting>
  <conditionalFormatting sqref="F20">
    <cfRule type="expression" dxfId="232" priority="152">
      <formula>AND($E20-TODAY()&lt;30,TODAY()&lt;$E20)</formula>
    </cfRule>
  </conditionalFormatting>
  <conditionalFormatting sqref="C6">
    <cfRule type="expression" dxfId="231" priority="82">
      <formula>AND($C6-TODAY()&lt;30,TODAY()&lt;$C6)</formula>
    </cfRule>
  </conditionalFormatting>
  <conditionalFormatting sqref="C6">
    <cfRule type="cellIs" dxfId="230" priority="83" stopIfTrue="1" operator="lessThan">
      <formula>$B$2</formula>
    </cfRule>
  </conditionalFormatting>
  <conditionalFormatting sqref="C11 C15">
    <cfRule type="expression" dxfId="229" priority="80">
      <formula>AND($C11-TODAY()&lt;30,TODAY()&lt;$C11)</formula>
    </cfRule>
  </conditionalFormatting>
  <conditionalFormatting sqref="C11 C15">
    <cfRule type="cellIs" dxfId="228" priority="81" stopIfTrue="1" operator="lessThan">
      <formula>$B$2</formula>
    </cfRule>
  </conditionalFormatting>
  <conditionalFormatting sqref="F11">
    <cfRule type="cellIs" dxfId="227" priority="79" stopIfTrue="1" operator="lessThan">
      <formula>$B$2</formula>
    </cfRule>
  </conditionalFormatting>
  <conditionalFormatting sqref="C14">
    <cfRule type="expression" dxfId="226" priority="60">
      <formula>AND($C14-TODAY()&lt;30,TODAY()&lt;$C14)</formula>
    </cfRule>
  </conditionalFormatting>
  <conditionalFormatting sqref="C14">
    <cfRule type="cellIs" dxfId="225" priority="61" stopIfTrue="1" operator="lessThan">
      <formula>$B$2</formula>
    </cfRule>
  </conditionalFormatting>
  <conditionalFormatting sqref="C12">
    <cfRule type="cellIs" dxfId="224" priority="54" stopIfTrue="1" operator="lessThan">
      <formula>$B$2</formula>
    </cfRule>
  </conditionalFormatting>
  <conditionalFormatting sqref="C12">
    <cfRule type="expression" dxfId="223" priority="51">
      <formula>AND($C12-TODAY()&lt;30,TODAY()&lt;$C12)</formula>
    </cfRule>
  </conditionalFormatting>
  <conditionalFormatting sqref="C12">
    <cfRule type="cellIs" dxfId="222" priority="52" stopIfTrue="1" operator="lessThan">
      <formula>$B$2</formula>
    </cfRule>
  </conditionalFormatting>
  <conditionalFormatting sqref="B12">
    <cfRule type="cellIs" dxfId="221" priority="48" stopIfTrue="1" operator="equal">
      <formula>"已过期"</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C9:C10">
    <cfRule type="expression" dxfId="218" priority="33">
      <formula>AND($C9-TODAY()&lt;30,TODAY()&lt;$C9)</formula>
    </cfRule>
  </conditionalFormatting>
  <conditionalFormatting sqref="C9:C10">
    <cfRule type="cellIs" dxfId="217" priority="34" stopIfTrue="1" operator="lessThan">
      <formula>$B$2</formula>
    </cfRule>
  </conditionalFormatting>
  <conditionalFormatting sqref="F21">
    <cfRule type="cellIs" dxfId="216" priority="13" stopIfTrue="1" operator="lessThan">
      <formula>$B$2</formula>
    </cfRule>
  </conditionalFormatting>
  <conditionalFormatting sqref="F21">
    <cfRule type="expression" dxfId="215" priority="14">
      <formula>AND($E21-TODAY()&lt;30,TODAY()&lt;$E21)</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7:C8">
    <cfRule type="expression" dxfId="212" priority="3">
      <formula>AND($C7-TODAY()&lt;30,TODAY()&lt;$C7)</formula>
    </cfRule>
  </conditionalFormatting>
  <conditionalFormatting sqref="C7:C8">
    <cfRule type="cellIs" dxfId="211" priority="4" stopIfTrue="1" operator="lessThan">
      <formula>$B$2</formula>
    </cfRule>
  </conditionalFormatting>
  <conditionalFormatting sqref="C4">
    <cfRule type="expression" dxfId="210" priority="1">
      <formula>AND($C4-TODAY()&lt;30,TODAY()&lt;$C4)</formula>
    </cfRule>
  </conditionalFormatting>
  <conditionalFormatting sqref="C4">
    <cfRule type="cellIs" dxfId="20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2975</v>
      </c>
      <c r="C20" s="1493"/>
    </row>
    <row r="21" spans="1:3">
      <c r="A21" s="8" t="s">
        <v>122</v>
      </c>
      <c r="B21" s="8" t="s">
        <v>3214</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8"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21日，在规划利用条件下、设定土地开发程度为红线外“七通”、宗地内场地平整，设定用途为，剩余土地使用年限为的出让国有建设用地使用权价格。</v>
      </c>
      <c r="D53" s="1686"/>
      <c r="E53" s="1686"/>
    </row>
    <row r="54" spans="1:5">
      <c r="A54" s="3328"/>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8"/>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8"/>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8"/>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土地及销售案例</vt:lpstr>
      <vt:lpstr>比较法-住宅、综合 (高)</vt:lpstr>
      <vt:lpstr>'比较法-工业'!Print_Area</vt:lpstr>
      <vt:lpstr>'比较法-住宅、综合'!Print_Area</vt:lpstr>
      <vt:lpstr>'比较法-住宅、综合 (高)'!Print_Area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(高)'!套工交易情况</vt:lpstr>
      <vt:lpstr>套工交易情况</vt:lpstr>
      <vt:lpstr>套工开发程度</vt:lpstr>
      <vt:lpstr>套工临街等级</vt:lpstr>
      <vt:lpstr>套工土地级别</vt:lpstr>
      <vt:lpstr>套工用途</vt:lpstr>
      <vt:lpstr>套工宗地形状</vt:lpstr>
      <vt:lpstr>'比较法-住宅、综合 (高)'!套综道路等级</vt:lpstr>
      <vt:lpstr>套综道路等级</vt:lpstr>
      <vt:lpstr>'比较法-住宅、综合 (高)'!套综工程地质条件</vt:lpstr>
      <vt:lpstr>套综工程地质条件</vt:lpstr>
      <vt:lpstr>'比较法-住宅、综合 (高)'!套综交易情况</vt:lpstr>
      <vt:lpstr>套综交易情况</vt:lpstr>
      <vt:lpstr>'比较法-住宅、综合 (高)'!套综临街宽度及深度</vt:lpstr>
      <vt:lpstr>套综临街宽度及深度</vt:lpstr>
      <vt:lpstr>'比较法-住宅、综合 (高)'!套综土地级别</vt:lpstr>
      <vt:lpstr>套综土地级别</vt:lpstr>
      <vt:lpstr>'比较法-住宅、综合 (高)'!套综用途</vt:lpstr>
      <vt:lpstr>套综用途</vt:lpstr>
      <vt:lpstr>'比较法-住宅、综合 (高)'!套综宗地内开发程度</vt:lpstr>
      <vt:lpstr>套综宗地内开发程度</vt:lpstr>
      <vt:lpstr>'比较法-住宅、综合 (高)'!套综宗地形状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2020-12-22T08:08:38Z</dcterms:modified>
</cp:coreProperties>
</file>