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242 北京市昌平区北七家镇美树假日嘉园17号楼3至4层4单元202室\"/>
    </mc:Choice>
  </mc:AlternateContent>
  <xr:revisionPtr revIDLastSave="0" documentId="13_ncr:1_{442F0D6F-87CA-4657-878E-62CF4C9165A7}" xr6:coauthVersionLast="45" xr6:coauthVersionMax="45" xr10:uidLastSave="{00000000-0000-0000-0000-000000000000}"/>
  <bookViews>
    <workbookView xWindow="15" yWindow="4890" windowWidth="11085" windowHeight="8010"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案例"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3" i="21" l="1"/>
  <c r="I47" i="21"/>
  <c r="I7" i="21"/>
  <c r="R151" i="80"/>
  <c r="R152" i="80"/>
  <c r="R150" i="80"/>
  <c r="B14" i="74"/>
  <c r="Y6" i="1"/>
  <c r="D5" i="9"/>
  <c r="Y59" i="21"/>
  <c r="W59" i="21"/>
  <c r="V59" i="21"/>
  <c r="T59" i="21"/>
  <c r="S59" i="21"/>
  <c r="Q59" i="21"/>
  <c r="P59" i="21"/>
  <c r="N59" i="21"/>
  <c r="M59" i="21"/>
  <c r="K59" i="21"/>
  <c r="J59" i="21"/>
  <c r="H59" i="21"/>
  <c r="G59" i="21"/>
  <c r="C33" i="21"/>
  <c r="C6" i="21"/>
  <c r="F19" i="6"/>
  <c r="D3" i="4"/>
  <c r="M27" i="79"/>
  <c r="P27" i="79"/>
  <c r="L26" i="79"/>
  <c r="M26" i="79"/>
  <c r="P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U23" i="79"/>
  <c r="M25" i="79"/>
  <c r="L25" i="79"/>
  <c r="I25" i="79"/>
  <c r="AD25" i="79"/>
  <c r="AA23" i="79"/>
  <c r="AD23" i="79"/>
  <c r="T23" i="79"/>
  <c r="W23" i="79"/>
  <c r="N23" i="79"/>
  <c r="M23" i="79"/>
  <c r="P23" i="79"/>
  <c r="L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T34" i="79"/>
  <c r="W34" i="79"/>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D12" i="77"/>
  <c r="D11" i="77"/>
  <c r="R13" i="77"/>
  <c r="R12" i="77"/>
  <c r="R11" i="77"/>
  <c r="R10" i="77"/>
  <c r="D10" i="77"/>
  <c r="R9" i="77"/>
  <c r="D9" i="77"/>
  <c r="R8" i="77"/>
  <c r="R7" i="77"/>
  <c r="R4" i="77"/>
  <c r="R3" i="77"/>
  <c r="E11" i="77"/>
  <c r="E7" i="77"/>
  <c r="C27" i="77"/>
  <c r="D7" i="77"/>
  <c r="C26" i="77"/>
  <c r="C29" i="77"/>
  <c r="C32" i="77"/>
  <c r="C38" i="77"/>
  <c r="C39" i="77"/>
  <c r="R14" i="77"/>
  <c r="R24" i="77"/>
  <c r="R25" i="77"/>
  <c r="D29" i="77"/>
  <c r="E23" i="77"/>
  <c r="D26" i="77"/>
  <c r="D32"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N18" i="71"/>
  <c r="N19" i="71"/>
  <c r="N20" i="71"/>
  <c r="N21" i="71"/>
  <c r="N22" i="71"/>
  <c r="N23" i="71"/>
  <c r="N24" i="71"/>
  <c r="N25" i="71"/>
  <c r="N26" i="71"/>
  <c r="N27" i="71"/>
  <c r="N28" i="71"/>
  <c r="N29" i="71"/>
  <c r="N30" i="71"/>
  <c r="N31" i="71"/>
  <c r="N32" i="71"/>
  <c r="N33" i="71"/>
  <c r="N34" i="71"/>
  <c r="N35" i="71"/>
  <c r="N36" i="71"/>
  <c r="N37" i="71"/>
  <c r="N38" i="71"/>
  <c r="N39" i="71"/>
  <c r="X17" i="71"/>
  <c r="AH16" i="71"/>
  <c r="AG16" i="71"/>
  <c r="AE16" i="71"/>
  <c r="AF16" i="71"/>
  <c r="AD16" i="71"/>
  <c r="Q16" i="71"/>
  <c r="P16" i="71"/>
  <c r="O16" i="71"/>
  <c r="N16" i="71"/>
  <c r="AH17" i="71"/>
  <c r="AG17" i="71"/>
  <c r="AE17" i="71"/>
  <c r="AF17" i="71"/>
  <c r="AD17" i="71"/>
  <c r="Q18" i="71"/>
  <c r="Q19" i="71"/>
  <c r="P18" i="71"/>
  <c r="P19" i="71"/>
  <c r="O18" i="71"/>
  <c r="O19" i="71"/>
  <c r="AH18" i="71"/>
  <c r="AG18" i="71"/>
  <c r="AE18" i="71"/>
  <c r="AF18" i="71"/>
  <c r="AD18" i="71"/>
  <c r="F24" i="12"/>
  <c r="F7" i="69"/>
  <c r="F7" i="68"/>
  <c r="AH19" i="71"/>
  <c r="AG19" i="71"/>
  <c r="AE19" i="71"/>
  <c r="AF19" i="71"/>
  <c r="AD19" i="71"/>
  <c r="AD20" i="71"/>
  <c r="AH20" i="71"/>
  <c r="AG20" i="71"/>
  <c r="AE20" i="71"/>
  <c r="AF20" i="71"/>
  <c r="Q20" i="71"/>
  <c r="P20" i="71"/>
  <c r="O20" i="71"/>
  <c r="L3" i="71"/>
  <c r="AH3" i="71"/>
  <c r="K3" i="71"/>
  <c r="AG3" i="71"/>
  <c r="J3" i="71"/>
  <c r="AE3" i="71"/>
  <c r="I3" i="71"/>
  <c r="AH21" i="71"/>
  <c r="AG21" i="71"/>
  <c r="AE21" i="71"/>
  <c r="AF21" i="71"/>
  <c r="AD21" i="71"/>
  <c r="Q21" i="71"/>
  <c r="Q22" i="71"/>
  <c r="P21" i="71"/>
  <c r="P22" i="71"/>
  <c r="O21" i="71"/>
  <c r="O22" i="71"/>
  <c r="AH22" i="71"/>
  <c r="AG22" i="71"/>
  <c r="AE22" i="71"/>
  <c r="AF22" i="71"/>
  <c r="AD22" i="71"/>
  <c r="Q23" i="71"/>
  <c r="P23" i="71"/>
  <c r="O23" i="71"/>
  <c r="D25" i="71"/>
  <c r="AH23" i="71"/>
  <c r="AG23" i="71"/>
  <c r="AE23" i="71"/>
  <c r="AF23" i="71"/>
  <c r="AD23" i="71"/>
  <c r="AD24" i="71"/>
  <c r="AG24" i="71"/>
  <c r="AH24" i="71"/>
  <c r="AE24" i="71"/>
  <c r="AF24" i="71"/>
  <c r="Q24" i="71"/>
  <c r="P24" i="71"/>
  <c r="O24" i="71"/>
  <c r="C24" i="71"/>
  <c r="C23" i="71"/>
  <c r="Q25" i="71"/>
  <c r="F24" i="71"/>
  <c r="F23" i="71"/>
  <c r="F22" i="71"/>
  <c r="P25" i="71"/>
  <c r="E24" i="71"/>
  <c r="E23" i="71"/>
  <c r="E22" i="71"/>
  <c r="O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A22" i="51"/>
  <c r="A21" i="51"/>
  <c r="A20" i="51"/>
  <c r="B15" i="72"/>
  <c r="A15" i="62"/>
  <c r="A14" i="62"/>
  <c r="A13" i="62"/>
  <c r="B59" i="72"/>
  <c r="A19" i="62"/>
  <c r="B65" i="72"/>
  <c r="A12" i="62"/>
  <c r="B58" i="72"/>
  <c r="A120" i="9"/>
  <c r="A6" i="52"/>
  <c r="B57" i="72"/>
  <c r="H2" i="52"/>
  <c r="A1" i="52"/>
  <c r="A3" i="53"/>
  <c r="Q26" i="71"/>
  <c r="P26" i="71"/>
  <c r="O26" i="71"/>
  <c r="X24"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E88" i="71"/>
  <c r="E87" i="71"/>
  <c r="E86" i="71"/>
  <c r="C88" i="71"/>
  <c r="B88" i="71"/>
  <c r="B87" i="71"/>
  <c r="F86" i="71"/>
  <c r="B86" i="71"/>
  <c r="D85" i="71"/>
  <c r="F84" i="71"/>
  <c r="F83" i="71"/>
  <c r="E84" i="71"/>
  <c r="E83" i="71"/>
  <c r="E82" i="71"/>
  <c r="C84" i="71"/>
  <c r="B84" i="71"/>
  <c r="B83" i="71"/>
  <c r="F82" i="71"/>
  <c r="B82" i="71"/>
  <c r="D81" i="71"/>
  <c r="Q80" i="71"/>
  <c r="P80" i="71"/>
  <c r="O80" i="71"/>
  <c r="N80" i="71"/>
  <c r="F80" i="71"/>
  <c r="V80" i="71"/>
  <c r="E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F67"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D58" i="71"/>
  <c r="N57" i="71"/>
  <c r="B58" i="71"/>
  <c r="B59" i="71"/>
  <c r="B60" i="71"/>
  <c r="S60" i="71"/>
  <c r="D57" i="71"/>
  <c r="Q56" i="71"/>
  <c r="P56" i="71"/>
  <c r="O56" i="71"/>
  <c r="N56" i="71"/>
  <c r="Q55" i="71"/>
  <c r="P55" i="71"/>
  <c r="O55" i="71"/>
  <c r="N55" i="71"/>
  <c r="Q54" i="71"/>
  <c r="P54" i="71"/>
  <c r="P53" i="71"/>
  <c r="E54" i="71"/>
  <c r="E55" i="71"/>
  <c r="O54" i="71"/>
  <c r="N54" i="71"/>
  <c r="Q53" i="71"/>
  <c r="F54" i="71"/>
  <c r="F55" i="71"/>
  <c r="F56" i="71"/>
  <c r="V56" i="71"/>
  <c r="O53" i="71"/>
  <c r="C54" i="71"/>
  <c r="D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AB39" i="71"/>
  <c r="P39" i="71"/>
  <c r="O39" i="71"/>
  <c r="X39" i="71"/>
  <c r="Q38" i="71"/>
  <c r="AB38" i="71"/>
  <c r="P38" i="71"/>
  <c r="O38" i="71"/>
  <c r="Q37" i="71"/>
  <c r="F38" i="71"/>
  <c r="F39" i="71"/>
  <c r="F40" i="71"/>
  <c r="V40" i="71"/>
  <c r="P37" i="71"/>
  <c r="O37" i="71"/>
  <c r="C38" i="71"/>
  <c r="C39" i="71"/>
  <c r="D39" i="71"/>
  <c r="D37" i="71"/>
  <c r="Q36" i="71"/>
  <c r="AB36" i="71"/>
  <c r="P36" i="71"/>
  <c r="O36" i="71"/>
  <c r="Y36" i="71"/>
  <c r="Z36" i="71"/>
  <c r="Q35" i="71"/>
  <c r="P35" i="71"/>
  <c r="O35" i="71"/>
  <c r="Y35" i="71"/>
  <c r="Z35" i="71"/>
  <c r="Q34" i="71"/>
  <c r="P34" i="71"/>
  <c r="O34" i="71"/>
  <c r="Q33" i="71"/>
  <c r="P33" i="71"/>
  <c r="O33" i="71"/>
  <c r="D33" i="71"/>
  <c r="Q32" i="71"/>
  <c r="AB32" i="71"/>
  <c r="P32" i="71"/>
  <c r="O32" i="71"/>
  <c r="Q31" i="71"/>
  <c r="P31" i="71"/>
  <c r="O31" i="71"/>
  <c r="X29" i="71"/>
  <c r="Q30" i="71"/>
  <c r="P30" i="71"/>
  <c r="O30" i="71"/>
  <c r="Q29" i="71"/>
  <c r="F30" i="71"/>
  <c r="F31" i="71"/>
  <c r="F32" i="71"/>
  <c r="V32" i="71"/>
  <c r="P29" i="71"/>
  <c r="O29" i="71"/>
  <c r="D29" i="71"/>
  <c r="O28" i="71"/>
  <c r="B30" i="71"/>
  <c r="B31" i="71"/>
  <c r="B32" i="71"/>
  <c r="S32" i="71"/>
  <c r="E30" i="71"/>
  <c r="E31" i="71"/>
  <c r="E32" i="71"/>
  <c r="U32" i="71"/>
  <c r="B34" i="71"/>
  <c r="B35" i="71"/>
  <c r="B36" i="71"/>
  <c r="S36" i="71"/>
  <c r="B38" i="71"/>
  <c r="B39" i="71"/>
  <c r="B40" i="71"/>
  <c r="S40" i="71"/>
  <c r="X37" i="71"/>
  <c r="E38" i="71"/>
  <c r="E39" i="71"/>
  <c r="E40" i="71"/>
  <c r="U40" i="71"/>
  <c r="N68" i="71"/>
  <c r="E34" i="71"/>
  <c r="E35" i="71"/>
  <c r="E36" i="71"/>
  <c r="U36" i="71"/>
  <c r="C30" i="71"/>
  <c r="D30" i="71"/>
  <c r="X30" i="71"/>
  <c r="X31" i="71"/>
  <c r="X32" i="71"/>
  <c r="X36" i="71"/>
  <c r="AA36" i="71"/>
  <c r="Y37" i="71"/>
  <c r="Z37" i="71"/>
  <c r="X38" i="71"/>
  <c r="AA38" i="71"/>
  <c r="F51" i="71"/>
  <c r="F52" i="71"/>
  <c r="V52" i="71"/>
  <c r="C28" i="71"/>
  <c r="C27" i="71"/>
  <c r="D27" i="71"/>
  <c r="X25" i="71"/>
  <c r="C31" i="71"/>
  <c r="D38" i="71"/>
  <c r="P28" i="71"/>
  <c r="E56" i="71"/>
  <c r="U56" i="71"/>
  <c r="E59" i="71"/>
  <c r="E60" i="71"/>
  <c r="U60" i="71"/>
  <c r="U68" i="71"/>
  <c r="E67" i="71"/>
  <c r="E66" i="71"/>
  <c r="P66" i="71"/>
  <c r="Q28" i="71"/>
  <c r="C55" i="71"/>
  <c r="C59" i="71"/>
  <c r="D59" i="71"/>
  <c r="C63" i="71"/>
  <c r="D62" i="71"/>
  <c r="T68" i="71"/>
  <c r="O68" i="71"/>
  <c r="D68" i="71"/>
  <c r="C67" i="71"/>
  <c r="O67" i="71"/>
  <c r="Q68" i="71"/>
  <c r="C71" i="71"/>
  <c r="D71" i="71"/>
  <c r="D72" i="71"/>
  <c r="C75" i="71"/>
  <c r="E75" i="71"/>
  <c r="E74" i="71"/>
  <c r="D76" i="71"/>
  <c r="C79" i="71"/>
  <c r="D80" i="71"/>
  <c r="T28" i="71"/>
  <c r="F28" i="71"/>
  <c r="F27" i="71"/>
  <c r="F26" i="71"/>
  <c r="E28" i="71"/>
  <c r="D28" i="71"/>
  <c r="U28" i="71"/>
  <c r="C66" i="71"/>
  <c r="D66" i="71"/>
  <c r="D67" i="71"/>
  <c r="C70" i="71"/>
  <c r="D70" i="71"/>
  <c r="C60" i="71"/>
  <c r="P67" i="71"/>
  <c r="C40" i="71"/>
  <c r="T40" i="71"/>
  <c r="C26" i="71"/>
  <c r="D26" i="71"/>
  <c r="P65" i="71"/>
  <c r="O66" i="71"/>
  <c r="O65" i="71"/>
  <c r="D40"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C21" i="37"/>
  <c r="Q21" i="34"/>
  <c r="Z21" i="34"/>
  <c r="D84" i="34"/>
  <c r="E84" i="34"/>
  <c r="F21" i="34"/>
  <c r="C21" i="34"/>
  <c r="Q21" i="33"/>
  <c r="Z21" i="33"/>
  <c r="D83" i="33"/>
  <c r="E83" i="33"/>
  <c r="F83" i="33"/>
  <c r="G83" i="33"/>
  <c r="C21" i="33"/>
  <c r="C21" i="21"/>
  <c r="Q21" i="21"/>
  <c r="Z21" i="21"/>
  <c r="H19" i="21"/>
  <c r="D83" i="21"/>
  <c r="E83" i="21"/>
  <c r="F83" i="21"/>
  <c r="G83" i="21"/>
  <c r="F21" i="21"/>
  <c r="AA21" i="21"/>
  <c r="D81" i="21"/>
  <c r="G20" i="20"/>
  <c r="C22" i="20"/>
  <c r="B57" i="43"/>
  <c r="S25" i="40"/>
  <c r="S18" i="36"/>
  <c r="U18" i="36"/>
  <c r="H25" i="40"/>
  <c r="J25" i="40"/>
  <c r="H29" i="39"/>
  <c r="AB29" i="39"/>
  <c r="J29" i="39"/>
  <c r="AC29" i="39"/>
  <c r="J18" i="36"/>
  <c r="H18" i="35"/>
  <c r="S18" i="35"/>
  <c r="J18" i="35"/>
  <c r="W18" i="35"/>
  <c r="H21" i="37"/>
  <c r="U21" i="37"/>
  <c r="F21" i="37"/>
  <c r="F84" i="34"/>
  <c r="H21" i="34"/>
  <c r="H21" i="33"/>
  <c r="F21" i="33"/>
  <c r="S21" i="33"/>
  <c r="S21" i="21"/>
  <c r="H1" i="69"/>
  <c r="AC25" i="40"/>
  <c r="W25" i="40"/>
  <c r="AB25" i="40"/>
  <c r="U25" i="40"/>
  <c r="U29" i="39"/>
  <c r="W29" i="39"/>
  <c r="AC18" i="36"/>
  <c r="W18" i="36"/>
  <c r="AB21" i="37"/>
  <c r="AA21" i="37"/>
  <c r="S21" i="37"/>
  <c r="AB21" i="34"/>
  <c r="U21" i="34"/>
  <c r="U21" i="33"/>
  <c r="AB21" i="33"/>
  <c r="AA21" i="33"/>
  <c r="AB18" i="35"/>
  <c r="U18" i="35"/>
  <c r="G77" i="37"/>
  <c r="J21" i="37"/>
  <c r="G84" i="34"/>
  <c r="J21" i="34"/>
  <c r="J21" i="33"/>
  <c r="H21" i="21"/>
  <c r="F38" i="69"/>
  <c r="E37" i="69"/>
  <c r="F36" i="69"/>
  <c r="F35" i="69"/>
  <c r="F21" i="69"/>
  <c r="F20" i="69"/>
  <c r="F39" i="69"/>
  <c r="E10" i="69"/>
  <c r="E9" i="69"/>
  <c r="C7" i="69"/>
  <c r="AC21" i="37"/>
  <c r="W21" i="37"/>
  <c r="AC21" i="34"/>
  <c r="W21" i="34"/>
  <c r="AC21" i="33"/>
  <c r="W21" i="33"/>
  <c r="AB21" i="21"/>
  <c r="U21" i="21"/>
  <c r="J21" i="21"/>
  <c r="AC21" i="21"/>
  <c r="F38" i="68"/>
  <c r="E37" i="68"/>
  <c r="F36" i="68"/>
  <c r="F35" i="68"/>
  <c r="F21" i="68"/>
  <c r="F20" i="68"/>
  <c r="F39" i="68"/>
  <c r="E10" i="68"/>
  <c r="E9" i="68"/>
  <c r="C7" i="68"/>
  <c r="C5" i="68"/>
  <c r="W21" i="21"/>
  <c r="C40" i="68"/>
  <c r="Q72" i="67"/>
  <c r="Q59" i="67"/>
  <c r="Q58" i="67"/>
  <c r="Q51" i="67"/>
  <c r="J50" i="67"/>
  <c r="B2" i="1"/>
  <c r="J51"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E7" i="1"/>
  <c r="A8" i="1"/>
  <c r="B8" i="1"/>
  <c r="E8" i="1"/>
  <c r="A9" i="1"/>
  <c r="A10" i="1"/>
  <c r="A11" i="1"/>
  <c r="B11" i="1"/>
  <c r="E11" i="1"/>
  <c r="A12" i="1"/>
  <c r="A13" i="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c r="A4" i="62"/>
  <c r="B70" i="72"/>
  <c r="F33" i="9"/>
  <c r="B13" i="53"/>
  <c r="B29" i="72"/>
  <c r="R35" i="4"/>
  <c r="Q35" i="4"/>
  <c r="P35" i="4"/>
  <c r="O35" i="4"/>
  <c r="N35" i="4"/>
  <c r="M35" i="4"/>
  <c r="L35" i="4"/>
  <c r="K34" i="4"/>
  <c r="T34" i="4"/>
  <c r="G13" i="1"/>
  <c r="H15" i="4"/>
  <c r="F9" i="1"/>
  <c r="G9" i="1"/>
  <c r="G15" i="4"/>
  <c r="F12" i="1"/>
  <c r="G12" i="1"/>
  <c r="F15" i="4"/>
  <c r="F11" i="1"/>
  <c r="G11" i="1"/>
  <c r="D15" i="4"/>
  <c r="F7" i="1"/>
  <c r="G7" i="1"/>
  <c r="C15" i="4"/>
  <c r="F6" i="1"/>
  <c r="G6" i="1"/>
  <c r="L21" i="4"/>
  <c r="F19" i="4"/>
  <c r="F2" i="52"/>
  <c r="B50" i="72"/>
  <c r="D2" i="52"/>
  <c r="B46" i="72"/>
  <c r="B8" i="53"/>
  <c r="B23" i="72"/>
  <c r="L4" i="9"/>
  <c r="B17"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E19" i="6"/>
  <c r="E20" i="6"/>
  <c r="E21" i="6"/>
  <c r="K8" i="1"/>
  <c r="M8" i="1"/>
  <c r="F23" i="15"/>
  <c r="D24" i="15"/>
  <c r="E22" i="6"/>
  <c r="E23" i="6"/>
  <c r="K10" i="1"/>
  <c r="M10" i="1"/>
  <c r="O10" i="1"/>
  <c r="P10" i="1"/>
  <c r="E24" i="6"/>
  <c r="E25" i="6"/>
  <c r="E26" i="6"/>
  <c r="BB13" i="3"/>
  <c r="BC13" i="3"/>
  <c r="BD13" i="3"/>
  <c r="BE13" i="3"/>
  <c r="BF13" i="3"/>
  <c r="BG13" i="3"/>
  <c r="BH13" i="3"/>
  <c r="BI13" i="3"/>
  <c r="BJ13" i="3"/>
  <c r="BK13" i="3"/>
  <c r="BA13" i="3"/>
  <c r="BI14" i="3"/>
  <c r="BI15" i="3"/>
  <c r="BI16" i="3"/>
  <c r="BI17"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B14" i="3"/>
  <c r="BC14" i="3"/>
  <c r="BD14" i="3"/>
  <c r="BE14" i="3"/>
  <c r="BF14" i="3"/>
  <c r="BG14" i="3"/>
  <c r="BH14" i="3"/>
  <c r="BJ14" i="3"/>
  <c r="BK14" i="3"/>
  <c r="BB15" i="3"/>
  <c r="BC15" i="3"/>
  <c r="BD15" i="3"/>
  <c r="BE15" i="3"/>
  <c r="BF15" i="3"/>
  <c r="BG15" i="3"/>
  <c r="BH15" i="3"/>
  <c r="BJ15" i="3"/>
  <c r="BK15" i="3"/>
  <c r="BB16" i="3"/>
  <c r="BC16" i="3"/>
  <c r="BD16" i="3"/>
  <c r="BE16" i="3"/>
  <c r="BF16" i="3"/>
  <c r="BG16" i="3"/>
  <c r="BH16" i="3"/>
  <c r="BJ16" i="3"/>
  <c r="BK16" i="3"/>
  <c r="BB17" i="3"/>
  <c r="BC17" i="3"/>
  <c r="BD17" i="3"/>
  <c r="BE17" i="3"/>
  <c r="BF17" i="3"/>
  <c r="BG17" i="3"/>
  <c r="BH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493" i="3"/>
  <c r="BE493" i="3"/>
  <c r="BF493"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493" i="3"/>
  <c r="BJ493"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BM493"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O493" i="3"/>
  <c r="BR493"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F28" i="6"/>
  <c r="BT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 i="3"/>
  <c r="AC494" i="3"/>
  <c r="BB494" i="3"/>
  <c r="BD494" i="3"/>
  <c r="BE494" i="3"/>
  <c r="BF494" i="3"/>
  <c r="BH494" i="3"/>
  <c r="BJ494" i="3"/>
  <c r="BA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M494" i="3"/>
  <c r="BO494" i="3"/>
  <c r="BR494" i="3"/>
  <c r="BT494" i="3"/>
  <c r="BL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AC495" i="3"/>
  <c r="BB495" i="3"/>
  <c r="BD495" i="3"/>
  <c r="BE495" i="3"/>
  <c r="BH495" i="3"/>
  <c r="BA495" i="3"/>
  <c r="BM495" i="3"/>
  <c r="BR495" i="3"/>
  <c r="BT495" i="3"/>
  <c r="BL495" i="3"/>
  <c r="AC496" i="3"/>
  <c r="G496" i="3"/>
  <c r="BB496" i="3"/>
  <c r="BD496" i="3"/>
  <c r="BE496" i="3"/>
  <c r="BH496" i="3"/>
  <c r="BM496" i="3"/>
  <c r="BR496" i="3"/>
  <c r="BT496" i="3"/>
  <c r="AC497" i="3"/>
  <c r="G497" i="3"/>
  <c r="BB497" i="3"/>
  <c r="BD497" i="3"/>
  <c r="BE497" i="3"/>
  <c r="BH497" i="3"/>
  <c r="BM497" i="3"/>
  <c r="BR497" i="3"/>
  <c r="BT497" i="3"/>
  <c r="BL497" i="3"/>
  <c r="AC498" i="3"/>
  <c r="G498" i="3"/>
  <c r="BB498" i="3"/>
  <c r="BD498" i="3"/>
  <c r="BE498" i="3"/>
  <c r="BH498" i="3"/>
  <c r="BM498" i="3"/>
  <c r="BR498" i="3"/>
  <c r="BT498" i="3"/>
  <c r="AC499" i="3"/>
  <c r="BB499" i="3"/>
  <c r="BD499" i="3"/>
  <c r="BE499" i="3"/>
  <c r="BH499" i="3"/>
  <c r="BA499" i="3"/>
  <c r="BM499" i="3"/>
  <c r="BR499" i="3"/>
  <c r="BT499" i="3"/>
  <c r="BL499" i="3"/>
  <c r="AC500" i="3"/>
  <c r="BB500" i="3"/>
  <c r="BD500" i="3"/>
  <c r="BE500" i="3"/>
  <c r="BH500" i="3"/>
  <c r="BA500" i="3"/>
  <c r="BM500" i="3"/>
  <c r="BR500" i="3"/>
  <c r="BT500" i="3"/>
  <c r="BL500" i="3"/>
  <c r="AC501" i="3"/>
  <c r="G501" i="3"/>
  <c r="BB501" i="3"/>
  <c r="BD501" i="3"/>
  <c r="BE501" i="3"/>
  <c r="BH501" i="3"/>
  <c r="BM501" i="3"/>
  <c r="BR501" i="3"/>
  <c r="BT501" i="3"/>
  <c r="BL501" i="3"/>
  <c r="AC502" i="3"/>
  <c r="BB502" i="3"/>
  <c r="BD502" i="3"/>
  <c r="BE502" i="3"/>
  <c r="BH502" i="3"/>
  <c r="BM502" i="3"/>
  <c r="BR502" i="3"/>
  <c r="BT502" i="3"/>
  <c r="BL502" i="3"/>
  <c r="BA502" i="3"/>
  <c r="AZ502" i="3"/>
  <c r="AC503" i="3"/>
  <c r="BB503" i="3"/>
  <c r="BD503" i="3"/>
  <c r="BE503" i="3"/>
  <c r="BH503" i="3"/>
  <c r="BA503" i="3"/>
  <c r="BM503" i="3"/>
  <c r="BR503" i="3"/>
  <c r="BT503" i="3"/>
  <c r="BL503" i="3"/>
  <c r="AZ503" i="3"/>
  <c r="AC504" i="3"/>
  <c r="G504" i="3"/>
  <c r="BB504" i="3"/>
  <c r="BD504" i="3"/>
  <c r="BE504" i="3"/>
  <c r="BH504" i="3"/>
  <c r="BM504" i="3"/>
  <c r="BR504" i="3"/>
  <c r="BT504" i="3"/>
  <c r="AC505" i="3"/>
  <c r="G505" i="3"/>
  <c r="BB505" i="3"/>
  <c r="BD505" i="3"/>
  <c r="BE505" i="3"/>
  <c r="BH505" i="3"/>
  <c r="BM505" i="3"/>
  <c r="BR505" i="3"/>
  <c r="BT505" i="3"/>
  <c r="BL505" i="3"/>
  <c r="BA505" i="3"/>
  <c r="AZ505" i="3"/>
  <c r="AC506" i="3"/>
  <c r="BB506" i="3"/>
  <c r="BD506" i="3"/>
  <c r="BE506" i="3"/>
  <c r="BH506" i="3"/>
  <c r="BA506" i="3"/>
  <c r="BM506" i="3"/>
  <c r="BR506" i="3"/>
  <c r="BT506" i="3"/>
  <c r="BL506" i="3"/>
  <c r="AZ506" i="3"/>
  <c r="AC507" i="3"/>
  <c r="BB507" i="3"/>
  <c r="BD507" i="3"/>
  <c r="BE507" i="3"/>
  <c r="BH507" i="3"/>
  <c r="BA507" i="3"/>
  <c r="BM507" i="3"/>
  <c r="BR507" i="3"/>
  <c r="BT507" i="3"/>
  <c r="BL507" i="3"/>
  <c r="AZ507" i="3"/>
  <c r="AC508" i="3"/>
  <c r="BB508" i="3"/>
  <c r="BD508" i="3"/>
  <c r="BE508" i="3"/>
  <c r="BH508" i="3"/>
  <c r="BM508" i="3"/>
  <c r="BR508" i="3"/>
  <c r="BT508" i="3"/>
  <c r="BB509" i="3"/>
  <c r="BD509" i="3"/>
  <c r="BE509" i="3"/>
  <c r="BH509" i="3"/>
  <c r="BM509" i="3"/>
  <c r="BR509" i="3"/>
  <c r="BT509" i="3"/>
  <c r="BL509" i="3"/>
  <c r="BA509" i="3"/>
  <c r="AZ509" i="3"/>
  <c r="AC510" i="3"/>
  <c r="G510" i="3"/>
  <c r="BB510" i="3"/>
  <c r="BD510" i="3"/>
  <c r="BE510" i="3"/>
  <c r="BH510" i="3"/>
  <c r="BM510" i="3"/>
  <c r="BR510" i="3"/>
  <c r="BT510" i="3"/>
  <c r="BL510" i="3"/>
  <c r="AC511" i="3"/>
  <c r="BB511" i="3"/>
  <c r="BD511" i="3"/>
  <c r="BE511" i="3"/>
  <c r="BH511" i="3"/>
  <c r="BM511" i="3"/>
  <c r="BR511" i="3"/>
  <c r="BT511" i="3"/>
  <c r="AC512" i="3"/>
  <c r="G512" i="3"/>
  <c r="BB512" i="3"/>
  <c r="BD512" i="3"/>
  <c r="BE512" i="3"/>
  <c r="BH512" i="3"/>
  <c r="BM512" i="3"/>
  <c r="BR512" i="3"/>
  <c r="BT512" i="3"/>
  <c r="BL512" i="3"/>
  <c r="AC513" i="3"/>
  <c r="G513" i="3"/>
  <c r="BB513" i="3"/>
  <c r="BD513" i="3"/>
  <c r="BE513" i="3"/>
  <c r="BH513" i="3"/>
  <c r="BA513" i="3"/>
  <c r="BM513" i="3"/>
  <c r="BR513" i="3"/>
  <c r="BT513" i="3"/>
  <c r="BL513" i="3"/>
  <c r="AC514" i="3"/>
  <c r="BB514" i="3"/>
  <c r="BD514" i="3"/>
  <c r="BE514" i="3"/>
  <c r="BH514" i="3"/>
  <c r="BA514" i="3"/>
  <c r="BM514" i="3"/>
  <c r="BR514" i="3"/>
  <c r="BT514" i="3"/>
  <c r="BL514" i="3"/>
  <c r="AZ514" i="3"/>
  <c r="AC515" i="3"/>
  <c r="BB515" i="3"/>
  <c r="BD515" i="3"/>
  <c r="BE515" i="3"/>
  <c r="BH515" i="3"/>
  <c r="BM515" i="3"/>
  <c r="BR515" i="3"/>
  <c r="BT515" i="3"/>
  <c r="AC516" i="3"/>
  <c r="BB516" i="3"/>
  <c r="BD516" i="3"/>
  <c r="BE516" i="3"/>
  <c r="BH516" i="3"/>
  <c r="BA516" i="3"/>
  <c r="BM516" i="3"/>
  <c r="BR516" i="3"/>
  <c r="BT516" i="3"/>
  <c r="BL516" i="3"/>
  <c r="AZ516" i="3"/>
  <c r="AC517" i="3"/>
  <c r="G517" i="3"/>
  <c r="BB517" i="3"/>
  <c r="BD517" i="3"/>
  <c r="BE517" i="3"/>
  <c r="BH517" i="3"/>
  <c r="BA517" i="3"/>
  <c r="BM517" i="3"/>
  <c r="BR517" i="3"/>
  <c r="BT517" i="3"/>
  <c r="BL517" i="3"/>
  <c r="AC518" i="3"/>
  <c r="G518" i="3"/>
  <c r="BB518" i="3"/>
  <c r="BD518" i="3"/>
  <c r="BE518" i="3"/>
  <c r="BH518" i="3"/>
  <c r="BA518" i="3"/>
  <c r="BM518" i="3"/>
  <c r="BR518" i="3"/>
  <c r="BT518" i="3"/>
  <c r="BL518" i="3"/>
  <c r="AC519" i="3"/>
  <c r="BB519" i="3"/>
  <c r="BD519" i="3"/>
  <c r="BE519" i="3"/>
  <c r="BH519" i="3"/>
  <c r="BM519" i="3"/>
  <c r="BR519" i="3"/>
  <c r="BT519" i="3"/>
  <c r="AC520" i="3"/>
  <c r="G520" i="3"/>
  <c r="BB520" i="3"/>
  <c r="BD520" i="3"/>
  <c r="BE520" i="3"/>
  <c r="BH520" i="3"/>
  <c r="BM520" i="3"/>
  <c r="BR520" i="3"/>
  <c r="BT520" i="3"/>
  <c r="AC521" i="3"/>
  <c r="G521" i="3"/>
  <c r="BB521" i="3"/>
  <c r="BD521" i="3"/>
  <c r="BE521" i="3"/>
  <c r="BH521" i="3"/>
  <c r="BM521" i="3"/>
  <c r="BR521" i="3"/>
  <c r="BT521" i="3"/>
  <c r="BL521" i="3"/>
  <c r="AC522" i="3"/>
  <c r="G522" i="3"/>
  <c r="BB522" i="3"/>
  <c r="BD522" i="3"/>
  <c r="BE522" i="3"/>
  <c r="BH522" i="3"/>
  <c r="BA522" i="3"/>
  <c r="BM522" i="3"/>
  <c r="BR522" i="3"/>
  <c r="BT522" i="3"/>
  <c r="BL522" i="3"/>
  <c r="AC523" i="3"/>
  <c r="BB523" i="3"/>
  <c r="BD523" i="3"/>
  <c r="BE523" i="3"/>
  <c r="BH523" i="3"/>
  <c r="BA523" i="3"/>
  <c r="BM523" i="3"/>
  <c r="BR523" i="3"/>
  <c r="BT523" i="3"/>
  <c r="BL523" i="3"/>
  <c r="AZ523" i="3"/>
  <c r="AC524" i="3"/>
  <c r="BB524" i="3"/>
  <c r="BD524" i="3"/>
  <c r="BE524" i="3"/>
  <c r="BH524" i="3"/>
  <c r="BA524" i="3"/>
  <c r="BM524" i="3"/>
  <c r="BR524" i="3"/>
  <c r="BT524" i="3"/>
  <c r="BL524" i="3"/>
  <c r="AZ524" i="3"/>
  <c r="AC525" i="3"/>
  <c r="G525" i="3"/>
  <c r="BB525" i="3"/>
  <c r="BD525" i="3"/>
  <c r="BE525" i="3"/>
  <c r="BH525" i="3"/>
  <c r="BM525" i="3"/>
  <c r="BR525" i="3"/>
  <c r="BT525" i="3"/>
  <c r="BL525" i="3"/>
  <c r="BA525" i="3"/>
  <c r="AZ525" i="3"/>
  <c r="AC526" i="3"/>
  <c r="G526" i="3"/>
  <c r="BB526" i="3"/>
  <c r="BD526" i="3"/>
  <c r="BE526" i="3"/>
  <c r="BH526" i="3"/>
  <c r="BA526" i="3"/>
  <c r="BM526" i="3"/>
  <c r="BR526" i="3"/>
  <c r="BT526" i="3"/>
  <c r="BL526" i="3"/>
  <c r="AZ526" i="3"/>
  <c r="AC527" i="3"/>
  <c r="G527" i="3"/>
  <c r="BB527" i="3"/>
  <c r="BD527" i="3"/>
  <c r="BE527" i="3"/>
  <c r="BH527" i="3"/>
  <c r="BA527" i="3"/>
  <c r="BM527" i="3"/>
  <c r="BR527" i="3"/>
  <c r="BT527" i="3"/>
  <c r="BL527" i="3"/>
  <c r="AZ527" i="3"/>
  <c r="AC528" i="3"/>
  <c r="BB528" i="3"/>
  <c r="BD528" i="3"/>
  <c r="BE528" i="3"/>
  <c r="BH528" i="3"/>
  <c r="BA528" i="3"/>
  <c r="BM528" i="3"/>
  <c r="BR528" i="3"/>
  <c r="BT528" i="3"/>
  <c r="BL528" i="3"/>
  <c r="AZ528" i="3"/>
  <c r="AC529" i="3"/>
  <c r="G529" i="3"/>
  <c r="BB529" i="3"/>
  <c r="BD529" i="3"/>
  <c r="BE529" i="3"/>
  <c r="BH529" i="3"/>
  <c r="BM529" i="3"/>
  <c r="BR529" i="3"/>
  <c r="BT529" i="3"/>
  <c r="BL529" i="3"/>
  <c r="BA529" i="3"/>
  <c r="AZ529" i="3"/>
  <c r="AC530" i="3"/>
  <c r="BB530" i="3"/>
  <c r="BD530" i="3"/>
  <c r="BE530" i="3"/>
  <c r="BH530" i="3"/>
  <c r="BM530" i="3"/>
  <c r="BR530" i="3"/>
  <c r="BT530" i="3"/>
  <c r="BL530" i="3"/>
  <c r="AC531" i="3"/>
  <c r="G531" i="3"/>
  <c r="BB531" i="3"/>
  <c r="BD531" i="3"/>
  <c r="BE531" i="3"/>
  <c r="BH531" i="3"/>
  <c r="BA531" i="3"/>
  <c r="BM531" i="3"/>
  <c r="BR531" i="3"/>
  <c r="BT531" i="3"/>
  <c r="BL531" i="3"/>
  <c r="AZ531" i="3"/>
  <c r="AC532" i="3"/>
  <c r="BB532" i="3"/>
  <c r="BD532" i="3"/>
  <c r="BE532" i="3"/>
  <c r="BH532" i="3"/>
  <c r="BM532" i="3"/>
  <c r="BR532" i="3"/>
  <c r="BT532" i="3"/>
  <c r="AC533" i="3"/>
  <c r="G533" i="3"/>
  <c r="BB533" i="3"/>
  <c r="BD533" i="3"/>
  <c r="BE533" i="3"/>
  <c r="BH533" i="3"/>
  <c r="BM533" i="3"/>
  <c r="BR533" i="3"/>
  <c r="BT533" i="3"/>
  <c r="BL533" i="3"/>
  <c r="BA533" i="3"/>
  <c r="AZ533" i="3"/>
  <c r="AC534" i="3"/>
  <c r="G534" i="3"/>
  <c r="BB534" i="3"/>
  <c r="BD534" i="3"/>
  <c r="BE534" i="3"/>
  <c r="BH534" i="3"/>
  <c r="BM534" i="3"/>
  <c r="BR534" i="3"/>
  <c r="BT534" i="3"/>
  <c r="AC535" i="3"/>
  <c r="G535" i="3"/>
  <c r="BB535" i="3"/>
  <c r="BD535" i="3"/>
  <c r="BE535" i="3"/>
  <c r="BH535" i="3"/>
  <c r="BA535" i="3"/>
  <c r="BM535" i="3"/>
  <c r="BR535" i="3"/>
  <c r="BT535" i="3"/>
  <c r="BL535" i="3"/>
  <c r="AZ535" i="3"/>
  <c r="AC536" i="3"/>
  <c r="BB536" i="3"/>
  <c r="BD536" i="3"/>
  <c r="BE536" i="3"/>
  <c r="BH536" i="3"/>
  <c r="BM536" i="3"/>
  <c r="BR536" i="3"/>
  <c r="BT536" i="3"/>
  <c r="AC537" i="3"/>
  <c r="G537" i="3"/>
  <c r="BB537" i="3"/>
  <c r="BD537" i="3"/>
  <c r="BE537" i="3"/>
  <c r="BH537" i="3"/>
  <c r="BM537" i="3"/>
  <c r="BR537" i="3"/>
  <c r="BT537" i="3"/>
  <c r="BL537" i="3"/>
  <c r="BA537" i="3"/>
  <c r="AZ537" i="3"/>
  <c r="AC538" i="3"/>
  <c r="BB538" i="3"/>
  <c r="BD538" i="3"/>
  <c r="BE538" i="3"/>
  <c r="BH538" i="3"/>
  <c r="BM538" i="3"/>
  <c r="BR538" i="3"/>
  <c r="BT538" i="3"/>
  <c r="BL538" i="3"/>
  <c r="AC539" i="3"/>
  <c r="BB539" i="3"/>
  <c r="BD539" i="3"/>
  <c r="BE539" i="3"/>
  <c r="BH539" i="3"/>
  <c r="BA539" i="3"/>
  <c r="BM539" i="3"/>
  <c r="BR539" i="3"/>
  <c r="BT539" i="3"/>
  <c r="BL539" i="3"/>
  <c r="AZ539" i="3"/>
  <c r="AC540" i="3"/>
  <c r="G540" i="3"/>
  <c r="BB540" i="3"/>
  <c r="BD540" i="3"/>
  <c r="BE540" i="3"/>
  <c r="BH540" i="3"/>
  <c r="BM540" i="3"/>
  <c r="BR540" i="3"/>
  <c r="BT540" i="3"/>
  <c r="BL540" i="3"/>
  <c r="AC541" i="3"/>
  <c r="G541" i="3"/>
  <c r="BB541" i="3"/>
  <c r="BD541" i="3"/>
  <c r="BE541" i="3"/>
  <c r="BH541" i="3"/>
  <c r="BM541" i="3"/>
  <c r="BR541" i="3"/>
  <c r="BT541" i="3"/>
  <c r="BL541" i="3"/>
  <c r="BA541" i="3"/>
  <c r="AZ541" i="3"/>
  <c r="AC542" i="3"/>
  <c r="G542" i="3"/>
  <c r="BB542" i="3"/>
  <c r="BD542" i="3"/>
  <c r="BE542" i="3"/>
  <c r="BH542" i="3"/>
  <c r="BM542" i="3"/>
  <c r="BR542" i="3"/>
  <c r="BT542" i="3"/>
  <c r="AC543" i="3"/>
  <c r="BB543" i="3"/>
  <c r="BD543" i="3"/>
  <c r="BE543" i="3"/>
  <c r="BH543" i="3"/>
  <c r="BM543" i="3"/>
  <c r="BR543" i="3"/>
  <c r="BT543" i="3"/>
  <c r="AC544" i="3"/>
  <c r="BB544" i="3"/>
  <c r="BD544" i="3"/>
  <c r="BE544" i="3"/>
  <c r="BH544" i="3"/>
  <c r="BM544" i="3"/>
  <c r="BR544" i="3"/>
  <c r="BT544" i="3"/>
  <c r="AC545" i="3"/>
  <c r="BB545" i="3"/>
  <c r="BD545" i="3"/>
  <c r="BE545" i="3"/>
  <c r="BH545" i="3"/>
  <c r="BM545" i="3"/>
  <c r="BR545" i="3"/>
  <c r="BT545" i="3"/>
  <c r="AC546" i="3"/>
  <c r="BB546" i="3"/>
  <c r="BD546" i="3"/>
  <c r="BE546" i="3"/>
  <c r="BH546" i="3"/>
  <c r="BM546" i="3"/>
  <c r="BR546" i="3"/>
  <c r="BT546" i="3"/>
  <c r="AC547" i="3"/>
  <c r="BB547" i="3"/>
  <c r="BD547" i="3"/>
  <c r="BE547" i="3"/>
  <c r="BH547" i="3"/>
  <c r="BM547" i="3"/>
  <c r="BR547" i="3"/>
  <c r="BT547" i="3"/>
  <c r="AC548" i="3"/>
  <c r="BB548" i="3"/>
  <c r="BD548" i="3"/>
  <c r="BE548" i="3"/>
  <c r="BH548" i="3"/>
  <c r="BM548" i="3"/>
  <c r="BR548" i="3"/>
  <c r="BT548" i="3"/>
  <c r="AC549" i="3"/>
  <c r="G549" i="3"/>
  <c r="BB549" i="3"/>
  <c r="BD549" i="3"/>
  <c r="BE549" i="3"/>
  <c r="BH549" i="3"/>
  <c r="BM549" i="3"/>
  <c r="BR549" i="3"/>
  <c r="BT549" i="3"/>
  <c r="AC550" i="3"/>
  <c r="BB550" i="3"/>
  <c r="BD550" i="3"/>
  <c r="BE550" i="3"/>
  <c r="BH550" i="3"/>
  <c r="BA550" i="3"/>
  <c r="BM550" i="3"/>
  <c r="BR550" i="3"/>
  <c r="BT550" i="3"/>
  <c r="BL550" i="3"/>
  <c r="AZ550" i="3"/>
  <c r="AC551" i="3"/>
  <c r="BB551" i="3"/>
  <c r="BD551" i="3"/>
  <c r="BE551" i="3"/>
  <c r="BH551" i="3"/>
  <c r="BA551" i="3"/>
  <c r="BM551" i="3"/>
  <c r="BR551" i="3"/>
  <c r="BT551" i="3"/>
  <c r="BL551" i="3"/>
  <c r="AC552" i="3"/>
  <c r="G552" i="3"/>
  <c r="BB552" i="3"/>
  <c r="BD552" i="3"/>
  <c r="BE552" i="3"/>
  <c r="BH552" i="3"/>
  <c r="BM552" i="3"/>
  <c r="BR552" i="3"/>
  <c r="BT552" i="3"/>
  <c r="AC553" i="3"/>
  <c r="BB553" i="3"/>
  <c r="BD553" i="3"/>
  <c r="BE553" i="3"/>
  <c r="BH553" i="3"/>
  <c r="BM553" i="3"/>
  <c r="BR553" i="3"/>
  <c r="BT553" i="3"/>
  <c r="AC554" i="3"/>
  <c r="BB554" i="3"/>
  <c r="BD554" i="3"/>
  <c r="BE554" i="3"/>
  <c r="BH554" i="3"/>
  <c r="BM554" i="3"/>
  <c r="BR554" i="3"/>
  <c r="BT554" i="3"/>
  <c r="AC555" i="3"/>
  <c r="BB555" i="3"/>
  <c r="BD555" i="3"/>
  <c r="BE555" i="3"/>
  <c r="BH555" i="3"/>
  <c r="BM555" i="3"/>
  <c r="BR555" i="3"/>
  <c r="BT555" i="3"/>
  <c r="AC556" i="3"/>
  <c r="G556" i="3"/>
  <c r="BB556" i="3"/>
  <c r="BD556" i="3"/>
  <c r="BE556" i="3"/>
  <c r="BH556" i="3"/>
  <c r="BM556" i="3"/>
  <c r="BR556" i="3"/>
  <c r="BT556" i="3"/>
  <c r="BB557" i="3"/>
  <c r="BD557" i="3"/>
  <c r="BE557" i="3"/>
  <c r="BH557" i="3"/>
  <c r="BM557" i="3"/>
  <c r="BR557" i="3"/>
  <c r="BT557" i="3"/>
  <c r="AC558" i="3"/>
  <c r="G558" i="3"/>
  <c r="BB558" i="3"/>
  <c r="BD558" i="3"/>
  <c r="BE558" i="3"/>
  <c r="BH558" i="3"/>
  <c r="BM558" i="3"/>
  <c r="BR558" i="3"/>
  <c r="BT558" i="3"/>
  <c r="AC559" i="3"/>
  <c r="BB559" i="3"/>
  <c r="BD559" i="3"/>
  <c r="BE559" i="3"/>
  <c r="BH559" i="3"/>
  <c r="BA559" i="3"/>
  <c r="BM559" i="3"/>
  <c r="BR559" i="3"/>
  <c r="BT559" i="3"/>
  <c r="BL559" i="3"/>
  <c r="AZ559" i="3"/>
  <c r="AC560" i="3"/>
  <c r="BB560" i="3"/>
  <c r="BD560" i="3"/>
  <c r="BE560" i="3"/>
  <c r="BH560" i="3"/>
  <c r="BA560" i="3"/>
  <c r="BM560" i="3"/>
  <c r="BR560" i="3"/>
  <c r="BT560" i="3"/>
  <c r="BL560" i="3"/>
  <c r="AC561" i="3"/>
  <c r="G561" i="3"/>
  <c r="BB561" i="3"/>
  <c r="BD561" i="3"/>
  <c r="BE561" i="3"/>
  <c r="BH561" i="3"/>
  <c r="BM561" i="3"/>
  <c r="BR561" i="3"/>
  <c r="BT561" i="3"/>
  <c r="BL561" i="3"/>
  <c r="BA561" i="3"/>
  <c r="AZ561" i="3"/>
  <c r="AC562" i="3"/>
  <c r="G562" i="3"/>
  <c r="BB562" i="3"/>
  <c r="BD562" i="3"/>
  <c r="BE562" i="3"/>
  <c r="BH562" i="3"/>
  <c r="BA562" i="3"/>
  <c r="BM562" i="3"/>
  <c r="BR562" i="3"/>
  <c r="BT562" i="3"/>
  <c r="BL562" i="3"/>
  <c r="AC563" i="3"/>
  <c r="BB563" i="3"/>
  <c r="BD563" i="3"/>
  <c r="BE563" i="3"/>
  <c r="BH563" i="3"/>
  <c r="BA563" i="3"/>
  <c r="BM563" i="3"/>
  <c r="BR563" i="3"/>
  <c r="BT563" i="3"/>
  <c r="BL563" i="3"/>
  <c r="AC564" i="3"/>
  <c r="G564" i="3"/>
  <c r="BB564" i="3"/>
  <c r="BD564" i="3"/>
  <c r="BE564" i="3"/>
  <c r="BH564" i="3"/>
  <c r="BA564" i="3"/>
  <c r="BM564" i="3"/>
  <c r="BR564" i="3"/>
  <c r="BT564" i="3"/>
  <c r="BL564" i="3"/>
  <c r="AZ564" i="3"/>
  <c r="AC565" i="3"/>
  <c r="G565" i="3"/>
  <c r="BB565" i="3"/>
  <c r="BD565" i="3"/>
  <c r="BE565" i="3"/>
  <c r="BH565" i="3"/>
  <c r="BM565" i="3"/>
  <c r="BR565" i="3"/>
  <c r="BT565" i="3"/>
  <c r="AC566" i="3"/>
  <c r="G566" i="3"/>
  <c r="BB566" i="3"/>
  <c r="BD566" i="3"/>
  <c r="BE566" i="3"/>
  <c r="BH566" i="3"/>
  <c r="BM566" i="3"/>
  <c r="BR566" i="3"/>
  <c r="BT566" i="3"/>
  <c r="AC567" i="3"/>
  <c r="BB567" i="3"/>
  <c r="BD567" i="3"/>
  <c r="BE567" i="3"/>
  <c r="BH567" i="3"/>
  <c r="BM567" i="3"/>
  <c r="BR567" i="3"/>
  <c r="BT567" i="3"/>
  <c r="AC568" i="3"/>
  <c r="BB568" i="3"/>
  <c r="BD568" i="3"/>
  <c r="BE568" i="3"/>
  <c r="BH568" i="3"/>
  <c r="BM568" i="3"/>
  <c r="BR568" i="3"/>
  <c r="BT568" i="3"/>
  <c r="AC569" i="3"/>
  <c r="BB569" i="3"/>
  <c r="BD569" i="3"/>
  <c r="BE569" i="3"/>
  <c r="BH569" i="3"/>
  <c r="BM569" i="3"/>
  <c r="BR569" i="3"/>
  <c r="BT569" i="3"/>
  <c r="AC570" i="3"/>
  <c r="G570" i="3"/>
  <c r="BB570" i="3"/>
  <c r="BD570" i="3"/>
  <c r="BE570" i="3"/>
  <c r="BH570" i="3"/>
  <c r="BM570" i="3"/>
  <c r="BR570" i="3"/>
  <c r="BT570" i="3"/>
  <c r="AC571" i="3"/>
  <c r="BB571" i="3"/>
  <c r="BD571" i="3"/>
  <c r="BE571" i="3"/>
  <c r="BH571" i="3"/>
  <c r="BM571" i="3"/>
  <c r="BR571" i="3"/>
  <c r="BT571" i="3"/>
  <c r="AC572" i="3"/>
  <c r="BB572" i="3"/>
  <c r="BD572" i="3"/>
  <c r="BE572" i="3"/>
  <c r="BH572" i="3"/>
  <c r="BM572" i="3"/>
  <c r="BR572" i="3"/>
  <c r="BT572" i="3"/>
  <c r="AC573" i="3"/>
  <c r="BB573" i="3"/>
  <c r="BD573" i="3"/>
  <c r="BE573" i="3"/>
  <c r="BH573" i="3"/>
  <c r="BM573" i="3"/>
  <c r="BR573" i="3"/>
  <c r="BT573" i="3"/>
  <c r="AC574" i="3"/>
  <c r="G574" i="3"/>
  <c r="BB574" i="3"/>
  <c r="BD574" i="3"/>
  <c r="BE574" i="3"/>
  <c r="BH574" i="3"/>
  <c r="BA574" i="3"/>
  <c r="BM574" i="3"/>
  <c r="BR574" i="3"/>
  <c r="BT574" i="3"/>
  <c r="BL574" i="3"/>
  <c r="AZ574" i="3"/>
  <c r="AC575" i="3"/>
  <c r="BB575" i="3"/>
  <c r="BD575" i="3"/>
  <c r="BE575" i="3"/>
  <c r="BH575" i="3"/>
  <c r="BA575" i="3"/>
  <c r="BM575" i="3"/>
  <c r="BR575" i="3"/>
  <c r="BT575" i="3"/>
  <c r="BL575" i="3"/>
  <c r="AC576" i="3"/>
  <c r="BB576" i="3"/>
  <c r="BD576" i="3"/>
  <c r="BE576" i="3"/>
  <c r="BH576" i="3"/>
  <c r="BA576" i="3"/>
  <c r="BM576" i="3"/>
  <c r="BR576" i="3"/>
  <c r="BT576" i="3"/>
  <c r="BL576" i="3"/>
  <c r="AC577" i="3"/>
  <c r="G577" i="3"/>
  <c r="BB577" i="3"/>
  <c r="BD577" i="3"/>
  <c r="BE577" i="3"/>
  <c r="BH577" i="3"/>
  <c r="BM577" i="3"/>
  <c r="BR577" i="3"/>
  <c r="BT577" i="3"/>
  <c r="AC578" i="3"/>
  <c r="G578" i="3"/>
  <c r="BB578" i="3"/>
  <c r="BD578" i="3"/>
  <c r="BE578" i="3"/>
  <c r="BH578" i="3"/>
  <c r="BA578" i="3"/>
  <c r="BM578" i="3"/>
  <c r="BR578" i="3"/>
  <c r="BT578" i="3"/>
  <c r="BL578" i="3"/>
  <c r="AC579" i="3"/>
  <c r="BB579" i="3"/>
  <c r="BD579" i="3"/>
  <c r="BE579" i="3"/>
  <c r="BH579" i="3"/>
  <c r="BA579" i="3"/>
  <c r="BM579" i="3"/>
  <c r="BR579" i="3"/>
  <c r="BT579" i="3"/>
  <c r="BL579" i="3"/>
  <c r="AC580" i="3"/>
  <c r="G580" i="3"/>
  <c r="BB580" i="3"/>
  <c r="BD580" i="3"/>
  <c r="BE580" i="3"/>
  <c r="BH580" i="3"/>
  <c r="BA580" i="3"/>
  <c r="BM580" i="3"/>
  <c r="BR580" i="3"/>
  <c r="BT580" i="3"/>
  <c r="BL580" i="3"/>
  <c r="AZ580" i="3"/>
  <c r="AC581" i="3"/>
  <c r="G581" i="3"/>
  <c r="BB581" i="3"/>
  <c r="BD581" i="3"/>
  <c r="BE581" i="3"/>
  <c r="BH581" i="3"/>
  <c r="BA581" i="3"/>
  <c r="BM581" i="3"/>
  <c r="BR581" i="3"/>
  <c r="BT581" i="3"/>
  <c r="BL581" i="3"/>
  <c r="AC582" i="3"/>
  <c r="G582" i="3"/>
  <c r="BB582" i="3"/>
  <c r="BD582" i="3"/>
  <c r="BE582" i="3"/>
  <c r="BH582" i="3"/>
  <c r="BM582" i="3"/>
  <c r="BR582" i="3"/>
  <c r="BT582" i="3"/>
  <c r="AC583" i="3"/>
  <c r="BB583" i="3"/>
  <c r="BD583" i="3"/>
  <c r="BE583" i="3"/>
  <c r="BH583" i="3"/>
  <c r="BM583" i="3"/>
  <c r="BR583" i="3"/>
  <c r="BT583" i="3"/>
  <c r="AC584" i="3"/>
  <c r="BB584" i="3"/>
  <c r="BD584" i="3"/>
  <c r="BE584" i="3"/>
  <c r="BH584" i="3"/>
  <c r="BM584" i="3"/>
  <c r="BR584" i="3"/>
  <c r="BT584" i="3"/>
  <c r="H7" i="12"/>
  <c r="I7" i="12"/>
  <c r="J7" i="12"/>
  <c r="K7" i="12"/>
  <c r="H111" i="21"/>
  <c r="B109" i="39"/>
  <c r="B111" i="39"/>
  <c r="J30" i="36"/>
  <c r="AC30" i="36"/>
  <c r="H30" i="36"/>
  <c r="F30" i="36"/>
  <c r="AA30" i="36"/>
  <c r="C26" i="35"/>
  <c r="C79" i="35"/>
  <c r="J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S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H27" i="40"/>
  <c r="D92" i="40"/>
  <c r="E92" i="40"/>
  <c r="F92" i="40"/>
  <c r="G92" i="40"/>
  <c r="D90" i="40"/>
  <c r="E90" i="40"/>
  <c r="F90" i="40"/>
  <c r="G90" i="40"/>
  <c r="D88" i="40"/>
  <c r="E88" i="40"/>
  <c r="F88" i="40"/>
  <c r="G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F100" i="39"/>
  <c r="G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U45" i="39"/>
  <c r="B128" i="39"/>
  <c r="H44" i="39"/>
  <c r="B126" i="39"/>
  <c r="J43" i="39"/>
  <c r="AC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E96" i="39"/>
  <c r="F96" i="39"/>
  <c r="G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H40" i="37"/>
  <c r="D107" i="37"/>
  <c r="E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G75" i="37"/>
  <c r="D73" i="37"/>
  <c r="E73" i="37"/>
  <c r="F73" i="37"/>
  <c r="G73" i="37"/>
  <c r="D71" i="37"/>
  <c r="H15" i="37"/>
  <c r="AB15" i="37"/>
  <c r="B68" i="37"/>
  <c r="H14" i="37"/>
  <c r="AB14" i="37"/>
  <c r="B66" i="37"/>
  <c r="B64" i="37"/>
  <c r="H12" i="37"/>
  <c r="AB12" i="37"/>
  <c r="D63" i="37"/>
  <c r="E63" i="37"/>
  <c r="F63" i="37"/>
  <c r="G63" i="37"/>
  <c r="M61" i="37"/>
  <c r="L61" i="37"/>
  <c r="K61" i="37"/>
  <c r="J61" i="37"/>
  <c r="I61" i="37"/>
  <c r="H61" i="37"/>
  <c r="G61" i="37"/>
  <c r="F61" i="37"/>
  <c r="E61" i="37"/>
  <c r="D61" i="37"/>
  <c r="C61"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AA32" i="36"/>
  <c r="B95" i="36"/>
  <c r="H34" i="36"/>
  <c r="D83" i="36"/>
  <c r="E83" i="36"/>
  <c r="F83" i="36"/>
  <c r="G83" i="36"/>
  <c r="H83" i="36"/>
  <c r="I83" i="36"/>
  <c r="J83" i="36"/>
  <c r="K83" i="36"/>
  <c r="L83" i="36"/>
  <c r="M83" i="36"/>
  <c r="D78" i="36"/>
  <c r="E78" i="36"/>
  <c r="F78" i="36"/>
  <c r="G78" i="36"/>
  <c r="H78" i="36"/>
  <c r="I78" i="36"/>
  <c r="J78" i="36"/>
  <c r="K78" i="36"/>
  <c r="L78" i="36"/>
  <c r="M78" i="36"/>
  <c r="B75" i="36"/>
  <c r="J2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H11" i="35"/>
  <c r="AB11" i="35"/>
  <c r="B61" i="35"/>
  <c r="B59" i="35"/>
  <c r="H12" i="35"/>
  <c r="U12" i="35"/>
  <c r="B131" i="34"/>
  <c r="B129" i="34"/>
  <c r="H46" i="34"/>
  <c r="B127" i="34"/>
  <c r="B99" i="34"/>
  <c r="H32" i="34"/>
  <c r="B97" i="34"/>
  <c r="B95" i="34"/>
  <c r="F30" i="34"/>
  <c r="B93" i="34"/>
  <c r="B75" i="34"/>
  <c r="J14" i="34"/>
  <c r="B73" i="34"/>
  <c r="B71" i="34"/>
  <c r="H12" i="34"/>
  <c r="B130" i="33"/>
  <c r="B128" i="33"/>
  <c r="H45" i="33"/>
  <c r="B126" i="33"/>
  <c r="B98" i="33"/>
  <c r="J31" i="33"/>
  <c r="B96" i="33"/>
  <c r="B94" i="33"/>
  <c r="J29" i="33"/>
  <c r="B74" i="33"/>
  <c r="B72" i="33"/>
  <c r="J13" i="33"/>
  <c r="B70" i="33"/>
  <c r="J12" i="33"/>
  <c r="W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D87" i="33"/>
  <c r="E87" i="33"/>
  <c r="F87" i="33"/>
  <c r="G87" i="33"/>
  <c r="H87" i="33"/>
  <c r="I87" i="33"/>
  <c r="J87" i="33"/>
  <c r="K87" i="33"/>
  <c r="L87" i="33"/>
  <c r="M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AA9" i="21"/>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F77" i="21"/>
  <c r="G77" i="21"/>
  <c r="B130" i="21"/>
  <c r="B128" i="21"/>
  <c r="J45" i="21"/>
  <c r="B126" i="21"/>
  <c r="B98" i="21"/>
  <c r="H31" i="21"/>
  <c r="B96" i="21"/>
  <c r="H30" i="21"/>
  <c r="B94" i="21"/>
  <c r="J29" i="21"/>
  <c r="AC29" i="21"/>
  <c r="B92" i="21"/>
  <c r="H28" i="21"/>
  <c r="B90" i="21"/>
  <c r="J27" i="21"/>
  <c r="W27" i="21"/>
  <c r="B74" i="21"/>
  <c r="J14" i="21"/>
  <c r="B72" i="21"/>
  <c r="H13" i="21"/>
  <c r="U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D585" i="3"/>
  <c r="BE585" i="3"/>
  <c r="BH585" i="3"/>
  <c r="BM585" i="3"/>
  <c r="BR585" i="3"/>
  <c r="BT585" i="3"/>
  <c r="BL585" i="3"/>
  <c r="BB586" i="3"/>
  <c r="BD586" i="3"/>
  <c r="BE586" i="3"/>
  <c r="BH586" i="3"/>
  <c r="BA586" i="3"/>
  <c r="BM586" i="3"/>
  <c r="BR586" i="3"/>
  <c r="BT586" i="3"/>
  <c r="BL586" i="3"/>
  <c r="BB587" i="3"/>
  <c r="BD587" i="3"/>
  <c r="BE587" i="3"/>
  <c r="BH587" i="3"/>
  <c r="BM587" i="3"/>
  <c r="BR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G585" i="3"/>
  <c r="G586"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1" i="35"/>
  <c r="F36" i="34"/>
  <c r="S36" i="34"/>
  <c r="J35" i="34"/>
  <c r="W9" i="34"/>
  <c r="U34" i="34"/>
  <c r="H39" i="33"/>
  <c r="AB39" i="33"/>
  <c r="F26" i="33"/>
  <c r="AA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S27" i="39"/>
  <c r="F11" i="21"/>
  <c r="S11" i="21"/>
  <c r="S40" i="21"/>
  <c r="C25" i="39"/>
  <c r="C27" i="39"/>
  <c r="C21" i="39"/>
  <c r="H11" i="39"/>
  <c r="U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F14" i="35"/>
  <c r="AA14" i="35"/>
  <c r="F23" i="35"/>
  <c r="AA23" i="35"/>
  <c r="J32" i="35"/>
  <c r="AC32" i="35"/>
  <c r="J16" i="35"/>
  <c r="AC16" i="35"/>
  <c r="H16" i="35"/>
  <c r="U16" i="35"/>
  <c r="F16" i="35"/>
  <c r="S16" i="35"/>
  <c r="H14" i="35"/>
  <c r="AB14" i="35"/>
  <c r="J29" i="35"/>
  <c r="W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G114" i="34"/>
  <c r="H114" i="34"/>
  <c r="I114" i="34"/>
  <c r="J114" i="34"/>
  <c r="K114" i="34"/>
  <c r="L114" i="34"/>
  <c r="M114" i="34"/>
  <c r="H36" i="34"/>
  <c r="U36" i="34"/>
  <c r="F37" i="34"/>
  <c r="AA37" i="34"/>
  <c r="S35" i="34"/>
  <c r="F28" i="34"/>
  <c r="AA28" i="34"/>
  <c r="F25" i="34"/>
  <c r="S25" i="34"/>
  <c r="H23" i="34"/>
  <c r="U23" i="34"/>
  <c r="J23" i="34"/>
  <c r="F19" i="34"/>
  <c r="S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W43" i="34"/>
  <c r="J40" i="34"/>
  <c r="W40"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2" i="21"/>
  <c r="AC42" i="21"/>
  <c r="H42" i="21"/>
  <c r="U42" i="21"/>
  <c r="J44" i="34"/>
  <c r="W44" i="34"/>
  <c r="F44" i="34"/>
  <c r="AA44" i="34"/>
  <c r="J10" i="35"/>
  <c r="AC10" i="35"/>
  <c r="BL587" i="3"/>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H13" i="33"/>
  <c r="U13" i="33"/>
  <c r="F31" i="33"/>
  <c r="S31" i="33"/>
  <c r="H30" i="34"/>
  <c r="AB30" i="34"/>
  <c r="F32" i="34"/>
  <c r="AA32" i="34"/>
  <c r="J46" i="34"/>
  <c r="AC46" i="34"/>
  <c r="J11" i="35"/>
  <c r="W11" i="35"/>
  <c r="F11" i="35"/>
  <c r="S11" i="35"/>
  <c r="J26" i="36"/>
  <c r="W26" i="36"/>
  <c r="H28" i="36"/>
  <c r="U28" i="36"/>
  <c r="H32" i="36"/>
  <c r="AB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14" i="33"/>
  <c r="U14" i="33"/>
  <c r="F14" i="33"/>
  <c r="S14" i="33"/>
  <c r="J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W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c r="J13" i="39"/>
  <c r="W13" i="39"/>
  <c r="H13" i="39"/>
  <c r="AB13" i="39"/>
  <c r="H14" i="40"/>
  <c r="AB14" i="40"/>
  <c r="J14" i="40"/>
  <c r="W14" i="40"/>
  <c r="F14" i="40"/>
  <c r="AA14" i="40"/>
  <c r="J14" i="37"/>
  <c r="AC14" i="37"/>
  <c r="AA44" i="33"/>
  <c r="AA13" i="35"/>
  <c r="U31" i="34"/>
  <c r="U46" i="33"/>
  <c r="AA14" i="33"/>
  <c r="J36" i="37"/>
  <c r="AC36" i="37"/>
  <c r="J10" i="36"/>
  <c r="AC10" i="36"/>
  <c r="AB26" i="33"/>
  <c r="AA14" i="37"/>
  <c r="W31" i="34"/>
  <c r="AC13" i="36"/>
  <c r="W13" i="36"/>
  <c r="S11" i="36"/>
  <c r="S44" i="34"/>
  <c r="BA585" i="3"/>
  <c r="AZ585" i="3"/>
  <c r="F17" i="21"/>
  <c r="AA17" i="21"/>
  <c r="H17" i="21"/>
  <c r="AB17" i="21"/>
  <c r="F15" i="21"/>
  <c r="S15" i="21"/>
  <c r="J41" i="39"/>
  <c r="W41" i="39"/>
  <c r="W44" i="39"/>
  <c r="W36" i="39"/>
  <c r="W35" i="39"/>
  <c r="U36" i="39"/>
  <c r="S35" i="39"/>
  <c r="G544" i="3"/>
  <c r="G536" i="3"/>
  <c r="G532" i="3"/>
  <c r="G528" i="3"/>
  <c r="G523" i="3"/>
  <c r="G514" i="3"/>
  <c r="G508" i="3"/>
  <c r="G500" i="3"/>
  <c r="G584" i="3"/>
  <c r="G576" i="3"/>
  <c r="G572" i="3"/>
  <c r="G568" i="3"/>
  <c r="G560" i="3"/>
  <c r="G554" i="3"/>
  <c r="G550" i="3"/>
  <c r="BL584" i="3"/>
  <c r="BL572" i="3"/>
  <c r="BL568" i="3"/>
  <c r="BL554" i="3"/>
  <c r="BL546" i="3"/>
  <c r="BL542" i="3"/>
  <c r="BL534" i="3"/>
  <c r="BL498" i="3"/>
  <c r="BL582" i="3"/>
  <c r="BL570" i="3"/>
  <c r="BL566" i="3"/>
  <c r="BL556" i="3"/>
  <c r="BL552" i="3"/>
  <c r="BL544" i="3"/>
  <c r="BL536" i="3"/>
  <c r="BL532" i="3"/>
  <c r="BL504" i="3"/>
  <c r="BL496" i="3"/>
  <c r="BA584" i="3"/>
  <c r="BA582" i="3"/>
  <c r="AZ582" i="3"/>
  <c r="BA572" i="3"/>
  <c r="AZ572" i="3"/>
  <c r="BA570" i="3"/>
  <c r="AZ570" i="3"/>
  <c r="BA568" i="3"/>
  <c r="AZ568" i="3"/>
  <c r="BA566" i="3"/>
  <c r="AZ566" i="3"/>
  <c r="BA558" i="3"/>
  <c r="BL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AZ530" i="3"/>
  <c r="BA520" i="3"/>
  <c r="BL520" i="3"/>
  <c r="AZ520" i="3"/>
  <c r="BA512" i="3"/>
  <c r="AZ512" i="3"/>
  <c r="BA510" i="3"/>
  <c r="AZ510" i="3"/>
  <c r="BA508" i="3"/>
  <c r="BL508" i="3"/>
  <c r="AZ508" i="3"/>
  <c r="BA504" i="3"/>
  <c r="AZ504" i="3"/>
  <c r="BA498" i="3"/>
  <c r="AZ498" i="3"/>
  <c r="BA496" i="3"/>
  <c r="BA587" i="3"/>
  <c r="AZ587" i="3"/>
  <c r="BA583" i="3"/>
  <c r="BL583" i="3"/>
  <c r="AZ583" i="3"/>
  <c r="BA577" i="3"/>
  <c r="BL577" i="3"/>
  <c r="AZ577" i="3"/>
  <c r="BA573" i="3"/>
  <c r="BL573" i="3"/>
  <c r="AZ573" i="3"/>
  <c r="BA571" i="3"/>
  <c r="BA569" i="3"/>
  <c r="BL569" i="3"/>
  <c r="AZ569" i="3"/>
  <c r="BA567" i="3"/>
  <c r="BA565" i="3"/>
  <c r="BL565" i="3"/>
  <c r="AZ565" i="3"/>
  <c r="BA555" i="3"/>
  <c r="BA553" i="3"/>
  <c r="BA549" i="3"/>
  <c r="BA547" i="3"/>
  <c r="BA545" i="3"/>
  <c r="BA543" i="3"/>
  <c r="BA519" i="3"/>
  <c r="BL519" i="3"/>
  <c r="AZ519" i="3"/>
  <c r="BA515" i="3"/>
  <c r="BL515" i="3"/>
  <c r="AZ515" i="3"/>
  <c r="BA511" i="3"/>
  <c r="BL511" i="3"/>
  <c r="AZ511" i="3"/>
  <c r="BA501" i="3"/>
  <c r="AZ501" i="3"/>
  <c r="BA497" i="3"/>
  <c r="AZ497" i="3"/>
  <c r="BA493" i="3"/>
  <c r="BL493" i="3"/>
  <c r="AZ493" i="3"/>
  <c r="G583" i="3"/>
  <c r="G579" i="3"/>
  <c r="G575" i="3"/>
  <c r="G573" i="3"/>
  <c r="G571" i="3"/>
  <c r="G569" i="3"/>
  <c r="G567" i="3"/>
  <c r="G563" i="3"/>
  <c r="BA557" i="3"/>
  <c r="AC557" i="3"/>
  <c r="G557" i="3"/>
  <c r="BL557" i="3"/>
  <c r="AZ557" i="3"/>
  <c r="BL571" i="3"/>
  <c r="AZ571" i="3"/>
  <c r="BL567" i="3"/>
  <c r="AZ567" i="3"/>
  <c r="G559" i="3"/>
  <c r="G555" i="3"/>
  <c r="G553" i="3"/>
  <c r="G547" i="3"/>
  <c r="G545" i="3"/>
  <c r="G543" i="3"/>
  <c r="G539" i="3"/>
  <c r="BL555" i="3"/>
  <c r="AZ555" i="3"/>
  <c r="BL553" i="3"/>
  <c r="AZ553" i="3"/>
  <c r="BL547" i="3"/>
  <c r="AZ547" i="3"/>
  <c r="BL545" i="3"/>
  <c r="AZ545" i="3"/>
  <c r="BL543" i="3"/>
  <c r="AZ543" i="3"/>
  <c r="BA521" i="3"/>
  <c r="AZ521" i="3"/>
  <c r="G519" i="3"/>
  <c r="G515" i="3"/>
  <c r="G511" i="3"/>
  <c r="AC509" i="3"/>
  <c r="G507" i="3"/>
  <c r="G503" i="3"/>
  <c r="G499" i="3"/>
  <c r="G495"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U35" i="35"/>
  <c r="AA12" i="35"/>
  <c r="W14" i="37"/>
  <c r="AB28" i="37"/>
  <c r="U33" i="37"/>
  <c r="U39" i="37"/>
  <c r="W26" i="37"/>
  <c r="W47" i="34"/>
  <c r="AB13" i="34"/>
  <c r="AC36" i="34"/>
  <c r="W44" i="33"/>
  <c r="U11" i="33"/>
  <c r="U19" i="21"/>
  <c r="W44" i="21"/>
  <c r="U26" i="21"/>
  <c r="AC46" i="21"/>
  <c r="U12" i="21"/>
  <c r="AB38" i="21"/>
  <c r="F43" i="33"/>
  <c r="AA43" i="33"/>
  <c r="W15" i="34"/>
  <c r="W16" i="35"/>
  <c r="G107" i="37"/>
  <c r="H107" i="37"/>
  <c r="I107" i="37"/>
  <c r="J107" i="37"/>
  <c r="K107" i="37"/>
  <c r="L107" i="37"/>
  <c r="M107" i="37"/>
  <c r="H37" i="21"/>
  <c r="U37" i="21"/>
  <c r="H19" i="34"/>
  <c r="AB19" i="34"/>
  <c r="F36" i="35"/>
  <c r="S36" i="35"/>
  <c r="H9" i="37"/>
  <c r="U9" i="37"/>
  <c r="J12" i="37"/>
  <c r="W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AT6" i="3"/>
  <c r="H19" i="40"/>
  <c r="U19" i="40"/>
  <c r="F19" i="40"/>
  <c r="S19" i="40"/>
  <c r="S14" i="40"/>
  <c r="AC13" i="40"/>
  <c r="W23" i="39"/>
  <c r="W43" i="39"/>
  <c r="AB45" i="39"/>
  <c r="AB44" i="39"/>
  <c r="U44" i="39"/>
  <c r="H37" i="39"/>
  <c r="AB37" i="39"/>
  <c r="AC37" i="39"/>
  <c r="W37" i="39"/>
  <c r="H25" i="39"/>
  <c r="AB25" i="39"/>
  <c r="J25" i="39"/>
  <c r="AC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A118" i="9"/>
  <c r="A4" i="52"/>
  <c r="B41" i="72"/>
  <c r="J11" i="39"/>
  <c r="W11" i="39"/>
  <c r="F11" i="39"/>
  <c r="AA11" i="39"/>
  <c r="S11" i="39"/>
  <c r="G4" i="4"/>
  <c r="I4" i="4"/>
  <c r="A2" i="9"/>
  <c r="F61" i="43"/>
  <c r="H64" i="43"/>
  <c r="AZ20" i="3"/>
  <c r="AZ24" i="3"/>
  <c r="AZ28" i="3"/>
  <c r="AZ32" i="3"/>
  <c r="BL549"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BL327" i="3"/>
  <c r="AZ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BL378" i="3"/>
  <c r="AZ378" i="3"/>
  <c r="G379" i="3"/>
  <c r="BA380" i="3"/>
  <c r="BL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16" i="3"/>
  <c r="G506"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AZ356" i="3"/>
  <c r="G357" i="3"/>
  <c r="G360" i="3"/>
  <c r="BL361" i="3"/>
  <c r="BA363" i="3"/>
  <c r="AZ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AZ549" i="3"/>
  <c r="AZ496" i="3"/>
  <c r="G548" i="3"/>
  <c r="G538" i="3"/>
  <c r="G502" i="3"/>
  <c r="AZ343" i="3"/>
  <c r="BE5" i="3"/>
  <c r="G17" i="3"/>
  <c r="BA17" i="3"/>
  <c r="BT5" i="3"/>
  <c r="AZ350" i="3"/>
  <c r="AZ352" i="3"/>
  <c r="AZ360" i="3"/>
  <c r="AZ368" i="3"/>
  <c r="BA15" i="3"/>
  <c r="AZ15" i="3"/>
  <c r="BR5" i="3"/>
  <c r="AZ384" i="3"/>
  <c r="AZ388" i="3"/>
  <c r="AZ392" i="3"/>
  <c r="AZ396" i="3"/>
  <c r="AZ394" i="3"/>
  <c r="G509" i="3"/>
  <c r="AZ491" i="3"/>
  <c r="AZ376" i="3"/>
  <c r="AZ382" i="3"/>
  <c r="U36" i="40"/>
  <c r="F83" i="43"/>
  <c r="H85" i="43"/>
  <c r="F50" i="43"/>
  <c r="H54" i="43"/>
  <c r="F72" i="43"/>
  <c r="H75" i="43"/>
  <c r="U17" i="39"/>
  <c r="S14" i="35"/>
  <c r="U43" i="21"/>
  <c r="U35" i="21"/>
  <c r="AC35" i="21"/>
  <c r="G8" i="1"/>
  <c r="G10" i="1"/>
  <c r="W37" i="37"/>
  <c r="U13" i="37"/>
  <c r="AA12" i="40"/>
  <c r="J37" i="33"/>
  <c r="W37" i="33"/>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H35" i="37"/>
  <c r="U35" i="37"/>
  <c r="AC14" i="35"/>
  <c r="H20" i="35"/>
  <c r="U20" i="35"/>
  <c r="F20" i="35"/>
  <c r="AA20" i="35"/>
  <c r="AB23" i="35"/>
  <c r="AB29" i="36"/>
  <c r="U29" i="36"/>
  <c r="H32" i="37"/>
  <c r="AB32" i="37"/>
  <c r="F96" i="37"/>
  <c r="G96" i="37"/>
  <c r="H96" i="37"/>
  <c r="I96" i="37"/>
  <c r="J96" i="37"/>
  <c r="K96" i="37"/>
  <c r="L96" i="37"/>
  <c r="M96" i="37"/>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F20" i="36"/>
  <c r="AA20" i="36"/>
  <c r="J33" i="34"/>
  <c r="AC33" i="34"/>
  <c r="H23" i="39"/>
  <c r="U23" i="39"/>
  <c r="D48" i="9"/>
  <c r="M52" i="9"/>
  <c r="K9" i="1"/>
  <c r="M9" i="1"/>
  <c r="D93" i="9"/>
  <c r="K6" i="1"/>
  <c r="AP6" i="1"/>
  <c r="AB34" i="36"/>
  <c r="U34" i="36"/>
  <c r="AB33" i="36"/>
  <c r="U33" i="36"/>
  <c r="AC12" i="39"/>
  <c r="W12" i="39"/>
  <c r="AC39" i="40"/>
  <c r="W39" i="40"/>
  <c r="AZ401" i="3"/>
  <c r="AZ412" i="3"/>
  <c r="AZ417" i="3"/>
  <c r="AZ428" i="3"/>
  <c r="AZ433" i="3"/>
  <c r="AZ465" i="3"/>
  <c r="AC12" i="33"/>
  <c r="S32" i="36"/>
  <c r="AZ408" i="3"/>
  <c r="AZ437" i="3"/>
  <c r="AZ441" i="3"/>
  <c r="AZ457" i="3"/>
  <c r="AZ473" i="3"/>
  <c r="AZ490" i="3"/>
  <c r="BL14" i="3"/>
  <c r="AZ266" i="3"/>
  <c r="AC13" i="34"/>
  <c r="AA47" i="34"/>
  <c r="W28" i="37"/>
  <c r="S19" i="39"/>
  <c r="F12" i="33"/>
  <c r="AA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C42" i="1"/>
  <c r="C24" i="12"/>
  <c r="AA34" i="33"/>
  <c r="AB37" i="40"/>
  <c r="S35" i="40"/>
  <c r="U35" i="40"/>
  <c r="W38" i="40"/>
  <c r="S17" i="40"/>
  <c r="AC17" i="40"/>
  <c r="AC15" i="40"/>
  <c r="S30" i="40"/>
  <c r="AA19" i="40"/>
  <c r="U21" i="40"/>
  <c r="AB19" i="40"/>
  <c r="S37" i="39"/>
  <c r="U35" i="39"/>
  <c r="F32" i="39"/>
  <c r="F106" i="39"/>
  <c r="G106" i="39"/>
  <c r="H106" i="39"/>
  <c r="I106" i="39"/>
  <c r="J106" i="39"/>
  <c r="K106" i="39"/>
  <c r="L106" i="39"/>
  <c r="M106" i="39"/>
  <c r="AB27" i="39"/>
  <c r="U31" i="39"/>
  <c r="J21" i="39"/>
  <c r="W21" i="39"/>
  <c r="F21" i="39"/>
  <c r="G94" i="39"/>
  <c r="H21" i="39"/>
  <c r="W19" i="39"/>
  <c r="S17" i="39"/>
  <c r="AA12" i="39"/>
  <c r="S9" i="39"/>
  <c r="U14" i="39"/>
  <c r="AC13" i="39"/>
  <c r="U12" i="39"/>
  <c r="U13" i="36"/>
  <c r="U26" i="36"/>
  <c r="S33" i="36"/>
  <c r="AA26" i="36"/>
  <c r="AA34" i="36"/>
  <c r="AC26" i="36"/>
  <c r="AA22" i="36"/>
  <c r="AB14" i="36"/>
  <c r="U22" i="36"/>
  <c r="S16" i="36"/>
  <c r="S24" i="36"/>
  <c r="U24" i="36"/>
  <c r="U16" i="36"/>
  <c r="S14" i="36"/>
  <c r="AA25" i="35"/>
  <c r="S23" i="35"/>
  <c r="W24" i="35"/>
  <c r="AB13" i="35"/>
  <c r="U29" i="35"/>
  <c r="U28" i="35"/>
  <c r="AB27" i="35"/>
  <c r="U32" i="35"/>
  <c r="AC30" i="35"/>
  <c r="S32" i="35"/>
  <c r="AA36" i="35"/>
  <c r="AB16" i="35"/>
  <c r="U22" i="35"/>
  <c r="S20" i="35"/>
  <c r="AC20" i="35"/>
  <c r="S22" i="35"/>
  <c r="AA11" i="35"/>
  <c r="AC9" i="35"/>
  <c r="W9" i="35"/>
  <c r="W13" i="35"/>
  <c r="F9" i="35"/>
  <c r="S9" i="35"/>
  <c r="H9" i="35"/>
  <c r="U9" i="35"/>
  <c r="S25" i="37"/>
  <c r="S26" i="37"/>
  <c r="AC29" i="37"/>
  <c r="U29" i="37"/>
  <c r="S32" i="37"/>
  <c r="AB31" i="37"/>
  <c r="W30" i="37"/>
  <c r="S36" i="37"/>
  <c r="AA38" i="37"/>
  <c r="U32" i="37"/>
  <c r="W38" i="37"/>
  <c r="AC35" i="37"/>
  <c r="W39" i="37"/>
  <c r="S30" i="37"/>
  <c r="AC15" i="37"/>
  <c r="J17" i="37"/>
  <c r="W17" i="37"/>
  <c r="F17" i="37"/>
  <c r="AA17" i="37"/>
  <c r="AB17" i="37"/>
  <c r="F19" i="37"/>
  <c r="AA19" i="37"/>
  <c r="F79" i="37"/>
  <c r="F23" i="37"/>
  <c r="S23" i="37"/>
  <c r="U23" i="37"/>
  <c r="AC13" i="37"/>
  <c r="H10" i="37"/>
  <c r="AB10" i="37"/>
  <c r="F11" i="37"/>
  <c r="S11" i="37"/>
  <c r="W25" i="34"/>
  <c r="AA33" i="34"/>
  <c r="U43" i="34"/>
  <c r="W41" i="34"/>
  <c r="AC42" i="34"/>
  <c r="AB35" i="34"/>
  <c r="S43" i="34"/>
  <c r="AB41" i="34"/>
  <c r="AA45" i="34"/>
  <c r="AA25" i="34"/>
  <c r="U28" i="34"/>
  <c r="S17" i="34"/>
  <c r="AA29" i="34"/>
  <c r="S23" i="34"/>
  <c r="U15" i="34"/>
  <c r="S13" i="34"/>
  <c r="H10" i="34"/>
  <c r="AB10" i="34"/>
  <c r="F11" i="34"/>
  <c r="S11" i="34"/>
  <c r="W42" i="33"/>
  <c r="W38" i="33"/>
  <c r="H41" i="33"/>
  <c r="U42" i="33"/>
  <c r="S42" i="33"/>
  <c r="F36" i="33"/>
  <c r="AA36" i="33"/>
  <c r="G111" i="33"/>
  <c r="J35" i="33"/>
  <c r="S37" i="33"/>
  <c r="AA37" i="33"/>
  <c r="S39" i="33"/>
  <c r="J32" i="33"/>
  <c r="S46" i="33"/>
  <c r="S43" i="33"/>
  <c r="H27" i="33"/>
  <c r="AB27" i="33"/>
  <c r="H25" i="33"/>
  <c r="AB25" i="33"/>
  <c r="F25" i="33"/>
  <c r="J23" i="33"/>
  <c r="W23" i="33"/>
  <c r="H23" i="33"/>
  <c r="U23" i="33"/>
  <c r="F19" i="33"/>
  <c r="S19" i="33"/>
  <c r="W19" i="33"/>
  <c r="J17" i="33"/>
  <c r="F79" i="33"/>
  <c r="G79" i="33"/>
  <c r="S15" i="33"/>
  <c r="W15" i="33"/>
  <c r="J10" i="33"/>
  <c r="W10" i="33"/>
  <c r="H10" i="33"/>
  <c r="U10" i="33"/>
  <c r="AC11" i="33"/>
  <c r="AB14" i="33"/>
  <c r="W43" i="21"/>
  <c r="W36" i="21"/>
  <c r="W41" i="21"/>
  <c r="AA43" i="21"/>
  <c r="S39" i="21"/>
  <c r="AA38" i="21"/>
  <c r="AA36" i="21"/>
  <c r="J15" i="21"/>
  <c r="W15" i="21"/>
  <c r="F23" i="21"/>
  <c r="S23" i="21"/>
  <c r="E85" i="21"/>
  <c r="C18" i="9"/>
  <c r="D18" i="9"/>
  <c r="F34" i="67"/>
  <c r="F62" i="67"/>
  <c r="M20" i="67"/>
  <c r="F34" i="15"/>
  <c r="F62" i="15"/>
  <c r="G13" i="3"/>
  <c r="BL17" i="3"/>
  <c r="AZ17" i="3"/>
  <c r="BL13" i="3"/>
  <c r="J56" i="9"/>
  <c r="J57" i="9"/>
  <c r="J59" i="9"/>
  <c r="J61" i="9"/>
  <c r="A24" i="51"/>
  <c r="B18" i="72"/>
  <c r="U29" i="34"/>
  <c r="E32" i="6"/>
  <c r="G1" i="68"/>
  <c r="K1" i="12"/>
  <c r="E19" i="69"/>
  <c r="E19" i="68"/>
  <c r="E19" i="11"/>
  <c r="E1" i="73"/>
  <c r="G22" i="69"/>
  <c r="G22" i="68"/>
  <c r="G26" i="12"/>
  <c r="G22" i="11"/>
  <c r="C6" i="43"/>
  <c r="B19" i="53"/>
  <c r="B37" i="72"/>
  <c r="C7" i="39"/>
  <c r="C67" i="39"/>
  <c r="C7" i="35"/>
  <c r="C7" i="33"/>
  <c r="C7" i="21"/>
  <c r="C7" i="40"/>
  <c r="C63" i="40"/>
  <c r="M47" i="9"/>
  <c r="G23" i="43"/>
  <c r="A4" i="51"/>
  <c r="B6" i="72"/>
  <c r="C48" i="35"/>
  <c r="D48" i="35"/>
  <c r="L20" i="6"/>
  <c r="B6" i="1"/>
  <c r="E6" i="1"/>
  <c r="K11" i="1"/>
  <c r="M11" i="1"/>
  <c r="O11" i="1"/>
  <c r="B9" i="1"/>
  <c r="E9" i="1"/>
  <c r="K7" i="1"/>
  <c r="M7" i="1"/>
  <c r="O7" i="1"/>
  <c r="P7" i="1"/>
  <c r="G1" i="15"/>
  <c r="G1" i="69"/>
  <c r="G1" i="67"/>
  <c r="W23" i="40"/>
  <c r="AB31" i="40"/>
  <c r="AB28" i="40"/>
  <c r="W34" i="40"/>
  <c r="W19" i="40"/>
  <c r="W37" i="40"/>
  <c r="AC14" i="40"/>
  <c r="S13" i="40"/>
  <c r="AA15" i="40"/>
  <c r="S31" i="40"/>
  <c r="U15" i="40"/>
  <c r="AB17" i="40"/>
  <c r="U8" i="40"/>
  <c r="AA39" i="39"/>
  <c r="AC41" i="39"/>
  <c r="U42" i="39"/>
  <c r="U41" i="39"/>
  <c r="W25" i="39"/>
  <c r="U13" i="39"/>
  <c r="AA13" i="39"/>
  <c r="S14" i="39"/>
  <c r="AA14" i="39"/>
  <c r="AB11" i="39"/>
  <c r="AA27" i="39"/>
  <c r="W17" i="39"/>
  <c r="AC17" i="39"/>
  <c r="W31" i="39"/>
  <c r="AC31" i="39"/>
  <c r="S23" i="39"/>
  <c r="AB39" i="39"/>
  <c r="W34" i="39"/>
  <c r="U38" i="39"/>
  <c r="S20" i="36"/>
  <c r="U32" i="36"/>
  <c r="W29" i="36"/>
  <c r="AC20" i="36"/>
  <c r="AB28" i="36"/>
  <c r="W9" i="36"/>
  <c r="W22" i="36"/>
  <c r="S9" i="36"/>
  <c r="AB20" i="35"/>
  <c r="AC25" i="35"/>
  <c r="U25" i="35"/>
  <c r="U24" i="35"/>
  <c r="S35" i="35"/>
  <c r="W35" i="35"/>
  <c r="AA35" i="37"/>
  <c r="S27" i="37"/>
  <c r="S28" i="37"/>
  <c r="W32" i="37"/>
  <c r="U38" i="37"/>
  <c r="AB37" i="37"/>
  <c r="AB35" i="37"/>
  <c r="AA31" i="37"/>
  <c r="U19" i="37"/>
  <c r="AA29" i="37"/>
  <c r="U8" i="37"/>
  <c r="AB40" i="34"/>
  <c r="U19" i="34"/>
  <c r="W19" i="34"/>
  <c r="AB33" i="34"/>
  <c r="AC45" i="34"/>
  <c r="AA31" i="34"/>
  <c r="AB45" i="34"/>
  <c r="AB47" i="34"/>
  <c r="AB36" i="34"/>
  <c r="AC29" i="34"/>
  <c r="W46" i="34"/>
  <c r="S32" i="34"/>
  <c r="U30" i="34"/>
  <c r="S37" i="34"/>
  <c r="U38" i="34"/>
  <c r="AC40" i="34"/>
  <c r="AA19" i="34"/>
  <c r="AA36" i="34"/>
  <c r="AA8" i="34"/>
  <c r="S8" i="34"/>
  <c r="AB9" i="34"/>
  <c r="U9" i="34"/>
  <c r="AC43" i="34"/>
  <c r="W23" i="34"/>
  <c r="AC23" i="34"/>
  <c r="AC35" i="34"/>
  <c r="W35" i="34"/>
  <c r="AB28" i="33"/>
  <c r="AC37" i="33"/>
  <c r="W46" i="33"/>
  <c r="U38" i="33"/>
  <c r="AB34" i="33"/>
  <c r="AB44" i="33"/>
  <c r="AA30" i="33"/>
  <c r="AC14" i="33"/>
  <c r="W14" i="33"/>
  <c r="AC30" i="33"/>
  <c r="W30" i="33"/>
  <c r="AA31" i="33"/>
  <c r="U15" i="33"/>
  <c r="S11" i="33"/>
  <c r="U37" i="33"/>
  <c r="AC28" i="33"/>
  <c r="W9" i="33"/>
  <c r="W8" i="33"/>
  <c r="S44" i="21"/>
  <c r="F33" i="21"/>
  <c r="AA33" i="21"/>
  <c r="J33" i="21"/>
  <c r="AC33" i="21"/>
  <c r="H33" i="21"/>
  <c r="AB33" i="21"/>
  <c r="F37" i="21"/>
  <c r="AA37" i="21"/>
  <c r="AA26" i="21"/>
  <c r="AB46" i="21"/>
  <c r="AB13" i="21"/>
  <c r="J37" i="21"/>
  <c r="W37" i="21"/>
  <c r="H15" i="21"/>
  <c r="U15" i="21"/>
  <c r="J17" i="21"/>
  <c r="AC17" i="21"/>
  <c r="W39" i="21"/>
  <c r="S46" i="21"/>
  <c r="H45" i="21"/>
  <c r="U45" i="21"/>
  <c r="F29" i="21"/>
  <c r="S29" i="21"/>
  <c r="F13" i="21"/>
  <c r="AA13" i="21"/>
  <c r="AC38" i="21"/>
  <c r="H32" i="21"/>
  <c r="H9" i="21"/>
  <c r="U9" i="21"/>
  <c r="J9" i="21"/>
  <c r="J32" i="21"/>
  <c r="W32" i="21"/>
  <c r="F32" i="21"/>
  <c r="U17" i="21"/>
  <c r="W29" i="21"/>
  <c r="S9" i="21"/>
  <c r="K141" i="21"/>
  <c r="K144" i="21"/>
  <c r="K143" i="21"/>
  <c r="U27" i="21"/>
  <c r="AB44" i="21"/>
  <c r="W13" i="21"/>
  <c r="W42" i="21"/>
  <c r="F10" i="21"/>
  <c r="AA10" i="21"/>
  <c r="K145" i="21"/>
  <c r="W17" i="21"/>
  <c r="AA29" i="21"/>
  <c r="S27" i="21"/>
  <c r="S17" i="21"/>
  <c r="AC26" i="21"/>
  <c r="AB29" i="21"/>
  <c r="W12" i="21"/>
  <c r="W30" i="40"/>
  <c r="C19" i="39"/>
  <c r="C15" i="40"/>
  <c r="C17" i="40"/>
  <c r="C23" i="40"/>
  <c r="C21" i="40"/>
  <c r="U30" i="40"/>
  <c r="B56" i="43"/>
  <c r="B67" i="43"/>
  <c r="B51" i="43"/>
  <c r="B54" i="43"/>
  <c r="B58" i="43"/>
  <c r="B62" i="43"/>
  <c r="B65" i="43"/>
  <c r="B69" i="43"/>
  <c r="D23" i="15"/>
  <c r="D22" i="15"/>
  <c r="E4" i="4"/>
  <c r="B5" i="62"/>
  <c r="B73" i="72"/>
  <c r="C4" i="4"/>
  <c r="AA39" i="40"/>
  <c r="S39" i="40"/>
  <c r="S12" i="33"/>
  <c r="J32" i="39"/>
  <c r="W32" i="39"/>
  <c r="H32" i="39"/>
  <c r="AB32" i="39"/>
  <c r="AA32" i="39"/>
  <c r="S32" i="39"/>
  <c r="AB21" i="39"/>
  <c r="U21" i="39"/>
  <c r="AA21" i="39"/>
  <c r="S21" i="39"/>
  <c r="AC17" i="37"/>
  <c r="J19" i="37"/>
  <c r="AC19" i="37"/>
  <c r="S19" i="37"/>
  <c r="AA23" i="37"/>
  <c r="J23" i="37"/>
  <c r="G79" i="37"/>
  <c r="J10" i="37"/>
  <c r="W10" i="37"/>
  <c r="H11" i="37"/>
  <c r="AB11" i="37"/>
  <c r="H11" i="34"/>
  <c r="U11" i="34"/>
  <c r="J10" i="34"/>
  <c r="AC10" i="34"/>
  <c r="AB41" i="33"/>
  <c r="U41" i="33"/>
  <c r="W35" i="33"/>
  <c r="AC35" i="33"/>
  <c r="H111" i="33"/>
  <c r="I111" i="33"/>
  <c r="J111" i="33"/>
  <c r="K111" i="33"/>
  <c r="L111" i="33"/>
  <c r="M111" i="33"/>
  <c r="J36" i="33"/>
  <c r="W36" i="33"/>
  <c r="H36" i="33"/>
  <c r="U36" i="33"/>
  <c r="AC32" i="33"/>
  <c r="W32" i="33"/>
  <c r="U27" i="33"/>
  <c r="J27" i="33"/>
  <c r="U25" i="33"/>
  <c r="S25" i="33"/>
  <c r="AA25" i="33"/>
  <c r="J25" i="33"/>
  <c r="AB23" i="33"/>
  <c r="F23" i="33"/>
  <c r="AA23" i="33"/>
  <c r="AC23" i="33"/>
  <c r="AA19" i="33"/>
  <c r="H19" i="33"/>
  <c r="H17" i="33"/>
  <c r="U17" i="33"/>
  <c r="F17" i="33"/>
  <c r="W17" i="33"/>
  <c r="AC17" i="33"/>
  <c r="AA23" i="21"/>
  <c r="J23" i="21"/>
  <c r="F85" i="21"/>
  <c r="G85" i="21"/>
  <c r="H23" i="21"/>
  <c r="U23" i="21"/>
  <c r="AP7" i="1"/>
  <c r="AB9" i="21"/>
  <c r="AA32" i="21"/>
  <c r="S32" i="21"/>
  <c r="W9" i="21"/>
  <c r="AC9" i="21"/>
  <c r="AB32" i="21"/>
  <c r="U32" i="21"/>
  <c r="A18" i="62"/>
  <c r="B64" i="72"/>
  <c r="U32" i="39"/>
  <c r="AC32" i="39"/>
  <c r="W19" i="37"/>
  <c r="W23" i="37"/>
  <c r="AC23" i="37"/>
  <c r="H63" i="37"/>
  <c r="I63" i="37"/>
  <c r="J63" i="37"/>
  <c r="K63" i="37"/>
  <c r="L63" i="37"/>
  <c r="M63" i="37"/>
  <c r="J11" i="37"/>
  <c r="AC11" i="37"/>
  <c r="J11" i="34"/>
  <c r="W11" i="34"/>
  <c r="AB36" i="33"/>
  <c r="W27" i="33"/>
  <c r="AC27" i="33"/>
  <c r="W25" i="33"/>
  <c r="AC25" i="33"/>
  <c r="S23" i="33"/>
  <c r="AB19" i="33"/>
  <c r="U19" i="33"/>
  <c r="AA17" i="33"/>
  <c r="S17" i="33"/>
  <c r="AB17" i="33"/>
  <c r="AB23" i="21"/>
  <c r="AC23" i="21"/>
  <c r="W23" i="21"/>
  <c r="H109" i="9"/>
  <c r="M49" i="9"/>
  <c r="D16" i="53"/>
  <c r="B34" i="72"/>
  <c r="H112" i="9"/>
  <c r="D21" i="53"/>
  <c r="B39" i="72"/>
  <c r="H111" i="9"/>
  <c r="D126" i="9"/>
  <c r="D19" i="53"/>
  <c r="B38" i="72"/>
  <c r="AD3" i="71"/>
  <c r="J1" i="7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E21" i="71"/>
  <c r="E20" i="71"/>
  <c r="F3" i="73"/>
  <c r="D35" i="9"/>
  <c r="E7" i="76"/>
  <c r="M24" i="15"/>
  <c r="C76" i="15"/>
  <c r="E13" i="76"/>
  <c r="M24" i="67"/>
  <c r="F40" i="67"/>
  <c r="E8" i="76"/>
  <c r="D34" i="9"/>
  <c r="F40" i="15"/>
  <c r="E2" i="68"/>
  <c r="L48" i="67"/>
  <c r="F43" i="15"/>
  <c r="M23" i="67"/>
  <c r="L48" i="15"/>
  <c r="F16" i="67"/>
  <c r="M26" i="67"/>
  <c r="J15" i="67"/>
  <c r="M22" i="15"/>
  <c r="F36" i="15"/>
  <c r="F26" i="15"/>
  <c r="J15" i="15"/>
  <c r="F43" i="67"/>
  <c r="B10" i="76"/>
  <c r="M28" i="15"/>
  <c r="E2" i="69"/>
  <c r="M6" i="15"/>
  <c r="F16" i="15"/>
  <c r="F9" i="67"/>
  <c r="F26" i="67"/>
  <c r="L47" i="15"/>
  <c r="B11" i="76"/>
  <c r="M28" i="67"/>
  <c r="B9" i="76"/>
  <c r="F20" i="31"/>
  <c r="L47" i="67"/>
  <c r="E12" i="76"/>
  <c r="M23" i="15"/>
  <c r="B12" i="76"/>
  <c r="E11" i="76"/>
  <c r="F13" i="15"/>
  <c r="C76" i="67"/>
  <c r="F7" i="15"/>
  <c r="F7" i="67"/>
  <c r="M29" i="67"/>
  <c r="F42" i="67"/>
  <c r="M29" i="15"/>
  <c r="F37" i="15"/>
  <c r="M22" i="67"/>
  <c r="F38" i="15"/>
  <c r="F42" i="15"/>
  <c r="F13" i="67"/>
  <c r="F8" i="67"/>
  <c r="B7" i="76"/>
  <c r="M9" i="15"/>
  <c r="F5" i="73"/>
  <c r="F36" i="67"/>
  <c r="E9" i="76"/>
  <c r="AO13" i="1"/>
  <c r="F6" i="73"/>
  <c r="M6" i="67"/>
  <c r="M8" i="67"/>
  <c r="M26" i="15"/>
  <c r="F6" i="67"/>
  <c r="E10" i="76"/>
  <c r="M9" i="67"/>
  <c r="F6" i="15"/>
  <c r="M8" i="15"/>
  <c r="F38" i="67"/>
  <c r="F9" i="15"/>
  <c r="B13" i="76"/>
  <c r="F7" i="73"/>
  <c r="F4" i="73"/>
  <c r="B8" i="76"/>
  <c r="F8" i="15"/>
  <c r="F37" i="67"/>
  <c r="S42" i="21"/>
  <c r="S37" i="21"/>
  <c r="S34" i="21"/>
  <c r="AC40" i="21"/>
  <c r="U34" i="21"/>
  <c r="W25" i="21"/>
  <c r="AA25" i="21"/>
  <c r="AB25" i="21"/>
  <c r="AB15" i="21"/>
  <c r="AA15" i="21"/>
  <c r="AC15" i="21"/>
  <c r="B41" i="1"/>
  <c r="D68" i="9"/>
  <c r="F30" i="68"/>
  <c r="F48" i="68"/>
  <c r="G29" i="6"/>
  <c r="AC14" i="21"/>
  <c r="W14" i="21"/>
  <c r="AB9" i="33"/>
  <c r="U9" i="33"/>
  <c r="AC27" i="34"/>
  <c r="W27" i="34"/>
  <c r="W13" i="33"/>
  <c r="AC13" i="33"/>
  <c r="AC29" i="33"/>
  <c r="W29" i="33"/>
  <c r="W31" i="33"/>
  <c r="AC31" i="33"/>
  <c r="AB45" i="33"/>
  <c r="U45" i="33"/>
  <c r="AB12" i="34"/>
  <c r="U12" i="34"/>
  <c r="W14" i="34"/>
  <c r="AC14" i="34"/>
  <c r="S30" i="34"/>
  <c r="AA30" i="34"/>
  <c r="AB32" i="34"/>
  <c r="U32" i="34"/>
  <c r="AB46" i="34"/>
  <c r="U46" i="34"/>
  <c r="U27" i="40"/>
  <c r="AB27" i="40"/>
  <c r="AZ522" i="3"/>
  <c r="AZ518" i="3"/>
  <c r="AZ517" i="3"/>
  <c r="AZ513" i="3"/>
  <c r="AZ500" i="3"/>
  <c r="AZ499" i="3"/>
  <c r="AZ495" i="3"/>
  <c r="AZ494" i="3"/>
  <c r="AB30" i="21"/>
  <c r="U30" i="21"/>
  <c r="AA27" i="33"/>
  <c r="S27" i="33"/>
  <c r="E19" i="71"/>
  <c r="E18" i="71"/>
  <c r="E17" i="71"/>
  <c r="E16" i="71"/>
  <c r="V20" i="71"/>
  <c r="C21" i="71"/>
  <c r="AZ586" i="3"/>
  <c r="AB28" i="21"/>
  <c r="U28" i="21"/>
  <c r="U31" i="21"/>
  <c r="AB31" i="21"/>
  <c r="AC45" i="21"/>
  <c r="W45" i="21"/>
  <c r="W26" i="33"/>
  <c r="AC26" i="33"/>
  <c r="AC25" i="36"/>
  <c r="W25" i="36"/>
  <c r="AB40" i="37"/>
  <c r="U40" i="37"/>
  <c r="AZ581" i="3"/>
  <c r="AZ579" i="3"/>
  <c r="AZ578" i="3"/>
  <c r="AZ576" i="3"/>
  <c r="AZ575" i="3"/>
  <c r="AZ563" i="3"/>
  <c r="AZ562" i="3"/>
  <c r="AZ560" i="3"/>
  <c r="AZ551" i="3"/>
  <c r="J34" i="35"/>
  <c r="H34" i="35"/>
  <c r="F34" i="35"/>
  <c r="BA5" i="3"/>
  <c r="AC44" i="34"/>
  <c r="G28" i="6"/>
  <c r="F29" i="6"/>
  <c r="H69" i="43"/>
  <c r="AB45" i="21"/>
  <c r="S13" i="21"/>
  <c r="S36" i="33"/>
  <c r="S17" i="37"/>
  <c r="AB36" i="21"/>
  <c r="AC34" i="21"/>
  <c r="AC27" i="21"/>
  <c r="S19" i="21"/>
  <c r="AC19" i="21"/>
  <c r="S35" i="21"/>
  <c r="U40" i="21"/>
  <c r="AB42" i="21"/>
  <c r="S28" i="33"/>
  <c r="S33" i="33"/>
  <c r="U39" i="33"/>
  <c r="W33" i="34"/>
  <c r="U25" i="34"/>
  <c r="AA40" i="34"/>
  <c r="AC34" i="37"/>
  <c r="U36" i="37"/>
  <c r="W36" i="37"/>
  <c r="AA16" i="35"/>
  <c r="S24" i="35"/>
  <c r="AA13" i="36"/>
  <c r="S8" i="39"/>
  <c r="S8" i="40"/>
  <c r="AB13" i="40"/>
  <c r="U11" i="40"/>
  <c r="S33" i="40"/>
  <c r="S36" i="40"/>
  <c r="W28" i="40"/>
  <c r="S37" i="40"/>
  <c r="U32" i="40"/>
  <c r="H67" i="43"/>
  <c r="D120" i="9"/>
  <c r="AB39" i="21"/>
  <c r="W43" i="33"/>
  <c r="S32" i="33"/>
  <c r="AA35" i="33"/>
  <c r="U39" i="34"/>
  <c r="AC39" i="34"/>
  <c r="U44" i="34"/>
  <c r="AB8" i="34"/>
  <c r="AA13" i="37"/>
  <c r="U15" i="37"/>
  <c r="S37" i="37"/>
  <c r="U14" i="35"/>
  <c r="S28" i="35"/>
  <c r="AA33" i="35"/>
  <c r="AB20" i="36"/>
  <c r="W14" i="36"/>
  <c r="S15" i="39"/>
  <c r="U19" i="39"/>
  <c r="U25" i="39"/>
  <c r="U37" i="39"/>
  <c r="S28" i="40"/>
  <c r="S23" i="40"/>
  <c r="AA32" i="40"/>
  <c r="AC36" i="40"/>
  <c r="AC34" i="33"/>
  <c r="U30" i="33"/>
  <c r="AA39" i="34"/>
  <c r="S11" i="40"/>
  <c r="AC21" i="40"/>
  <c r="F27" i="40"/>
  <c r="J27" i="40"/>
  <c r="U12" i="40"/>
  <c r="S15" i="37"/>
  <c r="AC11" i="39"/>
  <c r="BB5" i="3"/>
  <c r="E5" i="6"/>
  <c r="AC5" i="3"/>
  <c r="W35" i="40"/>
  <c r="AB33" i="40"/>
  <c r="AC12" i="37"/>
  <c r="F9" i="37"/>
  <c r="S9" i="37"/>
  <c r="U26" i="37"/>
  <c r="W23" i="35"/>
  <c r="H27" i="34"/>
  <c r="AB27" i="37"/>
  <c r="S21" i="40"/>
  <c r="J27" i="37"/>
  <c r="H43" i="39"/>
  <c r="F43" i="39"/>
  <c r="H25" i="36"/>
  <c r="F25" i="36"/>
  <c r="F40" i="37"/>
  <c r="J40" i="37"/>
  <c r="J32" i="36"/>
  <c r="W32" i="36"/>
  <c r="AC11" i="35"/>
  <c r="F46" i="34"/>
  <c r="J32" i="34"/>
  <c r="J30" i="34"/>
  <c r="H14" i="34"/>
  <c r="F14" i="34"/>
  <c r="F45" i="33"/>
  <c r="J45" i="33"/>
  <c r="H31" i="33"/>
  <c r="F29" i="33"/>
  <c r="H29" i="33"/>
  <c r="F13" i="33"/>
  <c r="F45" i="21"/>
  <c r="F31" i="21"/>
  <c r="J31" i="21"/>
  <c r="J30" i="21"/>
  <c r="F30" i="21"/>
  <c r="J28" i="21"/>
  <c r="F28" i="21"/>
  <c r="H14" i="21"/>
  <c r="F14" i="21"/>
  <c r="AC38" i="34"/>
  <c r="AB42" i="34"/>
  <c r="S26" i="33"/>
  <c r="F27" i="34"/>
  <c r="W32" i="40"/>
  <c r="AB12" i="35"/>
  <c r="AC12" i="34"/>
  <c r="U38" i="40"/>
  <c r="U9" i="40"/>
  <c r="W33" i="33"/>
  <c r="U35" i="33"/>
  <c r="W22" i="35"/>
  <c r="U9" i="39"/>
  <c r="J45" i="39"/>
  <c r="F45" i="39"/>
  <c r="J12" i="35"/>
  <c r="H36" i="35"/>
  <c r="J36" i="35"/>
  <c r="J23" i="36"/>
  <c r="H23" i="36"/>
  <c r="F23" i="36"/>
  <c r="W31" i="35"/>
  <c r="AC31" i="35"/>
  <c r="G551" i="3"/>
  <c r="G5" i="3"/>
  <c r="B3" i="3"/>
  <c r="BL548" i="3"/>
  <c r="AZ548" i="3"/>
  <c r="AZ409"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T60" i="71"/>
  <c r="D60" i="71"/>
  <c r="E27" i="71"/>
  <c r="E26" i="71"/>
  <c r="V28" i="71"/>
  <c r="C78" i="71"/>
  <c r="D78" i="71"/>
  <c r="D79" i="71"/>
  <c r="C74" i="71"/>
  <c r="D74" i="71"/>
  <c r="D75" i="71"/>
  <c r="D31" i="71"/>
  <c r="C32" i="71"/>
  <c r="Y32" i="71"/>
  <c r="Z32" i="71"/>
  <c r="Y31" i="71"/>
  <c r="Z31" i="71"/>
  <c r="C34" i="71"/>
  <c r="Y33" i="71"/>
  <c r="Z33" i="71"/>
  <c r="AB30" i="71"/>
  <c r="AB33" i="71"/>
  <c r="F34" i="71"/>
  <c r="F35" i="71"/>
  <c r="F36" i="71"/>
  <c r="V36" i="71"/>
  <c r="AB27" i="71"/>
  <c r="AA33" i="71"/>
  <c r="AA32" i="71"/>
  <c r="AA35" i="71"/>
  <c r="AA29" i="71"/>
  <c r="AA27" i="71"/>
  <c r="C43" i="71"/>
  <c r="D42" i="71"/>
  <c r="F66" i="71"/>
  <c r="Q67" i="71"/>
  <c r="U72" i="71"/>
  <c r="E71" i="71"/>
  <c r="E70" i="71"/>
  <c r="U80" i="71"/>
  <c r="E79" i="71"/>
  <c r="E78" i="71"/>
  <c r="D84" i="71"/>
  <c r="C83" i="71"/>
  <c r="D88" i="71"/>
  <c r="C87" i="71"/>
  <c r="AA22" i="71"/>
  <c r="AA21" i="71"/>
  <c r="Y18" i="71"/>
  <c r="Z18" i="71"/>
  <c r="AB18" i="71"/>
  <c r="AA17" i="71"/>
  <c r="AZ290" i="3"/>
  <c r="AZ301" i="3"/>
  <c r="AZ122" i="3"/>
  <c r="AZ125" i="3"/>
  <c r="AZ169" i="3"/>
  <c r="AZ201" i="3"/>
  <c r="AZ30" i="3"/>
  <c r="AZ40" i="3"/>
  <c r="AZ49" i="3"/>
  <c r="AZ54" i="3"/>
  <c r="AZ65" i="3"/>
  <c r="AZ70" i="3"/>
  <c r="AZ76" i="3"/>
  <c r="AZ90" i="3"/>
  <c r="AZ92" i="3"/>
  <c r="AZ96" i="3"/>
  <c r="B13" i="1"/>
  <c r="E13" i="1"/>
  <c r="K13" i="1"/>
  <c r="M13" i="1"/>
  <c r="O13" i="1"/>
  <c r="P13" i="1"/>
  <c r="AC18" i="35"/>
  <c r="B88" i="43"/>
  <c r="C25" i="40"/>
  <c r="AA21" i="34"/>
  <c r="S21" i="34"/>
  <c r="AA25" i="71"/>
  <c r="AB25" i="71"/>
  <c r="C64" i="71"/>
  <c r="D63" i="71"/>
  <c r="D55" i="71"/>
  <c r="C56" i="71"/>
  <c r="AA34" i="71"/>
  <c r="AZ103" i="3"/>
  <c r="AZ106" i="3"/>
  <c r="F40" i="68"/>
  <c r="C21" i="68"/>
  <c r="F40" i="69"/>
  <c r="C40" i="69"/>
  <c r="B100" i="43"/>
  <c r="B77" i="43"/>
  <c r="B68" i="43"/>
  <c r="C29" i="39"/>
  <c r="AA24" i="71"/>
  <c r="AA3" i="71"/>
  <c r="AA26" i="71"/>
  <c r="AA28" i="71"/>
  <c r="X21" i="71"/>
  <c r="X22" i="71"/>
  <c r="B28" i="71"/>
  <c r="X26" i="71"/>
  <c r="X28" i="71"/>
  <c r="X27" i="71"/>
  <c r="Y29" i="71"/>
  <c r="Z29" i="71"/>
  <c r="Y25" i="71"/>
  <c r="Z25" i="71"/>
  <c r="Y26" i="71"/>
  <c r="Z26" i="71"/>
  <c r="Y27" i="71"/>
  <c r="Z27" i="71"/>
  <c r="Y28" i="71"/>
  <c r="Z28" i="71"/>
  <c r="AB29" i="71"/>
  <c r="AB26" i="71"/>
  <c r="AB28" i="71"/>
  <c r="AA30" i="71"/>
  <c r="AA31" i="71"/>
  <c r="AB34" i="71"/>
  <c r="AB37" i="71"/>
  <c r="Y9" i="71"/>
  <c r="Z9" i="71"/>
  <c r="Y10" i="71"/>
  <c r="Z10" i="71"/>
  <c r="Y39" i="71"/>
  <c r="Z39" i="71"/>
  <c r="D50" i="71"/>
  <c r="C51" i="71"/>
  <c r="Y30" i="71"/>
  <c r="Z30" i="71"/>
  <c r="AB31" i="71"/>
  <c r="Y34" i="71"/>
  <c r="Z34" i="71"/>
  <c r="X33" i="71"/>
  <c r="X34" i="71"/>
  <c r="X35" i="71"/>
  <c r="AB35" i="71"/>
  <c r="Y38" i="71"/>
  <c r="Z38" i="71"/>
  <c r="AA9" i="71"/>
  <c r="AA10" i="71"/>
  <c r="AA39" i="71"/>
  <c r="AA37" i="71"/>
  <c r="C47" i="71"/>
  <c r="D47" i="71"/>
  <c r="D46" i="71"/>
  <c r="X9" i="71"/>
  <c r="X10" i="71"/>
  <c r="AB9" i="71"/>
  <c r="S68" i="71"/>
  <c r="B67" i="71"/>
  <c r="AB24" i="71"/>
  <c r="Y24" i="71"/>
  <c r="Z24" i="71"/>
  <c r="AB21" i="71"/>
  <c r="X18" i="71"/>
  <c r="Y14" i="71"/>
  <c r="Z14" i="71"/>
  <c r="Y17" i="71"/>
  <c r="Z17" i="71"/>
  <c r="AB17" i="71"/>
  <c r="Y23" i="71"/>
  <c r="Z23" i="71"/>
  <c r="Y22" i="71"/>
  <c r="Z22" i="71"/>
  <c r="AA23" i="71"/>
  <c r="AB23" i="71"/>
  <c r="Y21" i="71"/>
  <c r="Z21" i="71"/>
  <c r="AA18" i="71"/>
  <c r="X15" i="71"/>
  <c r="AA15" i="71"/>
  <c r="AB11" i="71"/>
  <c r="AB13" i="71"/>
  <c r="AB10" i="71"/>
  <c r="Y11" i="71"/>
  <c r="Z11" i="71"/>
  <c r="Y13" i="71"/>
  <c r="Z13" i="71"/>
  <c r="AA13" i="71"/>
  <c r="AA14" i="71"/>
  <c r="X12" i="71"/>
  <c r="X13" i="71"/>
  <c r="AB15" i="71"/>
  <c r="AB12" i="71"/>
  <c r="AB14" i="71"/>
  <c r="Y12" i="71"/>
  <c r="Z12" i="71"/>
  <c r="AA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c r="I4" i="6"/>
  <c r="G3" i="43"/>
  <c r="H26" i="43"/>
  <c r="E29" i="6"/>
  <c r="K15" i="1"/>
  <c r="F30" i="6"/>
  <c r="G30" i="6"/>
  <c r="G31" i="6"/>
  <c r="E28" i="6"/>
  <c r="L19" i="6"/>
  <c r="L27" i="6"/>
  <c r="M6" i="1"/>
  <c r="O6" i="1"/>
  <c r="T13" i="1"/>
  <c r="C58" i="2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E59" i="40"/>
  <c r="K14" i="1"/>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C36" i="68"/>
  <c r="C36" i="69"/>
  <c r="C16" i="15"/>
  <c r="D5" i="73"/>
  <c r="D6" i="73"/>
  <c r="D7" i="73"/>
  <c r="D4" i="73"/>
  <c r="D3" i="73"/>
  <c r="C16" i="67"/>
  <c r="F52" i="9"/>
  <c r="F32" i="15"/>
  <c r="F60" i="15"/>
  <c r="C30" i="68"/>
  <c r="F28" i="67"/>
  <c r="C28" i="67"/>
  <c r="F32" i="67"/>
  <c r="F60" i="67"/>
  <c r="F28" i="15"/>
  <c r="C28" i="15"/>
  <c r="F48" i="9"/>
  <c r="O52" i="9"/>
  <c r="F31" i="12"/>
  <c r="C31" i="12"/>
  <c r="F30" i="69"/>
  <c r="F30" i="11"/>
  <c r="M18" i="67"/>
  <c r="M18" i="15"/>
  <c r="F54" i="9"/>
  <c r="N94" i="46"/>
  <c r="E26" i="43"/>
  <c r="J26" i="43"/>
  <c r="H16" i="1"/>
  <c r="P6" i="1"/>
  <c r="C13" i="12"/>
  <c r="Q16" i="1"/>
  <c r="F27" i="69"/>
  <c r="C47" i="69"/>
  <c r="D45" i="69"/>
  <c r="D19" i="12"/>
  <c r="C19" i="12"/>
  <c r="D9" i="69"/>
  <c r="C9" i="69"/>
  <c r="D9" i="68"/>
  <c r="C9" i="68"/>
  <c r="D9" i="11"/>
  <c r="C9" i="11"/>
  <c r="K16" i="1"/>
  <c r="K1" i="73"/>
  <c r="E510" i="3"/>
  <c r="E329" i="3"/>
  <c r="E205" i="3"/>
  <c r="E16" i="3"/>
  <c r="E296" i="3"/>
  <c r="E188" i="3"/>
  <c r="E140" i="3"/>
  <c r="E223" i="3"/>
  <c r="E116" i="3"/>
  <c r="E173" i="3"/>
  <c r="E105" i="3"/>
  <c r="E369"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398" i="3"/>
  <c r="E430" i="3"/>
  <c r="E416" i="3"/>
  <c r="E449"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I3" i="6"/>
  <c r="AP6" i="3"/>
  <c r="E554" i="3"/>
  <c r="E491" i="3"/>
  <c r="E479" i="3"/>
  <c r="E37" i="3"/>
  <c r="E152" i="3"/>
  <c r="E132" i="3"/>
  <c r="E258" i="3"/>
  <c r="E292" i="3"/>
  <c r="E349" i="3"/>
  <c r="E544" i="3"/>
  <c r="E59" i="3"/>
  <c r="E425" i="3"/>
  <c r="E64" i="3"/>
  <c r="E46" i="3"/>
  <c r="E160" i="3"/>
  <c r="E200" i="3"/>
  <c r="E300" i="3"/>
  <c r="E371" i="3"/>
  <c r="E492" i="3"/>
  <c r="E84" i="3"/>
  <c r="E144" i="3"/>
  <c r="E184" i="3"/>
  <c r="E381" i="3"/>
  <c r="E68" i="3"/>
  <c r="E81" i="3"/>
  <c r="E264" i="3"/>
  <c r="E513" i="3"/>
  <c r="E255" i="3"/>
  <c r="E517" i="3"/>
  <c r="E435" i="3"/>
  <c r="E417" i="3"/>
  <c r="E56" i="3"/>
  <c r="E95" i="3"/>
  <c r="E192" i="3"/>
  <c r="E241" i="3"/>
  <c r="E363" i="3"/>
  <c r="E389" i="3"/>
  <c r="E76" i="3"/>
  <c r="E409" i="3"/>
  <c r="E484" i="3"/>
  <c r="E467" i="3"/>
  <c r="E103" i="3"/>
  <c r="E142" i="3"/>
  <c r="E267" i="3"/>
  <c r="E249" i="3"/>
  <c r="E310" i="3"/>
  <c r="E23" i="3"/>
  <c r="E67" i="3"/>
  <c r="E33" i="3"/>
  <c r="E233" i="3"/>
  <c r="E355" i="3"/>
  <c r="E63" i="3"/>
  <c r="E118" i="3"/>
  <c r="E283" i="3"/>
  <c r="E309" i="3"/>
  <c r="E21" i="3"/>
  <c r="E308" i="3"/>
  <c r="E356" i="3"/>
  <c r="E541" i="3"/>
  <c r="E534" i="3"/>
  <c r="E498" i="3"/>
  <c r="E493" i="3"/>
  <c r="E360" i="3"/>
  <c r="E197" i="3"/>
  <c r="E524" i="3"/>
  <c r="E342" i="3"/>
  <c r="E365"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3"/>
  <c r="E540" i="3"/>
  <c r="E525" i="3"/>
  <c r="E522" i="3"/>
  <c r="E512" i="3"/>
  <c r="E497" i="3"/>
  <c r="E383" i="3"/>
  <c r="E494" i="3"/>
  <c r="E137" i="3"/>
  <c r="E393" i="3"/>
  <c r="E340" i="3"/>
  <c r="E507" i="3"/>
  <c r="E56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c r="B13" i="71"/>
  <c r="B12" i="71"/>
  <c r="S16" i="71"/>
  <c r="F7" i="36"/>
  <c r="J7" i="37"/>
  <c r="H7" i="36"/>
  <c r="AZ5" i="3"/>
  <c r="D51" i="71"/>
  <c r="C52" i="71"/>
  <c r="B27" i="71"/>
  <c r="B26" i="71"/>
  <c r="S28" i="71"/>
  <c r="T56" i="71"/>
  <c r="D56" i="71"/>
  <c r="D87" i="71"/>
  <c r="C86" i="71"/>
  <c r="D86" i="71"/>
  <c r="D83" i="71"/>
  <c r="C82" i="71"/>
  <c r="D82" i="71"/>
  <c r="C35" i="71"/>
  <c r="D34" i="71"/>
  <c r="U23" i="36"/>
  <c r="AB23" i="36"/>
  <c r="AC36" i="35"/>
  <c r="W36" i="35"/>
  <c r="W12" i="35"/>
  <c r="AC12" i="35"/>
  <c r="AC45" i="39"/>
  <c r="W45" i="39"/>
  <c r="S27" i="34"/>
  <c r="AA27" i="34"/>
  <c r="S14" i="21"/>
  <c r="AA14" i="21"/>
  <c r="AA28" i="21"/>
  <c r="S28" i="21"/>
  <c r="S30" i="21"/>
  <c r="AA30" i="21"/>
  <c r="W31" i="21"/>
  <c r="AC31" i="21"/>
  <c r="S45" i="21"/>
  <c r="AA45" i="21"/>
  <c r="AB29" i="33"/>
  <c r="U29" i="33"/>
  <c r="U31" i="33"/>
  <c r="AB31" i="33"/>
  <c r="AA45" i="33"/>
  <c r="S45" i="33"/>
  <c r="AB14" i="34"/>
  <c r="U14" i="34"/>
  <c r="AC32" i="34"/>
  <c r="W32" i="34"/>
  <c r="W40" i="37"/>
  <c r="AC40" i="37"/>
  <c r="AA25" i="36"/>
  <c r="S25" i="36"/>
  <c r="AA43" i="39"/>
  <c r="S43" i="39"/>
  <c r="W27" i="37"/>
  <c r="AC27" i="37"/>
  <c r="S27" i="40"/>
  <c r="AA27" i="40"/>
  <c r="D121" i="9"/>
  <c r="D7" i="52"/>
  <c r="D6" i="52"/>
  <c r="BL5" i="3"/>
  <c r="U34" i="35"/>
  <c r="AB34" i="35"/>
  <c r="B66" i="71"/>
  <c r="N67" i="71"/>
  <c r="T64" i="71"/>
  <c r="D64" i="71"/>
  <c r="Q66" i="71"/>
  <c r="Q65" i="71"/>
  <c r="D43" i="71"/>
  <c r="C44" i="71"/>
  <c r="T32" i="71"/>
  <c r="D32" i="71"/>
  <c r="AA23" i="36"/>
  <c r="S23" i="36"/>
  <c r="AC23" i="36"/>
  <c r="W23" i="36"/>
  <c r="U36" i="35"/>
  <c r="AB36" i="35"/>
  <c r="AA45" i="39"/>
  <c r="S45" i="39"/>
  <c r="AB14" i="21"/>
  <c r="U14" i="21"/>
  <c r="AC28" i="21"/>
  <c r="W28" i="21"/>
  <c r="AC30" i="21"/>
  <c r="W30" i="21"/>
  <c r="S31" i="21"/>
  <c r="AA31" i="21"/>
  <c r="AA13" i="33"/>
  <c r="S13" i="33"/>
  <c r="S29" i="33"/>
  <c r="AA29" i="33"/>
  <c r="AC45" i="33"/>
  <c r="W45" i="33"/>
  <c r="AA14" i="34"/>
  <c r="S14" i="34"/>
  <c r="W30" i="34"/>
  <c r="AC30" i="34"/>
  <c r="AA46" i="34"/>
  <c r="S46" i="34"/>
  <c r="AA40" i="37"/>
  <c r="S40" i="37"/>
  <c r="U25" i="36"/>
  <c r="AB25" i="36"/>
  <c r="AB43" i="39"/>
  <c r="U43" i="39"/>
  <c r="U27" i="34"/>
  <c r="AB27" i="34"/>
  <c r="AC27" i="40"/>
  <c r="W27" i="40"/>
  <c r="AA34" i="35"/>
  <c r="S34" i="35"/>
  <c r="AC34" i="35"/>
  <c r="W34" i="35"/>
  <c r="D21" i="71"/>
  <c r="C20" i="71"/>
  <c r="E15" i="71"/>
  <c r="E14" i="71"/>
  <c r="E13" i="71"/>
  <c r="E12" i="71"/>
  <c r="V16"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E72" i="43"/>
  <c r="B70" i="43"/>
  <c r="F27" i="11"/>
  <c r="C29" i="11"/>
  <c r="D27" i="11"/>
  <c r="F28" i="12"/>
  <c r="C29" i="12"/>
  <c r="D28" i="12"/>
  <c r="E60" i="40"/>
  <c r="E27" i="6"/>
  <c r="K26" i="6"/>
  <c r="M26" i="6"/>
  <c r="I26" i="6"/>
  <c r="S26" i="6"/>
  <c r="F31" i="6"/>
  <c r="E51" i="40"/>
  <c r="E16" i="6"/>
  <c r="AC6" i="3"/>
  <c r="H6" i="3"/>
  <c r="E58" i="40"/>
  <c r="E62" i="39"/>
  <c r="AY6" i="3"/>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AA7" i="36"/>
  <c r="R36" i="36"/>
  <c r="AC7" i="37"/>
  <c r="V42" i="37"/>
  <c r="I42" i="37"/>
  <c r="W7" i="37"/>
  <c r="AB7" i="36"/>
  <c r="T36" i="36"/>
  <c r="G36" i="36"/>
  <c r="U7" i="36"/>
  <c r="F7" i="33"/>
  <c r="E58" i="21"/>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F27" i="68"/>
  <c r="AE7" i="1"/>
  <c r="AE8" i="1"/>
  <c r="AE12" i="1"/>
  <c r="AE10" i="1"/>
  <c r="AE6" i="1"/>
  <c r="G1" i="73"/>
  <c r="C48" i="11"/>
  <c r="C30" i="11"/>
  <c r="F48" i="69"/>
  <c r="C48" i="69"/>
  <c r="C30" i="69"/>
  <c r="F45" i="69"/>
  <c r="C29" i="69"/>
  <c r="D27" i="69"/>
  <c r="B40" i="1"/>
  <c r="L36" i="43"/>
  <c r="L37" i="43"/>
  <c r="E65" i="39"/>
  <c r="C19" i="71"/>
  <c r="T20" i="71"/>
  <c r="D20" i="71"/>
  <c r="U20" i="71"/>
  <c r="T44" i="71"/>
  <c r="D44" i="71"/>
  <c r="D35" i="71"/>
  <c r="C36" i="71"/>
  <c r="B11" i="71"/>
  <c r="B10" i="71"/>
  <c r="B9" i="71"/>
  <c r="B8" i="71"/>
  <c r="B7" i="71"/>
  <c r="B6" i="71"/>
  <c r="B5" i="71"/>
  <c r="S12" i="71"/>
  <c r="E11" i="71"/>
  <c r="E10" i="71"/>
  <c r="E9" i="71"/>
  <c r="E8" i="71"/>
  <c r="E7" i="71"/>
  <c r="E6" i="71"/>
  <c r="E5" i="71"/>
  <c r="V12" i="71"/>
  <c r="N65" i="71"/>
  <c r="N66" i="71"/>
  <c r="T52" i="71"/>
  <c r="D52" i="7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M19" i="6"/>
  <c r="I19" i="6"/>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F41" i="15"/>
  <c r="M27" i="67"/>
  <c r="M27" i="15"/>
  <c r="F22" i="68"/>
  <c r="F41" i="68"/>
  <c r="F24" i="67"/>
  <c r="C24" i="67"/>
  <c r="M36" i="43"/>
  <c r="Q36" i="43"/>
  <c r="P36" i="43"/>
  <c r="F24" i="15"/>
  <c r="C24" i="15"/>
  <c r="F22" i="11"/>
  <c r="C23" i="11"/>
  <c r="F22" i="69"/>
  <c r="F41" i="69"/>
  <c r="O36" i="43"/>
  <c r="N36" i="43"/>
  <c r="D116" i="43"/>
  <c r="T36" i="71"/>
  <c r="D36" i="71"/>
  <c r="C18" i="71"/>
  <c r="D19"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C28" i="11"/>
  <c r="C27" i="11"/>
  <c r="D17" i="12"/>
  <c r="C17" i="12"/>
  <c r="D10" i="11"/>
  <c r="C10" i="11"/>
  <c r="D20" i="12"/>
  <c r="C20" i="12"/>
  <c r="C18" i="12"/>
  <c r="D25" i="6"/>
  <c r="D15" i="6"/>
  <c r="D22" i="6"/>
  <c r="D21" i="6"/>
  <c r="D24" i="6"/>
  <c r="D20" i="6"/>
  <c r="D19" i="6"/>
  <c r="M19" i="9"/>
  <c r="C118" i="9"/>
  <c r="B2" i="74"/>
  <c r="D26" i="6"/>
  <c r="D8" i="6"/>
  <c r="D14" i="6"/>
  <c r="D6" i="6"/>
  <c r="D9" i="6"/>
  <c r="D10" i="6"/>
  <c r="H19" i="6"/>
  <c r="L19" i="9"/>
  <c r="D29" i="6"/>
  <c r="H25" i="6"/>
  <c r="H22" i="6"/>
  <c r="H21" i="6"/>
  <c r="H24"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44" i="68"/>
  <c r="D41" i="68"/>
  <c r="C26" i="12"/>
  <c r="D25" i="12"/>
  <c r="C24" i="11"/>
  <c r="C66" i="67"/>
  <c r="C60" i="67"/>
  <c r="D10" i="69"/>
  <c r="C34" i="69"/>
  <c r="D10" i="68"/>
  <c r="C17" i="67"/>
  <c r="C14" i="67"/>
  <c r="C17" i="15"/>
  <c r="C26" i="11"/>
  <c r="D22" i="11"/>
  <c r="C44" i="11"/>
  <c r="D41" i="11"/>
  <c r="C26" i="68"/>
  <c r="D22" i="68"/>
  <c r="C26" i="69"/>
  <c r="D22" i="69"/>
  <c r="C25" i="11"/>
  <c r="C22" i="11"/>
  <c r="C23" i="68"/>
  <c r="C44" i="69"/>
  <c r="D41" i="69"/>
  <c r="C17" i="71"/>
  <c r="D18"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31" i="11"/>
  <c r="C16" i="71"/>
  <c r="D17" i="71"/>
  <c r="C19" i="67"/>
  <c r="C20" i="67"/>
  <c r="C26" i="67"/>
  <c r="T16" i="1"/>
  <c r="C18" i="15"/>
  <c r="C15" i="15"/>
  <c r="C38" i="68"/>
  <c r="C35" i="68"/>
  <c r="C36" i="11"/>
  <c r="C37" i="11"/>
  <c r="C34" i="11"/>
  <c r="C23" i="12"/>
  <c r="C14" i="12"/>
  <c r="C16" i="12"/>
  <c r="C21" i="12"/>
  <c r="C22" i="12"/>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F7" i="21"/>
  <c r="J48" i="35"/>
  <c r="J7" i="21"/>
  <c r="AC7" i="21"/>
  <c r="V48" i="21"/>
  <c r="I48" i="21"/>
  <c r="C15" i="71"/>
  <c r="T16" i="71"/>
  <c r="D16" i="71"/>
  <c r="U16"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S7" i="21"/>
  <c r="AA7" i="21"/>
  <c r="R48" i="21"/>
  <c r="J63" i="40"/>
  <c r="I65" i="40"/>
  <c r="K48" i="35"/>
  <c r="L48" i="35"/>
  <c r="M48" i="35"/>
  <c r="N48" i="35"/>
  <c r="O48" i="35"/>
  <c r="H7" i="35"/>
  <c r="J7" i="35"/>
  <c r="W7" i="21"/>
  <c r="C14" i="71"/>
  <c r="D15"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W7" i="35"/>
  <c r="AC7" i="35"/>
  <c r="V38" i="35"/>
  <c r="I38" i="35"/>
  <c r="J65" i="40"/>
  <c r="K63" i="40"/>
  <c r="I52" i="21"/>
  <c r="J52" i="21"/>
  <c r="U7" i="35"/>
  <c r="AB7" i="35"/>
  <c r="T38" i="35"/>
  <c r="G38" i="35"/>
  <c r="R49" i="21"/>
  <c r="E48" i="21"/>
  <c r="G52" i="21"/>
  <c r="H52" i="21"/>
  <c r="G53" i="21"/>
  <c r="H53" i="21"/>
  <c r="F7" i="35"/>
  <c r="F35" i="67"/>
  <c r="M21" i="67"/>
  <c r="M21" i="15"/>
  <c r="F35" i="15"/>
  <c r="D14" i="71"/>
  <c r="C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2" i="71"/>
  <c r="D13"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1" i="71"/>
  <c r="T12" i="71"/>
  <c r="D12" i="71"/>
  <c r="U12" i="71"/>
  <c r="L57" i="67"/>
  <c r="L60" i="67"/>
  <c r="L46" i="67"/>
  <c r="C80" i="67"/>
  <c r="C79" i="67"/>
  <c r="C40" i="67"/>
  <c r="C45" i="67"/>
  <c r="C56" i="11"/>
  <c r="C57" i="11"/>
  <c r="B2"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C19" i="9"/>
  <c r="D2" i="33"/>
  <c r="L51" i="67"/>
  <c r="Q67" i="67"/>
  <c r="C102" i="9"/>
  <c r="C21" i="9"/>
  <c r="B3" i="21"/>
  <c r="C10" i="71"/>
  <c r="D11" i="71"/>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L51" i="15"/>
  <c r="C20" i="9"/>
  <c r="D2" i="35"/>
  <c r="D19" i="9"/>
  <c r="D2" i="34"/>
  <c r="D2" i="37"/>
  <c r="D2" i="36"/>
  <c r="C103" i="9"/>
  <c r="G19" i="9"/>
  <c r="G21" i="9"/>
  <c r="D102" i="9"/>
  <c r="D22" i="9"/>
  <c r="D21" i="9"/>
  <c r="C9" i="71"/>
  <c r="D10" i="71"/>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9" i="1"/>
  <c r="AO7" i="1"/>
  <c r="AO10" i="1"/>
  <c r="AO12" i="1"/>
  <c r="D20" i="9"/>
  <c r="AO6" i="1"/>
  <c r="AO11" i="1"/>
  <c r="AO8" i="1"/>
  <c r="D103" i="9"/>
  <c r="G20" i="9"/>
  <c r="C8" i="71"/>
  <c r="D9" i="71"/>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2" i="9"/>
  <c r="C35" i="9"/>
  <c r="C34" i="9"/>
  <c r="D14" i="74"/>
  <c r="D8" i="71"/>
  <c r="C7"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7" i="71"/>
  <c r="C6" i="71"/>
  <c r="C42" i="40"/>
  <c r="C43" i="40"/>
  <c r="E47" i="40"/>
  <c r="F47" i="40"/>
  <c r="E46" i="40"/>
  <c r="F46" i="40"/>
  <c r="I47" i="40"/>
  <c r="J47" i="40"/>
  <c r="D6" i="71"/>
  <c r="C5" i="71"/>
  <c r="D5" i="71"/>
  <c r="M24" i="43"/>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E81" i="9"/>
  <c r="E80" i="9"/>
  <c r="C80" i="9"/>
  <c r="B21" i="72"/>
  <c r="D7" i="53"/>
  <c r="E4" i="52"/>
  <c r="B48" i="72"/>
  <c r="G4" i="52"/>
  <c r="B52" i="72"/>
  <c r="D54" i="9"/>
  <c r="C68" i="9"/>
  <c r="C6" i="74"/>
  <c r="H5" i="52"/>
  <c r="H119" i="9"/>
  <c r="B30" i="72"/>
  <c r="H108" i="9"/>
  <c r="D15" i="53"/>
  <c r="B31" i="72"/>
  <c r="D119" i="9"/>
  <c r="D5" i="52"/>
  <c r="B49" i="72"/>
  <c r="D13" i="53"/>
  <c r="D14" i="53"/>
  <c r="B32" i="72"/>
  <c r="M55" i="9"/>
  <c r="C64" i="9"/>
  <c r="C63" i="9"/>
  <c r="C67" i="9"/>
  <c r="D59" i="9"/>
  <c r="B22" i="72"/>
  <c r="D6" i="53"/>
  <c r="B51" i="72"/>
  <c r="F4" i="52"/>
  <c r="D9" i="52"/>
  <c r="D123" i="9"/>
  <c r="H102" i="9"/>
  <c r="C5" i="74"/>
  <c r="C96" i="9"/>
  <c r="E96" i="9"/>
  <c r="E97" i="9"/>
  <c r="C73" i="9"/>
  <c r="C78" i="9"/>
  <c r="E118" i="9"/>
  <c r="D118" i="9"/>
  <c r="D4" i="52"/>
  <c r="B47" i="72"/>
  <c r="C86" i="9"/>
  <c r="C93" i="9"/>
  <c r="G118" i="9"/>
  <c r="F118" i="9"/>
  <c r="F119" i="9"/>
  <c r="F5" i="52"/>
  <c r="B53" i="72"/>
  <c r="C72" i="9"/>
  <c r="C79" i="9"/>
  <c r="C81" i="9"/>
  <c r="H107" i="9"/>
  <c r="D122" i="9"/>
  <c r="D8" i="52"/>
  <c r="C85" i="9"/>
  <c r="C95" i="9"/>
  <c r="C97" i="9"/>
  <c r="D58" i="9"/>
  <c r="D56" i="9"/>
  <c r="M54" i="9"/>
  <c r="D5" i="53"/>
  <c r="B20" i="72"/>
  <c r="P57" i="9"/>
  <c r="N58" i="9"/>
  <c r="H4" i="52"/>
  <c r="C104" i="9"/>
  <c r="N61" i="9"/>
  <c r="D55" i="9"/>
  <c r="M53" i="9"/>
  <c r="N57" i="9"/>
  <c r="N59" i="9"/>
  <c r="N60" i="9"/>
  <c r="C105" i="9"/>
  <c r="I4" i="52"/>
  <c r="D53" i="9"/>
  <c r="D45" i="9"/>
  <c r="D52" i="9"/>
  <c r="I118" i="9"/>
  <c r="H118" i="9"/>
  <c r="H101" i="9"/>
  <c r="M4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<sst xmlns="http://schemas.openxmlformats.org/spreadsheetml/2006/main" count="7836" uniqueCount="3432">
  <si>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</si>
  <si>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</si>
  <si>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</si>
  <si>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</si>
  <si>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</si>
  <si>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</si>
  <si>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</si>
  <si>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</si>
  <si>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</si>
  <si>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</si>
  <si>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</si>
  <si>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</si>
  <si>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</si>
  <si>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</si>
  <si>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</si>
  <si>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</si>
  <si>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</si>
  <si>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</si>
  <si>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</si>
  <si>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</si>
  <si>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</si>
  <si>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</si>
  <si>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</si>
  <si>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</si>
  <si>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</si>
  <si>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</si>
  <si>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</si>
  <si>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</si>
  <si>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</si>
  <si>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</si>
  <si>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</si>
  <si>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</si>
  <si>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</si>
  <si>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</si>
  <si>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</si>
  <si>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</si>
  <si>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</si>
  <si>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</si>
  <si>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</si>
  <si>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</si>
  <si>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</si>
  <si>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</si>
  <si>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</si>
  <si>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</si>
  <si>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</si>
  <si>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</si>
  <si>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</si>
  <si>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</si>
  <si>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</si>
  <si>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</si>
  <si>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</si>
  <si>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</si>
  <si>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</si>
  <si>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</si>
  <si>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</si>
  <si>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</si>
  <si>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</si>
  <si>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</si>
  <si>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</si>
  <si>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</si>
  <si>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</si>
  <si>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</si>
  <si>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</si>
  <si>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</si>
  <si>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</si>
  <si>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</si>
  <si>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</si>
  <si>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</si>
  <si>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</si>
  <si>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</si>
  <si>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</si>
  <si>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</si>
  <si>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</si>
  <si>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</si>
  <si>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</si>
  <si>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</si>
  <si>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</si>
  <si>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</si>
  <si>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</si>
  <si>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</si>
  <si>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</si>
  <si>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</si>
  <si>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</si>
  <si>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</si>
  <si>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</si>
  <si>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</si>
  <si>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</si>
  <si>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</si>
  <si>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</si>
  <si>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</si>
  <si>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</si>
  <si>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</si>
  <si>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</si>
  <si>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</si>
  <si>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</si>
  <si>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</si>
  <si>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</si>
  <si>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</si>
  <si>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</si>
  <si>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</si>
  <si>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</si>
  <si>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</si>
  <si>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</si>
  <si>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</si>
  <si>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</si>
  <si>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</si>
  <si>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</si>
  <si>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</si>
  <si>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</si>
  <si>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</si>
  <si>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</si>
  <si>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</si>
  <si>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</si>
  <si>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</si>
  <si>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</si>
  <si>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</si>
  <si>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</si>
  <si>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</si>
  <si>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</si>
  <si>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</si>
  <si>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</si>
  <si>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</si>
  <si>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</si>
  <si>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</si>
  <si>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</si>
  <si>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</si>
  <si>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</si>
  <si>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</si>
  <si>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</si>
  <si>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</si>
  <si>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</si>
  <si>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</si>
  <si>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</si>
  <si>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</si>
  <si>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</si>
  <si>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</si>
  <si>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</si>
  <si>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</si>
  <si>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</si>
  <si>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</si>
  <si>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</si>
  <si>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</si>
  <si>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</si>
  <si>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</si>
  <si>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</si>
  <si>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</si>
  <si>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</si>
  <si>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</si>
  <si>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</si>
  <si>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</si>
  <si>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</si>
  <si>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</si>
  <si>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</si>
  <si>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</si>
  <si>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</si>
  <si>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</si>
  <si>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</si>
  <si>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</si>
  <si>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</si>
  <si>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</si>
  <si>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</si>
  <si>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</si>
  <si>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</si>
  <si>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</si>
  <si>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</si>
  <si>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</si>
  <si>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</si>
  <si>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</si>
  <si>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</si>
  <si>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</si>
  <si>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</si>
  <si>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</si>
  <si>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</si>
  <si>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</si>
  <si>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</si>
  <si>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</si>
  <si>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</si>
  <si>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</si>
  <si>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</si>
  <si>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</si>
  <si>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</si>
  <si>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</si>
  <si>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</si>
  <si>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</si>
  <si>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</si>
  <si>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</si>
  <si>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</si>
  <si>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</si>
  <si>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</si>
  <si>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</si>
  <si>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</si>
  <si>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</si>
  <si>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</si>
  <si>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</si>
  <si>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</si>
  <si>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</si>
  <si>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</si>
  <si>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</si>
  <si>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</si>
  <si>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</si>
  <si>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</si>
  <si>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</si>
  <si>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</si>
  <si>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</si>
  <si>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</si>
  <si>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</si>
  <si>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</si>
  <si>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</si>
  <si>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</si>
  <si>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</si>
  <si>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</si>
  <si>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</si>
  <si>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</si>
  <si>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</si>
  <si>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</si>
  <si>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</si>
  <si>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</si>
  <si>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</si>
  <si>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</si>
  <si>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</si>
  <si>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</si>
  <si>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</si>
  <si>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</si>
  <si>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</si>
  <si>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</si>
  <si>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</si>
  <si>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</si>
  <si>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</si>
  <si>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</si>
  <si>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</si>
  <si>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</si>
  <si>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</si>
  <si>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</si>
  <si>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</si>
  <si>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</si>
  <si>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</si>
  <si>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</si>
  <si>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</si>
  <si>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</si>
  <si>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</si>
  <si>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</si>
  <si>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</si>
  <si>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</si>
  <si>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</si>
  <si>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</si>
  <si>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</si>
  <si>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</si>
  <si>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</si>
  <si>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</si>
  <si>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</si>
  <si>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</si>
  <si>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</si>
  <si>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</si>
  <si>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</si>
  <si>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</si>
  <si>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</si>
  <si>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</si>
  <si>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</si>
  <si>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</si>
  <si>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</si>
  <si>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</si>
  <si>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</si>
  <si>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</si>
  <si>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</si>
  <si>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</si>
  <si>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</si>
  <si>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</si>
  <si>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</si>
  <si>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</si>
  <si>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</si>
  <si>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</si>
  <si>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</si>
  <si>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</si>
  <si>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</si>
  <si>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</si>
  <si>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</si>
  <si>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</si>
  <si>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</si>
  <si>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</si>
  <si>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</si>
  <si>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</si>
  <si>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</si>
  <si>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</si>
  <si>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</si>
  <si>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</si>
  <si>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</si>
  <si>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</si>
  <si>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</si>
  <si>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</si>
  <si>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</si>
  <si>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</si>
  <si>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</si>
  <si>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</si>
  <si>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</si>
  <si>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</si>
  <si>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</si>
  <si>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</si>
  <si>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</si>
  <si>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</si>
  <si>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</si>
  <si>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</si>
  <si>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</si>
  <si>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</si>
  <si>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</si>
  <si>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</si>
  <si>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</si>
  <si>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</si>
  <si>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</si>
  <si>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</si>
  <si>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</si>
  <si>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</si>
  <si>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</si>
  <si>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</si>
  <si>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</si>
  <si>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</si>
  <si>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</si>
  <si>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</si>
  <si>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</si>
  <si>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</si>
  <si>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</si>
  <si>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</si>
  <si>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</si>
  <si>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</si>
  <si>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</si>
  <si>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</si>
  <si>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</si>
  <si>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</si>
  <si>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</si>
  <si>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</si>
  <si>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</si>
  <si>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</si>
  <si>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</si>
  <si>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</si>
  <si>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</si>
  <si>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</si>
  <si>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</si>
  <si>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</si>
  <si>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</si>
  <si>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</si>
  <si>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</si>
  <si>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</si>
  <si>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</si>
  <si>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</si>
  <si>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</si>
  <si>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</si>
  <si>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</si>
  <si>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</si>
  <si>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</si>
  <si>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</si>
  <si>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</si>
  <si>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</si>
  <si>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</si>
  <si>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</si>
  <si>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</si>
  <si>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</si>
  <si>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</si>
  <si>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</si>
  <si>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</si>
  <si>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</si>
  <si>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</si>
  <si>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</si>
  <si>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</si>
  <si>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</si>
  <si>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</si>
  <si>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</si>
  <si>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</si>
  <si>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</si>
  <si>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</si>
  <si>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</si>
  <si>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</si>
  <si>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</si>
  <si>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</si>
  <si>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</si>
  <si>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</si>
  <si>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</si>
  <si>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</si>
  <si>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</si>
  <si>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</si>
  <si>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</si>
  <si>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</si>
  <si>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</si>
  <si>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</si>
  <si>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</si>
  <si>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</si>
  <si>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</si>
  <si>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</si>
  <si>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</si>
  <si>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</si>
  <si>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</si>
  <si>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</si>
  <si>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</si>
  <si>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</si>
  <si>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</si>
  <si>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</si>
  <si>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</si>
  <si>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</si>
  <si>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</si>
  <si>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</si>
  <si>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</si>
  <si>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</si>
  <si>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</si>
  <si>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</si>
  <si>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</si>
  <si>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</si>
  <si>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</si>
  <si>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</si>
  <si>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</si>
  <si>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</si>
  <si>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</si>
  <si>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</si>
  <si>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</si>
  <si>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</si>
  <si>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</si>
  <si>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</si>
  <si>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</si>
  <si>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</si>
  <si>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</si>
  <si>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</si>
  <si>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</si>
  <si>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</si>
  <si>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</si>
  <si>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</si>
  <si>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</si>
  <si>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</si>
  <si>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</si>
  <si>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</si>
  <si>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</si>
  <si>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</si>
  <si>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</si>
  <si>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</si>
  <si>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</si>
  <si>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</si>
  <si>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</si>
  <si>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</si>
  <si>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</si>
  <si>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</si>
  <si>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</si>
  <si>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</si>
  <si>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</si>
  <si>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</si>
  <si>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</si>
  <si>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</si>
  <si>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</si>
  <si>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</si>
  <si>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</si>
  <si>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</si>
  <si>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</si>
  <si>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</si>
  <si>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</si>
  <si>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</si>
  <si>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</si>
  <si>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</si>
  <si>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</si>
  <si>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</si>
  <si>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</si>
  <si>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</si>
  <si>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</si>
  <si>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</si>
  <si>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</si>
  <si>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</si>
  <si>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</si>
  <si>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</si>
  <si>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</si>
  <si>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</si>
  <si>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</si>
  <si>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</si>
  <si>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</si>
  <si>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</si>
  <si>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</si>
  <si>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</si>
  <si>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</si>
  <si>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</si>
  <si>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</si>
  <si>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</si>
  <si>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</si>
  <si>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</si>
  <si>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</si>
  <si>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</si>
  <si>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</si>
  <si>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</si>
  <si>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</si>
  <si>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</si>
  <si>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</si>
  <si>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</si>
  <si>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</si>
  <si>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</si>
  <si>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</si>
  <si>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</si>
  <si>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</si>
  <si>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</si>
  <si>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</si>
  <si>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</si>
  <si>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</si>
  <si>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</si>
  <si>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</si>
  <si>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</si>
  <si>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</si>
  <si>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</si>
  <si>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</si>
  <si>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</si>
  <si>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</si>
  <si>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</si>
  <si>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</si>
  <si>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</si>
  <si>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</si>
  <si>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</si>
  <si>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</si>
  <si>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</si>
  <si>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</si>
  <si>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</si>
  <si>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</si>
  <si>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</si>
  <si>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</si>
  <si>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</si>
  <si>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</si>
  <si>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</si>
  <si>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</si>
  <si>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</si>
  <si>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</si>
  <si>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</si>
  <si>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</si>
  <si>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</si>
  <si>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</si>
  <si>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</si>
  <si>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</si>
  <si>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</si>
  <si>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</si>
  <si>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</si>
  <si>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</si>
  <si>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</si>
  <si>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</si>
  <si>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</si>
  <si>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</si>
  <si>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</si>
  <si>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</si>
  <si>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</si>
  <si>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</si>
  <si>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</si>
  <si>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</si>
  <si>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</si>
  <si>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</si>
  <si>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</si>
  <si>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</si>
  <si>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</si>
  <si>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</si>
  <si>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</si>
  <si>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</si>
  <si>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</si>
  <si>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</si>
  <si>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</si>
  <si>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</si>
  <si>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</si>
  <si>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</si>
  <si>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</si>
  <si>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</si>
  <si>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</si>
  <si>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</si>
  <si>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</si>
  <si>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</si>
  <si>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</si>
  <si>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</si>
  <si>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</si>
  <si>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</si>
  <si>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</si>
  <si>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</si>
  <si>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</si>
  <si>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</si>
  <si>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</si>
  <si>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</si>
  <si>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</si>
  <si>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</si>
  <si>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</si>
  <si>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</si>
  <si>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</si>
  <si>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</si>
  <si>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</si>
  <si>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</si>
  <si>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</si>
  <si>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</si>
  <si>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</si>
  <si>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</si>
  <si>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</si>
  <si>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</si>
  <si>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</si>
  <si>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</si>
  <si>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</si>
  <si>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</si>
  <si>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</si>
  <si>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</si>
  <si>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</si>
  <si>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</si>
  <si>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</si>
  <si>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</si>
  <si>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</si>
  <si>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</si>
  <si>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</si>
  <si>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</si>
  <si>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</si>
  <si>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</si>
  <si>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</si>
  <si>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</si>
  <si>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</si>
  <si>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</si>
  <si>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</si>
  <si>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</si>
  <si>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</si>
  <si>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</si>
  <si>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</si>
  <si>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</si>
  <si>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</si>
  <si>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</si>
  <si>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</si>
  <si>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</si>
  <si>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</si>
  <si>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</si>
  <si>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</si>
  <si>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</si>
  <si>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</si>
  <si>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</si>
  <si>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</si>
  <si>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</si>
  <si>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</si>
  <si>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</si>
  <si>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</si>
  <si>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</si>
  <si>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</si>
  <si>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</si>
  <si>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</si>
  <si>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</si>
  <si>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</si>
  <si>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</si>
  <si>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</si>
  <si>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</si>
  <si>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</si>
  <si>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</si>
  <si>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</si>
  <si>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</si>
  <si>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</si>
  <si>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</si>
  <si>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</si>
  <si>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</si>
  <si>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</si>
  <si>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</si>
  <si>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</si>
  <si>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</si>
  <si>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</si>
  <si>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</si>
  <si>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</si>
  <si>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</si>
  <si>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</si>
  <si>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</si>
  <si>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</si>
  <si>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</si>
  <si>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</si>
  <si>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</si>
  <si>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</si>
  <si>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</si>
  <si>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</si>
  <si>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</si>
  <si>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</si>
  <si>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</si>
  <si>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</si>
  <si>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</si>
  <si>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</si>
  <si>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</si>
  <si>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</si>
  <si>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</si>
  <si>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</si>
  <si>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</si>
  <si>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</si>
  <si>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</si>
  <si>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</si>
  <si>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</si>
  <si>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</si>
  <si>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</si>
  <si>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</si>
  <si>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</si>
  <si>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</si>
  <si>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</si>
  <si>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</si>
  <si>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</si>
  <si>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</si>
  <si>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</si>
  <si>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</si>
  <si>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</si>
  <si>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</si>
  <si>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</si>
  <si>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</si>
  <si>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</si>
  <si>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</si>
  <si>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</si>
  <si>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</si>
  <si>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</si>
  <si>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</si>
  <si>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</si>
  <si>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</si>
  <si>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</si>
  <si>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</si>
  <si>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</si>
  <si>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</si>
  <si>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</si>
  <si>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</si>
  <si>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</si>
  <si>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</si>
  <si>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</si>
  <si>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</si>
  <si>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</si>
  <si>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</si>
  <si>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</si>
  <si>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</si>
  <si>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</si>
  <si>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</si>
  <si>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</si>
  <si>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</si>
  <si>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</si>
  <si>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</si>
  <si>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</si>
  <si>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</si>
  <si>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</si>
  <si>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</si>
  <si>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</si>
  <si>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</si>
  <si>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</si>
  <si>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</si>
  <si>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</si>
  <si>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</si>
  <si>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</si>
  <si>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</si>
  <si>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</si>
  <si>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</si>
  <si>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</si>
  <si>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</si>
  <si>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</si>
  <si>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</si>
  <si>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</si>
  <si>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</si>
  <si>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</si>
  <si>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</si>
  <si>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</si>
  <si>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</si>
  <si>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</si>
  <si>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</si>
  <si>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</si>
  <si>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</si>
  <si>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</si>
  <si>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</si>
  <si>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</si>
  <si>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</si>
  <si>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</si>
  <si>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</si>
  <si>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</si>
  <si>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</si>
  <si>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</si>
  <si>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</si>
  <si>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</si>
  <si>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</si>
  <si>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</si>
  <si>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</si>
  <si>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</si>
  <si>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</si>
  <si>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</si>
  <si>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</si>
  <si>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</si>
  <si>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</si>
  <si>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</si>
  <si>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</si>
  <si>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</si>
  <si>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</si>
  <si>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</si>
  <si>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</si>
  <si>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</si>
  <si>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</si>
  <si>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</si>
  <si>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</si>
  <si>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</si>
  <si>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</si>
  <si>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</si>
  <si>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</si>
  <si>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</si>
  <si>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</si>
  <si>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</si>
  <si>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</si>
  <si>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</si>
  <si>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</si>
  <si>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</si>
  <si>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</si>
  <si>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</si>
  <si>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</si>
  <si>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</si>
  <si>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</si>
  <si>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</si>
  <si>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</si>
  <si>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</si>
  <si>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</si>
  <si>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</si>
  <si>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</si>
  <si>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</si>
  <si>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</si>
  <si>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</si>
  <si>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</si>
  <si>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</si>
  <si>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</si>
  <si>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</si>
  <si>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</si>
  <si>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</si>
  <si>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</si>
  <si>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</si>
  <si>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</si>
  <si>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</si>
  <si>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</si>
  <si>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</si>
  <si>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</si>
  <si>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</si>
  <si>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</si>
  <si>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</si>
  <si>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</si>
  <si>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</si>
  <si>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</si>
  <si>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</si>
  <si>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</si>
  <si>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</si>
  <si>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</si>
  <si>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</si>
  <si>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</si>
  <si>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</si>
  <si>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</si>
  <si>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</si>
  <si>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</si>
  <si>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</si>
  <si>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</si>
  <si>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</si>
  <si>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</si>
  <si>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</si>
  <si>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</si>
  <si>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</si>
  <si>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</si>
  <si>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</si>
  <si>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</si>
  <si>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</si>
  <si>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</si>
  <si>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</si>
  <si>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</si>
  <si>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</si>
  <si>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</si>
  <si>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</si>
  <si>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</si>
  <si>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</si>
  <si>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</si>
  <si>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</si>
  <si>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</si>
  <si>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</si>
  <si>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</si>
  <si>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</si>
  <si>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</si>
  <si>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</si>
  <si>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</si>
  <si>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</si>
  <si>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</si>
  <si>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</si>
  <si>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</si>
  <si>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</si>
  <si>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</si>
  <si>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</si>
  <si>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</si>
  <si>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</si>
  <si>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</si>
  <si>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</si>
  <si>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</si>
  <si>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</si>
  <si>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</si>
  <si>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</si>
  <si>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</si>
  <si>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</si>
  <si>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</si>
  <si>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</si>
  <si>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</si>
  <si>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</si>
  <si>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</si>
  <si>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</si>
  <si>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</si>
  <si>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</si>
  <si>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</si>
  <si>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</si>
  <si>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</si>
  <si>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</si>
  <si>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</si>
  <si>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</si>
  <si>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</si>
  <si>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</si>
  <si>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</si>
  <si>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</si>
  <si>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</si>
  <si>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</si>
  <si>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</si>
  <si>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</si>
  <si>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</si>
  <si>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</si>
  <si>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</si>
  <si>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</si>
  <si>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</si>
  <si>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</si>
  <si>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</si>
  <si>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</si>
  <si>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</si>
  <si>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</si>
  <si>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</si>
  <si>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</si>
  <si>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</si>
  <si>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</si>
  <si>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</si>
  <si>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</si>
  <si>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</si>
  <si>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</si>
  <si>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</si>
  <si>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</si>
  <si>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</si>
  <si>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</si>
  <si>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</si>
  <si>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</si>
  <si>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</si>
  <si>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</si>
  <si>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</si>
  <si>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</si>
  <si>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</si>
  <si>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</si>
  <si>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</si>
  <si>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</si>
  <si>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</si>
  <si>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</si>
  <si>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</si>
  <si>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</si>
  <si>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</si>
  <si>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</si>
  <si>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</si>
  <si>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</si>
  <si>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</si>
  <si>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</si>
  <si>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</si>
  <si>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</si>
  <si>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</si>
  <si>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</si>
  <si>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</si>
  <si>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</si>
  <si>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</si>
  <si>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</si>
  <si>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</si>
  <si>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</si>
  <si>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</si>
  <si>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</si>
  <si>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</si>
  <si>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</si>
  <si>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</si>
  <si>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</si>
  <si>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</si>
  <si>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</si>
  <si>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</si>
  <si>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</si>
  <si>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</si>
  <si>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</si>
  <si>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</si>
  <si>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</si>
  <si>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</si>
  <si>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</si>
  <si>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</si>
  <si>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</si>
  <si>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</si>
  <si>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</si>
  <si>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</si>
  <si>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</si>
  <si>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</si>
  <si>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</si>
  <si>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</si>
  <si>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</si>
  <si>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</si>
  <si>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</si>
  <si>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</si>
  <si>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</si>
  <si>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</si>
  <si>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</si>
  <si>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</si>
  <si>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</si>
  <si>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</si>
  <si>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</si>
  <si>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</si>
  <si>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</si>
  <si>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</si>
  <si>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</si>
  <si>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</si>
  <si>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</si>
  <si>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</si>
  <si>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</si>
  <si>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</si>
  <si>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</si>
  <si>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</si>
  <si>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</si>
  <si>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</si>
  <si>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</si>
  <si>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</si>
  <si>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</si>
  <si>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</si>
  <si>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</si>
  <si>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</si>
  <si>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</si>
  <si>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</si>
  <si>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</si>
  <si>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</si>
  <si>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</si>
  <si>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</si>
  <si>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</si>
  <si>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</si>
  <si>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</si>
  <si>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</si>
  <si>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</si>
  <si>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</si>
  <si>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</si>
  <si>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</si>
  <si>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</si>
  <si>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</si>
  <si>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</si>
  <si>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</si>
  <si>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</si>
  <si>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</si>
  <si>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</si>
  <si>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</si>
  <si>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</si>
  <si>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</si>
  <si>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</si>
  <si>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</si>
  <si>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</si>
  <si>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</si>
  <si>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</si>
  <si>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</si>
  <si>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</si>
  <si>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</si>
  <si>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</si>
  <si>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</si>
  <si>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</si>
  <si>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</si>
  <si>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</si>
  <si>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</si>
  <si>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</si>
  <si>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</si>
  <si>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</si>
  <si>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</si>
  <si>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</si>
  <si>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</si>
  <si>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</si>
  <si>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</si>
  <si>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</si>
  <si>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</si>
  <si>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</si>
  <si>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</si>
  <si>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</si>
  <si>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</si>
  <si>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</si>
  <si>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</si>
  <si>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</si>
  <si>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</si>
  <si>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</si>
  <si>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</si>
  <si>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</si>
  <si>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</si>
  <si>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</si>
  <si>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</si>
  <si>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</si>
  <si>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</si>
  <si>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</si>
  <si>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</si>
  <si>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</si>
  <si>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</si>
  <si>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</si>
  <si>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</si>
  <si>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</si>
  <si>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</si>
  <si>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</si>
  <si>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</si>
  <si>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</si>
  <si>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</si>
  <si>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</si>
  <si>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</si>
  <si>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</si>
  <si>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</si>
  <si>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</si>
  <si>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</si>
  <si>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</si>
  <si>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</si>
  <si>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</si>
  <si>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</si>
  <si>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</si>
  <si>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</si>
  <si>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</si>
  <si>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</si>
  <si>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</si>
  <si>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</si>
  <si>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</si>
  <si>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</si>
  <si>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</si>
  <si>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</si>
  <si>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</si>
  <si>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</si>
  <si>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</si>
  <si>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</si>
  <si>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</si>
  <si>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</si>
  <si>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</si>
  <si>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</si>
  <si>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</si>
  <si>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</si>
  <si>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</si>
  <si>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</si>
  <si>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</si>
  <si>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</si>
  <si>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</si>
  <si>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</si>
  <si>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</si>
  <si>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</si>
  <si>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</si>
  <si>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</si>
  <si>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</si>
  <si>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</si>
  <si>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</si>
  <si>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</si>
  <si>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</si>
  <si>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</si>
  <si>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</si>
  <si>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</si>
  <si>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</si>
  <si>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</si>
  <si>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</si>
  <si>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</si>
  <si>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</si>
  <si>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</si>
  <si>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</si>
  <si>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</si>
  <si>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</si>
  <si>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</si>
  <si>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</si>
  <si>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</si>
  <si>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</si>
  <si>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</si>
  <si>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</si>
  <si>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</si>
  <si>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</si>
  <si>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</si>
  <si>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</si>
  <si>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</si>
  <si>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</si>
  <si>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</si>
  <si>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</si>
  <si>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</si>
  <si>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</si>
  <si>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</si>
  <si>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</si>
  <si>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</si>
  <si>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</si>
  <si>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</si>
  <si>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</si>
  <si>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</si>
  <si>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</si>
  <si>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</si>
  <si>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</si>
  <si>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</si>
  <si>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</si>
  <si>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</si>
  <si>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</si>
  <si>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</si>
  <si>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</si>
  <si>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</si>
  <si>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</si>
  <si>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</si>
  <si>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</si>
  <si>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</si>
  <si>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</si>
  <si>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</si>
  <si>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</si>
  <si>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</si>
  <si>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</si>
  <si>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</si>
  <si>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</si>
  <si>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</si>
  <si>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</si>
  <si>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</si>
  <si>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</si>
  <si>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</si>
  <si>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</si>
  <si>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</si>
  <si>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</si>
  <si>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</si>
  <si>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</si>
  <si>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</si>
  <si>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</si>
  <si>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</si>
  <si>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</si>
  <si>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</si>
  <si>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</si>
  <si>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</si>
  <si>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</si>
  <si>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</si>
  <si>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</si>
  <si>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</si>
  <si>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</si>
  <si>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</si>
  <si>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</si>
  <si>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</si>
  <si>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</si>
  <si>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</si>
  <si>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</si>
  <si>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</si>
  <si>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</si>
  <si>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</si>
  <si>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</si>
  <si>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</si>
  <si>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</si>
  <si>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</si>
  <si>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</si>
  <si>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</si>
  <si>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</si>
  <si>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</si>
  <si>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</si>
  <si>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</si>
  <si>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</si>
  <si>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</si>
  <si>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</si>
  <si>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</si>
  <si>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</si>
  <si>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</si>
  <si>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</si>
  <si>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</si>
  <si>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</si>
  <si>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</si>
  <si>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</si>
  <si>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</si>
  <si>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</si>
  <si>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</si>
  <si>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</si>
  <si>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</si>
  <si>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</si>
  <si>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</si>
  <si>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</si>
  <si>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</si>
  <si>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</si>
  <si>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</si>
  <si>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</si>
  <si>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</si>
  <si>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</si>
  <si>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</si>
  <si>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</si>
  <si>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</si>
  <si>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</si>
  <si>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</si>
  <si>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</si>
  <si>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</si>
  <si>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</si>
  <si>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</si>
  <si>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</si>
  <si>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</si>
  <si>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</si>
  <si>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</si>
  <si>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</si>
  <si>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</si>
  <si>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</si>
  <si>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</si>
  <si>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</si>
  <si>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</si>
  <si>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</si>
  <si>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</si>
  <si>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</si>
  <si>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</si>
  <si>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</si>
  <si>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</si>
  <si>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</si>
  <si>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</si>
  <si>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</si>
  <si>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</si>
  <si>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</si>
  <si>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</si>
  <si>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</si>
  <si>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</si>
  <si>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</si>
  <si>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</si>
  <si>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</si>
  <si>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</si>
  <si>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</si>
  <si>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</si>
  <si>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</si>
  <si>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</si>
  <si>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</si>
  <si>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</si>
  <si>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</si>
  <si>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</si>
  <si>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</si>
  <si>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</si>
  <si>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</si>
  <si>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</si>
  <si>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</si>
  <si>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</si>
  <si>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</si>
  <si>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</si>
  <si>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</si>
  <si>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</si>
  <si>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</si>
  <si>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</si>
  <si>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</si>
  <si>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</si>
  <si>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</si>
  <si>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</si>
  <si>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</si>
  <si>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</si>
  <si>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</si>
  <si>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</si>
  <si>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</si>
  <si>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</si>
  <si>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</si>
  <si>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</si>
  <si>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</si>
  <si>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</si>
  <si>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</si>
  <si>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</si>
  <si>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</si>
  <si>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</si>
  <si>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</si>
  <si>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</si>
  <si>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</si>
  <si>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</si>
  <si>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</si>
  <si>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</si>
  <si>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</si>
  <si>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</si>
  <si>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</si>
  <si>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</si>
  <si>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</si>
  <si>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</si>
  <si>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</si>
  <si>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</si>
  <si>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</si>
  <si>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</si>
  <si>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</si>
  <si>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</si>
  <si>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</si>
  <si>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</si>
  <si>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</si>
  <si>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</si>
  <si>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</si>
  <si>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</si>
  <si>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</si>
  <si>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</si>
  <si>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</si>
  <si>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</si>
  <si>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</si>
  <si>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</si>
  <si>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</si>
  <si>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</si>
  <si>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</si>
  <si>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</si>
  <si>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</si>
  <si>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</si>
  <si>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</si>
  <si>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</si>
  <si>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</si>
  <si>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</si>
  <si>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</si>
  <si>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</si>
  <si>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</si>
  <si>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</si>
  <si>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</si>
  <si>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</si>
  <si>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</si>
  <si>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</si>
  <si>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</si>
  <si>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</si>
  <si>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</si>
  <si>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</si>
  <si>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</si>
  <si>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</si>
  <si>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</si>
  <si>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</si>
  <si>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</si>
  <si>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</si>
  <si>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</si>
  <si>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</si>
  <si>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</si>
  <si>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</si>
  <si>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</si>
  <si>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</si>
  <si>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</si>
  <si>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</si>
  <si>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</si>
  <si>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</si>
  <si>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</si>
  <si>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</si>
  <si>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</si>
  <si>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</si>
  <si>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</si>
  <si>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</si>
  <si>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</si>
  <si>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</si>
  <si>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</si>
  <si>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</si>
  <si>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</si>
  <si>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</si>
  <si>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</si>
  <si>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</si>
  <si>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</si>
  <si>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</si>
  <si>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</si>
  <si>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</si>
  <si>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</si>
  <si>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</si>
  <si>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</si>
  <si>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</si>
  <si>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</si>
  <si>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</si>
  <si>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</si>
  <si>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</si>
  <si>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</si>
  <si>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</si>
  <si>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</si>
  <si>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</si>
  <si>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</si>
  <si>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</si>
  <si>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</si>
  <si>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</si>
  <si>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</si>
  <si>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</si>
  <si>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</si>
  <si>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</si>
  <si>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</si>
  <si>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</si>
  <si>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</si>
  <si>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</si>
  <si>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</si>
  <si>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</si>
  <si>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</si>
  <si>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</si>
  <si>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</si>
  <si>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</si>
  <si>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</si>
  <si>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</si>
  <si>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</si>
  <si>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</si>
  <si>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</si>
  <si>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</si>
  <si>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</si>
  <si>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</si>
  <si>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</si>
  <si>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</si>
  <si>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</si>
  <si>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</si>
  <si>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</si>
  <si>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</si>
  <si>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</si>
  <si>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</si>
  <si>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</si>
  <si>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</si>
  <si>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</si>
  <si>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</si>
  <si>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</si>
  <si>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</si>
  <si>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</si>
  <si>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</si>
  <si>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</si>
  <si>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</si>
  <si>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</si>
  <si>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</si>
  <si>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</si>
  <si>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</si>
  <si>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</si>
  <si>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</si>
  <si>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</si>
  <si>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</si>
  <si>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</si>
  <si>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</si>
  <si>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</si>
  <si>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</si>
  <si>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</si>
  <si>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</si>
  <si>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</si>
  <si>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</si>
  <si>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</si>
  <si>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</si>
  <si>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</si>
  <si>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</si>
  <si>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</si>
  <si>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</si>
  <si>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</si>
  <si>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</si>
  <si>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</si>
  <si>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</si>
  <si>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</si>
  <si>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</si>
  <si>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</si>
  <si>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</si>
  <si>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</si>
  <si>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</si>
  <si>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</si>
  <si>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</si>
  <si>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</si>
  <si>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</si>
  <si>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</si>
  <si>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</si>
  <si>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</si>
  <si>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</si>
  <si>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</si>
  <si>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</si>
  <si>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</si>
  <si>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</si>
  <si>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</si>
  <si>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</si>
  <si>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</si>
  <si>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</si>
  <si>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</si>
  <si>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</si>
  <si>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</si>
  <si>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</si>
  <si>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</si>
  <si>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</si>
  <si>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</si>
  <si>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</si>
  <si>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</si>
  <si>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</si>
  <si>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</si>
  <si>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</si>
  <si>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</si>
  <si>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</si>
  <si>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</si>
  <si>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</si>
  <si>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</si>
  <si>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</si>
  <si>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</si>
  <si>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</si>
  <si>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</si>
  <si>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</si>
  <si>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</si>
  <si>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</si>
  <si>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</si>
  <si>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</si>
  <si>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</si>
  <si>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</si>
  <si>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</si>
  <si>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</si>
  <si>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</si>
  <si>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</si>
  <si>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</si>
  <si>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</si>
  <si>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</si>
  <si>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</si>
  <si>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</si>
  <si>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</si>
  <si>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</si>
  <si>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</si>
  <si>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</si>
  <si>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</si>
  <si>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</si>
  <si>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</si>
  <si>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</si>
  <si>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</si>
  <si>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</si>
  <si>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</si>
  <si>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</si>
  <si>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</si>
  <si>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</si>
  <si>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</si>
  <si>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</si>
  <si>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</si>
  <si>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</si>
  <si>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</si>
  <si>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</si>
  <si>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</si>
  <si>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</si>
  <si>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</si>
  <si>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</si>
  <si>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</si>
  <si>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</si>
  <si>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</si>
  <si>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</si>
  <si>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</si>
  <si>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</si>
  <si>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</si>
  <si>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</si>
  <si>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</si>
  <si>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</si>
  <si>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</si>
  <si>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</si>
  <si>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</si>
  <si>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</si>
  <si>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</si>
  <si>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</si>
  <si>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</si>
  <si>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</si>
  <si>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</si>
  <si>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</si>
  <si>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</si>
  <si>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</si>
  <si>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</si>
  <si>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</si>
  <si>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</si>
  <si>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</si>
  <si>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</si>
  <si>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</si>
  <si>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</si>
  <si>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</si>
  <si>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</si>
  <si>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</si>
  <si>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</si>
  <si>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</si>
  <si>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</si>
  <si>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</si>
  <si>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</si>
  <si>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</si>
  <si>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</si>
  <si>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</si>
  <si>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</si>
  <si>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</si>
  <si>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</si>
  <si>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</si>
  <si>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</si>
  <si>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</si>
  <si>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</si>
  <si>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</si>
  <si>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</si>
  <si>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</si>
  <si>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</si>
  <si>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</si>
  <si>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</si>
  <si>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</si>
  <si>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</si>
  <si>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</si>
  <si>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</si>
  <si>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</si>
  <si>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</si>
  <si>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</si>
  <si>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</si>
  <si>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</si>
  <si>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</si>
  <si>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</si>
  <si>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</si>
  <si>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</si>
  <si>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</si>
  <si>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</si>
  <si>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</si>
  <si>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</si>
  <si>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</si>
  <si>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</si>
  <si>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</si>
  <si>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</si>
  <si>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</si>
  <si>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</si>
  <si>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</si>
  <si>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</si>
  <si>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</si>
  <si>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</si>
  <si>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</si>
  <si>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</si>
  <si>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</si>
  <si>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</si>
  <si>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</si>
  <si>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</si>
  <si>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</si>
  <si>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</si>
  <si>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</si>
  <si>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</si>
  <si>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</si>
  <si>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</si>
  <si>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</si>
  <si>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</si>
  <si>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</si>
  <si>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</si>
  <si>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</si>
  <si>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</si>
  <si>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</si>
  <si>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</si>
  <si>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</si>
  <si>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</si>
  <si>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</si>
  <si>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</si>
  <si>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</si>
  <si>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</si>
  <si>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</si>
  <si>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</si>
  <si>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</si>
  <si>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</si>
  <si>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</si>
  <si>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</si>
  <si>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</si>
  <si>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</si>
  <si>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</si>
  <si>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</si>
  <si>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</si>
  <si>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</si>
  <si>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</si>
  <si>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</si>
  <si>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</si>
  <si>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</si>
  <si>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</si>
  <si>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</si>
  <si>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</si>
  <si>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</si>
  <si>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</si>
  <si>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</si>
  <si>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</si>
  <si>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</si>
  <si>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</si>
  <si>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</si>
  <si>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</si>
  <si>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</si>
  <si>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</si>
  <si>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</si>
  <si>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</si>
  <si>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</si>
  <si>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</si>
  <si>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</si>
  <si>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</si>
  <si>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</si>
  <si>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</si>
  <si>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</si>
  <si>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</si>
  <si>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</si>
  <si>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</si>
  <si>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</si>
  <si>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</si>
  <si>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</si>
  <si>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</si>
  <si>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</si>
  <si>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</si>
  <si>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</si>
  <si>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</si>
  <si>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</si>
  <si>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</si>
  <si>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</si>
  <si>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</si>
  <si>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</si>
  <si>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</si>
  <si>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</si>
  <si>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</si>
  <si>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</si>
  <si>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</si>
  <si>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</si>
  <si>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</si>
  <si>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</si>
  <si>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</si>
  <si>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</si>
  <si>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</si>
  <si>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</si>
  <si>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</si>
  <si>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</si>
  <si>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</si>
  <si>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</si>
  <si>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</si>
  <si>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</si>
  <si>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</si>
  <si>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</si>
  <si>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</si>
  <si>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</si>
  <si>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</si>
  <si>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</si>
  <si>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</si>
  <si>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</si>
  <si>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</si>
  <si>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</si>
  <si>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</si>
  <si>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</si>
  <si>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</si>
  <si>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</si>
  <si>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</si>
  <si>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</si>
  <si>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</si>
  <si>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</si>
  <si>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</si>
  <si>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</si>
  <si>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</si>
  <si>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</si>
  <si>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</si>
  <si>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</si>
  <si>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</si>
  <si>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</si>
  <si>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</si>
  <si>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</si>
  <si>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</si>
  <si>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</si>
  <si>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</si>
  <si>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</si>
  <si>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</si>
  <si>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</si>
  <si>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</si>
  <si>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</si>
  <si>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</si>
  <si>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</si>
  <si>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</si>
  <si>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</si>
  <si>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</si>
  <si>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</si>
  <si>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</si>
  <si>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</si>
  <si>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</si>
  <si>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</si>
  <si>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</si>
  <si>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</si>
  <si>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</si>
  <si>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</si>
  <si>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</si>
  <si>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</si>
  <si>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</si>
  <si>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</si>
  <si>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</si>
  <si>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</si>
  <si>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</si>
  <si>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</si>
  <si>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</si>
  <si>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</si>
  <si>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</si>
  <si>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</si>
  <si>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</si>
  <si>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</si>
  <si>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</si>
  <si>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</si>
  <si>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</si>
  <si>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</si>
  <si>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</si>
  <si>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</si>
  <si>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</si>
  <si>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</si>
  <si>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</si>
  <si>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</si>
  <si>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</si>
  <si>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</si>
  <si>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</si>
  <si>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</si>
  <si>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</si>
  <si>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</si>
  <si>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</si>
  <si>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</si>
  <si>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</si>
  <si>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</si>
  <si>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</si>
  <si>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</si>
  <si>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</si>
  <si>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</si>
  <si>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</si>
  <si>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</si>
  <si>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</si>
  <si>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</si>
  <si>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</si>
  <si>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</si>
  <si>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</si>
  <si>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</si>
  <si>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</si>
  <si>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</si>
  <si>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</si>
  <si>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</si>
  <si>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</si>
  <si>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</si>
  <si>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</si>
  <si>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</si>
  <si>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</si>
  <si>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</si>
  <si>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</si>
  <si>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</si>
  <si>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</si>
  <si>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</si>
  <si>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</si>
  <si>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</si>
  <si>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</si>
  <si>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</si>
  <si>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</si>
  <si>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</si>
  <si>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</si>
  <si>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</si>
  <si>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</si>
  <si>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</si>
  <si>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</si>
  <si>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</si>
  <si>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</si>
  <si>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</si>
  <si>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</si>
  <si>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</si>
  <si>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</si>
  <si>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</si>
  <si>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</si>
  <si>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</si>
  <si>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</si>
  <si>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</si>
  <si>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</si>
  <si>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</si>
  <si>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</si>
  <si>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</si>
  <si>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</si>
  <si>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</si>
  <si>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</si>
  <si>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</si>
  <si>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</si>
  <si>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</si>
  <si>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</si>
  <si>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</si>
  <si>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</si>
  <si>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</si>
  <si>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</si>
  <si>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</si>
  <si>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</si>
  <si>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</si>
  <si>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</si>
  <si>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</si>
  <si>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</si>
  <si>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</si>
  <si>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</si>
  <si>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</si>
  <si>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</si>
  <si>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</si>
  <si>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</si>
  <si>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</si>
  <si>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</si>
  <si>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</si>
  <si>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</si>
  <si>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</si>
  <si>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</si>
  <si>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</si>
  <si>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</si>
  <si>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</si>
  <si>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</si>
  <si>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</si>
  <si>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</si>
  <si>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</si>
  <si>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</si>
  <si>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</si>
  <si>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</si>
  <si>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</si>
  <si>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</si>
  <si>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</si>
  <si>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</si>
  <si>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</si>
  <si>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</si>
  <si>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</si>
  <si>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</si>
  <si>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</si>
  <si>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</si>
  <si>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</si>
  <si>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</si>
  <si>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</si>
  <si>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</si>
  <si>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</si>
  <si>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</si>
  <si>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</si>
  <si>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</si>
  <si>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</si>
  <si>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</si>
  <si>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</si>
  <si>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</si>
  <si>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</si>
  <si>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</si>
  <si>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</si>
  <si>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</si>
  <si>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</si>
  <si>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</si>
  <si>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</si>
  <si>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</si>
  <si>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</si>
  <si>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</si>
  <si>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</si>
  <si>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</si>
  <si>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</si>
  <si>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</si>
  <si>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</si>
  <si>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</si>
  <si>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</si>
  <si>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</si>
  <si>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</si>
  <si>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</si>
  <si>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</si>
  <si>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</si>
  <si>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</si>
  <si>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</si>
  <si>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</si>
  <si>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</si>
  <si>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</si>
  <si>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</si>
  <si>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</si>
  <si>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</si>
  <si>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</si>
  <si>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</si>
  <si>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</si>
  <si>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</si>
  <si>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</si>
  <si>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</si>
  <si>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</si>
  <si>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</si>
  <si>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</si>
  <si>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</si>
  <si>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</si>
  <si>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</si>
  <si>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</si>
  <si>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</si>
  <si>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</si>
  <si>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</si>
  <si>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</si>
  <si>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</si>
  <si>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</si>
  <si>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</si>
  <si>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</si>
  <si>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</si>
  <si>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</si>
  <si>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</si>
  <si>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</si>
  <si>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</si>
  <si>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</si>
  <si>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</si>
  <si>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</si>
  <si>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</si>
  <si>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</si>
  <si>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</si>
  <si>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</si>
  <si>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</si>
  <si>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</si>
  <si>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</si>
  <si>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</si>
  <si>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</si>
  <si>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</si>
  <si>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</si>
  <si>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</si>
  <si>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</si>
  <si>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</si>
  <si>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</si>
  <si>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</si>
  <si>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</si>
  <si>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</si>
  <si>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</si>
  <si>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</si>
  <si>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</si>
  <si>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</si>
  <si>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</si>
  <si>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</si>
  <si>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</si>
  <si>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</si>
  <si>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</si>
  <si>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</si>
  <si>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</si>
  <si>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</si>
  <si>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</si>
  <si>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</si>
  <si>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</si>
  <si>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</si>
  <si>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</si>
  <si>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</si>
  <si>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</si>
  <si>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</si>
  <si>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</si>
  <si>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</si>
  <si>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</si>
  <si>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</si>
  <si>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</si>
  <si>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</si>
  <si>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</si>
  <si>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</si>
  <si>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</si>
  <si>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</si>
  <si>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</si>
  <si>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</si>
  <si>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</si>
  <si>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</si>
  <si>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</si>
  <si>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</si>
  <si>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</si>
  <si>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</si>
  <si>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</si>
  <si>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</si>
  <si>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</si>
  <si>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</si>
  <si>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</si>
  <si>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</si>
  <si>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</si>
  <si>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</si>
  <si>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</si>
  <si>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</si>
  <si>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</si>
  <si>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</si>
  <si>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</si>
  <si>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</si>
  <si>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</si>
  <si>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</si>
  <si>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</si>
  <si>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</si>
  <si>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</si>
  <si>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</si>
  <si>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</si>
  <si>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</si>
  <si>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</si>
  <si>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</si>
  <si>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</si>
  <si>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</si>
  <si>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</si>
  <si>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</si>
  <si>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</si>
  <si>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</si>
  <si>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</si>
  <si>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</si>
  <si>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</si>
  <si>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</si>
  <si>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</si>
  <si>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</si>
  <si>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</si>
  <si>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</si>
  <si>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</si>
  <si>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</si>
  <si>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</si>
  <si>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</si>
  <si>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</si>
  <si>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</si>
  <si>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</si>
  <si>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</si>
  <si>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</si>
  <si>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</si>
  <si>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</si>
  <si>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</si>
  <si>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</si>
  <si>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</si>
  <si>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</si>
  <si>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</si>
  <si>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</si>
  <si>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</si>
  <si>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</si>
  <si>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</si>
  <si>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</si>
  <si>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</si>
  <si>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</si>
  <si>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</si>
  <si>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</si>
  <si>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</si>
  <si>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</si>
  <si>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</si>
  <si>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</si>
  <si>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</si>
  <si>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</si>
  <si>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</si>
  <si>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</si>
  <si>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</si>
  <si>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</si>
  <si>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</si>
  <si>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</si>
  <si>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</si>
  <si>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</si>
  <si>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</si>
  <si>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</si>
  <si>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</si>
  <si>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</si>
  <si>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</si>
  <si>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</si>
  <si>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</si>
  <si>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</si>
  <si>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</si>
  <si>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</si>
  <si>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</si>
  <si>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</si>
  <si>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</si>
  <si>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</si>
  <si>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</si>
  <si>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</si>
  <si>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</si>
  <si>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</si>
  <si>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</si>
  <si>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</si>
  <si>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</si>
  <si>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</si>
  <si>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</si>
  <si>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</si>
  <si>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</si>
  <si>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</si>
  <si>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</si>
  <si>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</si>
  <si>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</si>
  <si>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</si>
  <si>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</si>
  <si>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</si>
  <si>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</si>
  <si>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</si>
  <si>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</si>
  <si>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</si>
  <si>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</si>
  <si>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</si>
  <si>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</si>
  <si>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</si>
  <si>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</si>
  <si>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</si>
  <si>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</si>
  <si>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</si>
  <si>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</si>
  <si>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</si>
  <si>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</si>
  <si>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</si>
  <si>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</si>
  <si>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</si>
  <si>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</si>
  <si>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</si>
  <si>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</si>
  <si>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</si>
  <si>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</si>
  <si>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</si>
  <si>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</si>
  <si>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</si>
  <si>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</si>
  <si>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</si>
  <si>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</si>
  <si>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</si>
  <si>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</si>
  <si>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</si>
  <si>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</si>
  <si>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</si>
  <si>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</si>
  <si>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</si>
  <si>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</si>
  <si>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</si>
  <si>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</si>
  <si>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</si>
  <si>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</si>
  <si>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</si>
  <si>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</si>
  <si>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</si>
  <si>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</si>
  <si>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</si>
  <si>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</si>
  <si>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</si>
  <si>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</si>
  <si>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</si>
  <si>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</si>
  <si>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</si>
  <si>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</si>
  <si>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</si>
  <si>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</si>
  <si>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</si>
  <si>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</si>
  <si>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</si>
  <si>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</si>
  <si>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</si>
  <si>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</si>
  <si>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</si>
  <si>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</si>
  <si>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</si>
  <si>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</si>
  <si>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</si>
  <si>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</si>
  <si>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</si>
  <si>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</si>
  <si>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</si>
  <si>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</si>
  <si>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</si>
  <si>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</si>
  <si>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</si>
  <si>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</si>
  <si>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</si>
  <si>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</si>
  <si>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</si>
  <si>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</si>
  <si>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</si>
  <si>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</si>
  <si>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</si>
  <si>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</si>
  <si>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</si>
  <si>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</si>
  <si>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</si>
  <si>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</si>
  <si>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</si>
  <si>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</si>
  <si>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</si>
  <si>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</si>
  <si>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</si>
  <si>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</si>
  <si>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</si>
  <si>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</si>
  <si>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</si>
  <si>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</si>
  <si>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</si>
  <si>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</si>
  <si>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</si>
  <si>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</si>
  <si>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</si>
  <si>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</si>
  <si>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</si>
  <si>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</si>
  <si>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</si>
  <si>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</si>
  <si>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</si>
  <si>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</si>
  <si>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</si>
  <si>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</si>
  <si>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</si>
  <si>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</si>
  <si>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</si>
  <si>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</si>
  <si>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</si>
  <si>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</si>
  <si>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</si>
  <si>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</si>
  <si>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</si>
  <si>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</si>
  <si>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</si>
  <si>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</si>
  <si>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</si>
  <si>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</si>
  <si>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</si>
  <si>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</si>
  <si>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</si>
  <si>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</si>
  <si>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</si>
  <si>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</si>
  <si>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</si>
  <si>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</si>
  <si>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</si>
  <si>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</si>
  <si>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</si>
  <si>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</si>
  <si>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</si>
  <si>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</si>
  <si>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</si>
  <si>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</si>
  <si>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</si>
  <si>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</si>
  <si>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</si>
  <si>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</si>
  <si>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</si>
  <si>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</si>
  <si>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</si>
  <si>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</si>
  <si>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</si>
  <si>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</si>
  <si>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</si>
  <si>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</si>
  <si>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</si>
  <si>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</si>
  <si>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</si>
  <si>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</si>
  <si>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</si>
  <si>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</si>
  <si>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</si>
  <si>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</si>
  <si>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</si>
  <si>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</si>
  <si>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</si>
  <si>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</si>
  <si>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</si>
  <si>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</si>
  <si>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</si>
  <si>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</si>
  <si>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</si>
  <si>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</si>
  <si>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</si>
  <si>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</si>
  <si>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</si>
  <si>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</si>
  <si>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</si>
  <si>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</si>
  <si>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</si>
  <si>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</si>
  <si>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</si>
  <si>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</si>
  <si>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</si>
  <si>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</si>
  <si>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</si>
  <si>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</si>
  <si>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</si>
  <si>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</si>
  <si>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</si>
  <si>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</si>
  <si>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</si>
  <si>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</si>
  <si>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</si>
  <si>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</si>
  <si>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</si>
  <si>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</si>
  <si>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</si>
  <si>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</si>
  <si>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</si>
  <si>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</si>
  <si>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</si>
  <si>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</si>
  <si>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</si>
  <si>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</si>
  <si>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</si>
  <si>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</si>
  <si>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</si>
  <si>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</si>
  <si>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</si>
  <si>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</si>
  <si>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</si>
  <si>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</si>
  <si>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</si>
  <si>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</si>
  <si>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</si>
  <si>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</si>
  <si>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</si>
  <si>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</si>
  <si>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</si>
  <si>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</si>
  <si>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</si>
  <si>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</si>
  <si>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</si>
  <si>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</si>
  <si>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</si>
  <si>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</si>
  <si>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</si>
  <si>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</si>
  <si>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</si>
  <si>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</si>
  <si>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</si>
  <si>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</si>
  <si>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</si>
  <si>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</si>
  <si>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</si>
  <si>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</si>
  <si>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</si>
  <si>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</si>
  <si>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</si>
  <si>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</si>
  <si>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</si>
  <si>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</si>
  <si>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</si>
  <si>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</si>
  <si>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</si>
  <si>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</si>
  <si>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</si>
  <si>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</si>
  <si>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</si>
  <si>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</si>
  <si>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</si>
  <si>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</si>
  <si>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</si>
  <si>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</si>
  <si>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</si>
  <si>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</si>
  <si>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</si>
  <si>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</si>
  <si>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</si>
  <si>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</si>
  <si>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</si>
  <si>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</si>
  <si>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</si>
  <si>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</si>
  <si>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</si>
  <si>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</si>
  <si>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</si>
  <si>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</si>
  <si>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</si>
  <si>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</si>
  <si>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</si>
  <si>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</si>
  <si>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</si>
  <si>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</si>
  <si>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</si>
  <si>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</si>
  <si>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</si>
  <si>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</si>
  <si>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</si>
  <si>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</si>
  <si>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</si>
  <si>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</si>
  <si>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</si>
  <si>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</si>
  <si>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</si>
  <si>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</si>
  <si>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</si>
  <si>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</si>
  <si>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</si>
  <si>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</si>
  <si>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</si>
  <si>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</si>
  <si>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</si>
  <si>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</si>
  <si>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</si>
  <si>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</si>
  <si>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</si>
  <si>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</si>
  <si>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</si>
  <si>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</si>
  <si>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</si>
  <si>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</si>
  <si>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</si>
  <si>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</si>
  <si>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</si>
  <si>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</si>
  <si>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</si>
  <si>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</si>
  <si>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</si>
  <si>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</si>
  <si>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</si>
  <si>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</si>
  <si>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</si>
  <si>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</si>
  <si>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</si>
  <si>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</si>
  <si>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</si>
  <si>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</si>
  <si>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</si>
  <si>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</si>
  <si>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</si>
  <si>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</si>
  <si>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</si>
  <si>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</si>
  <si>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</si>
  <si>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</si>
  <si>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</si>
  <si>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</si>
  <si>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</si>
  <si>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</si>
  <si>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</si>
  <si>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</si>
  <si>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</si>
  <si>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</si>
  <si>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</si>
  <si>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</si>
  <si>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</si>
  <si>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</si>
  <si>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</si>
  <si>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</si>
  <si>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</si>
  <si>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</si>
  <si>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</si>
  <si>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</si>
  <si>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</si>
  <si>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</si>
  <si>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</si>
  <si>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</si>
  <si>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</si>
  <si>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</si>
  <si>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</si>
  <si>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</si>
  <si>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</si>
  <si>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</si>
  <si>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</si>
  <si>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</si>
  <si>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</si>
  <si>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</si>
  <si>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</si>
  <si>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</si>
  <si>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</si>
  <si>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</si>
  <si>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</si>
  <si>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</si>
  <si>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</si>
  <si>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</si>
  <si>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</si>
  <si>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</si>
  <si>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</si>
  <si>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</si>
  <si>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</si>
  <si>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</si>
  <si>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</si>
  <si>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</si>
  <si>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</si>
  <si>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</si>
  <si>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</si>
  <si>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</si>
  <si>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</si>
  <si>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</si>
  <si>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</si>
  <si>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</si>
  <si>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</si>
  <si>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</si>
  <si>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</si>
  <si>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</si>
  <si>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</si>
  <si>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</si>
  <si>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</si>
  <si>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</si>
  <si>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</si>
  <si>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</si>
  <si>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</si>
  <si>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</si>
  <si>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</si>
  <si>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</si>
  <si>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</si>
  <si>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</si>
  <si>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</si>
  <si>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</si>
  <si>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</si>
  <si>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</si>
  <si>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</si>
  <si>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</si>
  <si>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</si>
  <si>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</si>
  <si>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</si>
  <si>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</si>
  <si>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</si>
  <si>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</si>
  <si>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</si>
  <si>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</si>
  <si>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</si>
  <si>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</si>
  <si>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</si>
  <si>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</si>
  <si>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</si>
  <si>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</si>
  <si>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</si>
  <si>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</si>
  <si>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</si>
  <si>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</si>
  <si>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</si>
  <si>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</si>
  <si>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</si>
  <si>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</si>
  <si>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</si>
  <si>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</si>
  <si>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</si>
  <si>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</si>
  <si>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</si>
  <si>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</si>
  <si>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</si>
  <si>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</si>
  <si>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</si>
  <si>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</si>
  <si>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</si>
  <si>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</si>
  <si>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</si>
  <si>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</si>
  <si>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</si>
  <si>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</si>
  <si>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</si>
  <si>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</si>
  <si>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</si>
  <si>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</si>
  <si>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</si>
  <si>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</si>
  <si>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</si>
  <si>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</si>
  <si>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</si>
  <si>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</si>
  <si>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</si>
  <si>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</si>
  <si>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</si>
  <si>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</si>
  <si>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</si>
  <si>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</si>
  <si>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</si>
  <si>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</si>
  <si>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</si>
  <si>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</si>
  <si>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</si>
  <si>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</si>
  <si>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</si>
  <si>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</si>
  <si>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</si>
  <si>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</si>
  <si>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</si>
  <si>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</si>
  <si>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</si>
  <si>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</si>
  <si>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</si>
  <si>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</si>
  <si>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</si>
  <si>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</si>
  <si>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</si>
  <si>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</si>
  <si>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</si>
  <si>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</si>
  <si>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</si>
  <si>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</si>
  <si>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</si>
  <si>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</si>
  <si>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</si>
  <si>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</si>
  <si>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</si>
  <si>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</si>
  <si>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</si>
  <si>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</si>
  <si>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</si>
  <si>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</si>
  <si>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</si>
  <si>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</si>
  <si>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</si>
  <si>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</si>
  <si>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</si>
  <si>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</si>
  <si>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</si>
  <si>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</si>
  <si>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</si>
  <si>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</si>
  <si>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</si>
  <si>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</si>
  <si>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</si>
  <si>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</si>
  <si>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</si>
  <si>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</si>
  <si>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</si>
  <si>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</si>
  <si>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</si>
  <si>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</si>
  <si>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</si>
  <si>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</si>
  <si>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</si>
  <si>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</si>
  <si>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</si>
  <si>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</si>
  <si>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</si>
  <si>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</si>
  <si>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</si>
  <si>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</si>
  <si>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</si>
  <si>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</si>
  <si>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</si>
  <si>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</si>
  <si>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</si>
  <si>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</si>
  <si>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</si>
  <si>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</si>
  <si>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</si>
  <si>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</si>
  <si>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</si>
  <si>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</si>
  <si>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</si>
  <si>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</si>
  <si>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</si>
  <si>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</si>
  <si>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</si>
  <si>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</si>
  <si>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</si>
  <si>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</si>
  <si>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</si>
  <si>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</si>
  <si>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</si>
  <si>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</si>
  <si>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</si>
  <si>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</si>
  <si>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</si>
  <si>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</si>
  <si>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</si>
  <si>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</si>
  <si>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</si>
  <si>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</si>
  <si>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</si>
  <si>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</si>
  <si>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</si>
  <si>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</si>
  <si>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</si>
  <si>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</si>
  <si>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</si>
  <si>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</si>
  <si>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</si>
  <si>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</si>
  <si>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</si>
  <si>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</si>
  <si>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</si>
  <si>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</si>
  <si>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</si>
  <si>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</si>
  <si>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</si>
  <si>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</si>
  <si>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</si>
  <si>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</si>
  <si>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</si>
  <si>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</si>
  <si>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</si>
  <si>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</si>
  <si>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</si>
  <si>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</si>
  <si>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</si>
  <si>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</si>
  <si>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</si>
  <si>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</si>
  <si>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</si>
  <si>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</si>
  <si>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</si>
  <si>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</si>
  <si>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</si>
  <si>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</si>
  <si>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</si>
  <si>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</si>
  <si>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</si>
  <si>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</si>
  <si>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</si>
  <si>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</si>
  <si>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</si>
  <si>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</si>
  <si>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</si>
  <si>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</si>
  <si>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</si>
  <si>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</si>
  <si>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</si>
  <si>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</si>
  <si>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</si>
  <si>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</si>
  <si>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</si>
  <si>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</si>
  <si>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</si>
  <si>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</si>
  <si>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</si>
  <si>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</si>
  <si>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</si>
  <si>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</si>
  <si>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</si>
  <si>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</si>
  <si>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</si>
  <si>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</si>
  <si>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</si>
  <si>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</si>
  <si>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</si>
  <si>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</si>
  <si>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</si>
  <si>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</si>
  <si>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</si>
  <si>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</si>
  <si>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</si>
  <si>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</si>
  <si>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</si>
  <si>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</si>
  <si>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</si>
  <si>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</si>
  <si>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</si>
  <si>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</si>
  <si>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</si>
  <si>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</si>
  <si>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</si>
  <si>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</si>
  <si>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</si>
  <si>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</si>
  <si>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</si>
  <si>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</si>
  <si>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</si>
  <si>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</si>
  <si>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</si>
  <si>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</si>
  <si>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</si>
  <si>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</si>
  <si>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</si>
  <si>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</si>
  <si>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</si>
  <si>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</si>
  <si>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</si>
  <si>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</si>
  <si>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</si>
  <si>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</si>
  <si>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</si>
  <si>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</si>
  <si>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</si>
  <si>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</si>
  <si>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</si>
  <si>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</si>
  <si>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</si>
  <si>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</si>
  <si>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</si>
  <si>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</si>
  <si>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</si>
  <si>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</si>
  <si>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</si>
  <si>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</si>
  <si>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</si>
  <si>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</si>
  <si>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</si>
  <si>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</si>
  <si>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</si>
  <si>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</si>
  <si>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</si>
  <si>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</si>
  <si>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</si>
  <si>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</si>
  <si>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</si>
  <si>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</si>
  <si>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</si>
  <si>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</si>
  <si>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</si>
  <si>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</si>
  <si>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</si>
  <si>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</si>
  <si>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</si>
  <si>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</si>
  <si>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</si>
  <si>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</si>
  <si>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</si>
  <si>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</si>
  <si>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</si>
  <si>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</si>
  <si>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</si>
  <si>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</si>
  <si>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</si>
  <si>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</si>
  <si>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</si>
  <si>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</si>
  <si>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</si>
  <si>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</si>
  <si>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</si>
  <si>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</si>
  <si>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</si>
  <si>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</si>
  <si>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</si>
  <si>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</si>
  <si>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</si>
  <si>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</si>
  <si>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</si>
  <si>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</si>
  <si>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</si>
  <si>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</si>
  <si>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</si>
  <si>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</si>
  <si>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</si>
  <si>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</si>
  <si>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</si>
  <si>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</si>
  <si>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</si>
  <si>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</si>
  <si>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</si>
  <si>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</si>
  <si>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</si>
  <si>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</si>
  <si>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</si>
  <si>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</si>
  <si>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</si>
  <si>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</si>
  <si>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</si>
  <si>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</si>
  <si>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</si>
  <si>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</si>
  <si>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</si>
  <si>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</si>
  <si>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</si>
  <si>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</si>
  <si>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</si>
  <si>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</si>
  <si>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</si>
  <si>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</si>
  <si>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</si>
  <si>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</si>
  <si>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</si>
  <si>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</si>
  <si>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</si>
  <si>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</si>
  <si>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</si>
  <si>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</si>
  <si>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</si>
  <si>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</si>
  <si>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</si>
  <si>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</si>
  <si>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</si>
  <si>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</si>
  <si>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</si>
  <si>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</si>
  <si>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</si>
  <si>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</si>
  <si>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</si>
  <si>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</si>
  <si>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</si>
  <si>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</si>
  <si>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</si>
  <si>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</si>
  <si>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</si>
  <si>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</si>
  <si>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</si>
  <si>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</si>
  <si>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</si>
  <si>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</si>
  <si>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</si>
  <si>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</si>
  <si>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</si>
  <si>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</si>
  <si>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</si>
  <si>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</si>
  <si>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</si>
  <si>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</si>
  <si>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</si>
  <si>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</si>
  <si>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</si>
  <si>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</si>
  <si>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</si>
  <si>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</si>
  <si>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</si>
  <si>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</si>
  <si>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</si>
  <si>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</si>
  <si>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</si>
  <si>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</si>
  <si>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</si>
  <si>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</si>
  <si>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</si>
  <si>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</si>
  <si>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</si>
  <si>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</si>
  <si>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</si>
  <si>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</si>
  <si>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</si>
  <si>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</si>
  <si>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</si>
  <si>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</si>
  <si>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</si>
  <si>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</si>
  <si>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</si>
  <si>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</si>
  <si>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</si>
  <si>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</si>
  <si>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</si>
  <si>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</si>
  <si>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</si>
  <si>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</si>
  <si>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</si>
  <si>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</si>
  <si>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</si>
  <si>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</si>
  <si>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</si>
  <si>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</si>
  <si>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</si>
  <si>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</si>
  <si>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</si>
  <si>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</si>
  <si>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</si>
  <si>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</si>
  <si>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</si>
  <si>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</si>
  <si>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</si>
  <si>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</si>
  <si>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</si>
  <si>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</si>
  <si>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</si>
  <si>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</si>
  <si>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</si>
  <si>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</si>
  <si>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</si>
  <si>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</si>
  <si>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</si>
  <si>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</si>
  <si>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</si>
  <si>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</si>
  <si>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</si>
  <si>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</si>
  <si>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</si>
  <si>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</si>
  <si>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</si>
  <si>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</si>
  <si>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</si>
  <si>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</si>
  <si>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</si>
  <si>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</si>
  <si>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</si>
  <si>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</si>
  <si>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</si>
  <si>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</si>
  <si>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</si>
  <si>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</si>
  <si>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</si>
  <si>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</si>
  <si>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</si>
  <si>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</si>
  <si>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</si>
  <si>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</si>
  <si>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</si>
  <si>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</si>
  <si>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</si>
  <si>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</si>
  <si>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</si>
  <si>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</si>
  <si>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</si>
  <si>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</si>
  <si>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</si>
  <si>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</si>
  <si>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</si>
  <si>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</si>
  <si>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</si>
  <si>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</si>
  <si>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</si>
  <si>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</si>
  <si>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</si>
  <si>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</si>
  <si>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</si>
  <si>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</si>
  <si>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</si>
  <si>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</si>
  <si>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</si>
  <si>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</si>
  <si>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</si>
  <si>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</si>
  <si>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</si>
  <si>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</si>
  <si>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</si>
  <si>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</si>
  <si>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</si>
  <si>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</si>
  <si>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</si>
  <si>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</si>
  <si>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</si>
  <si>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</si>
  <si>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</si>
  <si>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</si>
  <si>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</si>
  <si>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</si>
  <si>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</si>
  <si>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</si>
  <si>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</si>
  <si>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</si>
  <si>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</si>
  <si>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</si>
  <si>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</si>
  <si>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</si>
  <si>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</si>
  <si>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</si>
  <si>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</si>
  <si>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</si>
  <si>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</si>
  <si>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</si>
  <si>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</si>
  <si>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</si>
  <si>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</si>
  <si>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</si>
  <si>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</si>
  <si>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</si>
  <si>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</si>
  <si>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</si>
  <si>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</si>
  <si>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</si>
  <si>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</si>
  <si>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</si>
  <si>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</si>
  <si>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</si>
  <si>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</si>
  <si>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</si>
  <si>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</si>
  <si>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</si>
  <si>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</si>
  <si>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</si>
  <si>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</si>
  <si>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</si>
  <si>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</si>
  <si>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</si>
  <si>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</si>
  <si>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</si>
  <si>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</si>
  <si>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</si>
  <si>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</si>
  <si>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</si>
  <si>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</si>
  <si>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</si>
  <si>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</si>
  <si>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</si>
  <si>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</si>
  <si>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</si>
  <si>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</si>
  <si>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</si>
  <si>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</si>
  <si>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</si>
  <si>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</si>
  <si>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</si>
  <si>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</si>
  <si>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</si>
  <si>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</si>
  <si>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</si>
  <si>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</si>
  <si>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</si>
  <si>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</si>
  <si>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</si>
  <si>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</si>
  <si>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</si>
  <si>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</si>
  <si>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</si>
  <si>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</si>
  <si>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</si>
  <si>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</si>
  <si>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</si>
  <si>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</si>
  <si>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</si>
  <si>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</si>
  <si>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</si>
  <si>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</si>
  <si>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</si>
  <si>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</si>
  <si>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</si>
  <si>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</si>
  <si>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</si>
  <si>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</si>
  <si>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</si>
  <si>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</si>
  <si>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</si>
  <si>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</si>
  <si>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</si>
  <si>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</si>
  <si>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</si>
  <si>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</si>
  <si>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</si>
  <si>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</si>
  <si>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</si>
  <si>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</si>
  <si>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</si>
  <si>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</si>
  <si>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</si>
  <si>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</si>
  <si>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</si>
  <si>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</si>
  <si>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</si>
  <si>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</si>
  <si>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</si>
  <si>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</si>
  <si>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</si>
  <si>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</si>
  <si>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</si>
  <si>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</si>
  <si>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</si>
  <si>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</si>
  <si>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</si>
  <si>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</si>
  <si>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</si>
  <si>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</si>
  <si>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</si>
  <si>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</si>
  <si>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</si>
  <si>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</si>
  <si>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</si>
  <si>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</si>
  <si>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</si>
  <si>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</si>
  <si>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</si>
  <si>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</si>
  <si>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</si>
  <si>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</si>
  <si>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</si>
  <si>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</si>
  <si>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</si>
  <si>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</si>
  <si>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</si>
  <si>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</si>
  <si>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</si>
  <si>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</si>
  <si>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</si>
  <si>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</si>
  <si>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</si>
  <si>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</si>
  <si>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</si>
  <si>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</si>
  <si>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</si>
  <si>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</si>
  <si>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</si>
  <si>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</si>
  <si>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</si>
  <si>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</si>
  <si>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</si>
  <si>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</si>
  <si>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</si>
  <si>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</si>
  <si>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</si>
  <si>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</si>
  <si>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</si>
  <si>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</si>
  <si>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</si>
  <si>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</si>
  <si>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</si>
  <si>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</si>
  <si>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</si>
  <si>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</si>
  <si>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</si>
  <si>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</si>
  <si>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</si>
  <si>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</si>
  <si>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</si>
  <si>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</si>
  <si>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</si>
  <si>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</si>
  <si>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</si>
  <si>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</si>
  <si>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</si>
  <si>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</si>
  <si>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</si>
  <si>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</si>
  <si>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</si>
  <si>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</si>
  <si>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</si>
  <si>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</si>
  <si>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</si>
  <si>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</si>
  <si>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</si>
  <si>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</si>
  <si>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</si>
  <si>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</si>
  <si>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</si>
  <si>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</si>
  <si>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</si>
  <si>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</si>
  <si>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</si>
  <si>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</si>
  <si>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</si>
  <si>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</si>
  <si>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</si>
  <si>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</si>
  <si>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</si>
  <si>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</si>
  <si>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</si>
  <si>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</si>
  <si>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</si>
  <si>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</si>
  <si>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</si>
  <si>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</si>
  <si>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</si>
  <si>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</si>
  <si>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</si>
  <si>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</si>
  <si>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</si>
  <si>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</si>
  <si>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</si>
  <si>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</si>
  <si>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</si>
  <si>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</si>
  <si>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</si>
  <si>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</si>
  <si>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</si>
  <si>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</si>
  <si>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</si>
  <si>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</si>
  <si>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</si>
  <si>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</si>
  <si>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</si>
  <si>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</si>
  <si>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</si>
  <si>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</si>
  <si>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</si>
  <si>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</si>
  <si>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</si>
  <si>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</si>
  <si>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</si>
  <si>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</si>
  <si>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</si>
  <si>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</si>
  <si>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</si>
  <si>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</si>
  <si>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</si>
  <si>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</si>
  <si>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</si>
  <si>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</si>
  <si>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</si>
  <si>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</si>
  <si>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</si>
  <si>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</si>
  <si>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</si>
  <si>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</si>
  <si>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</si>
  <si>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</si>
  <si>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</si>
  <si>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</si>
  <si>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</si>
  <si>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</si>
  <si>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</si>
  <si>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</si>
  <si>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</si>
  <si>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</si>
  <si>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</si>
  <si>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</si>
  <si>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</si>
  <si>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</si>
  <si>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</si>
  <si>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</si>
  <si>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</si>
  <si>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</si>
  <si>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</si>
  <si>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</si>
  <si>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</si>
  <si>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</si>
  <si>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</si>
  <si>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</si>
  <si>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</si>
  <si>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</si>
  <si>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</si>
  <si>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</si>
  <si>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</si>
  <si>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</si>
  <si>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</si>
  <si>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</si>
  <si>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</si>
  <si>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</si>
  <si>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</si>
  <si>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</si>
  <si>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</si>
  <si>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</si>
  <si>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</si>
  <si>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</si>
  <si>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</si>
  <si>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</si>
  <si>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</si>
  <si>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</si>
  <si>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</si>
  <si>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</si>
  <si>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</si>
  <si>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</si>
  <si>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</si>
  <si>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</si>
  <si>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</si>
  <si>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</si>
  <si>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</si>
  <si>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</si>
  <si>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</si>
  <si>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</si>
  <si>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</si>
  <si>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</si>
  <si>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陈颖</t>
  </si>
  <si>
    <t>北京市</t>
  </si>
  <si>
    <t>自然人</t>
  </si>
  <si>
    <t>地上</t>
  </si>
  <si>
    <t>住宅</t>
  </si>
  <si>
    <t>是</t>
  </si>
  <si>
    <t>住宅</t>
    <phoneticPr fontId="7" type="noConversion"/>
  </si>
  <si>
    <t>成新度</t>
  </si>
  <si>
    <t>单套模式</t>
  </si>
  <si>
    <t>售价</t>
  </si>
  <si>
    <t>核定资产</t>
  </si>
  <si>
    <t>房地产市场价值</t>
  </si>
  <si>
    <r>
      <rPr>
        <sz val="10"/>
        <color theme="9" tint="-0.249977111117893"/>
        <rFont val="宋体"/>
        <family val="3"/>
        <charset val="134"/>
      </rPr>
      <t>昌平区北七家镇美树假日嘉园</t>
    </r>
    <r>
      <rPr>
        <sz val="10"/>
        <color theme="9" tint="-0.249977111117893"/>
        <rFont val="Arial"/>
        <family val="2"/>
      </rPr>
      <t>17</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t>
    </r>
    <r>
      <rPr>
        <sz val="10"/>
        <color theme="9" tint="-0.249977111117893"/>
        <rFont val="Arial"/>
        <family val="2"/>
      </rPr>
      <t>4</t>
    </r>
    <r>
      <rPr>
        <sz val="10"/>
        <color theme="9" tint="-0.249977111117893"/>
        <rFont val="宋体"/>
        <family val="3"/>
        <charset val="134"/>
      </rPr>
      <t>单元</t>
    </r>
    <r>
      <rPr>
        <sz val="10"/>
        <color theme="9" tint="-0.249977111117893"/>
        <rFont val="Arial"/>
        <family val="2"/>
      </rPr>
      <t>202</t>
    </r>
    <phoneticPr fontId="6" type="noConversion"/>
  </si>
  <si>
    <r>
      <rPr>
        <sz val="11"/>
        <color theme="9" tint="-0.249977111117893"/>
        <rFont val="宋体"/>
        <family val="3"/>
        <charset val="134"/>
      </rPr>
      <t>美树假日嘉园</t>
    </r>
    <r>
      <rPr>
        <sz val="11"/>
        <color theme="9" tint="-0.249977111117893"/>
        <rFont val="Arial"/>
        <family val="2"/>
      </rPr>
      <t>1</t>
    </r>
    <r>
      <rPr>
        <sz val="11"/>
        <color theme="9" tint="-0.249977111117893"/>
        <rFont val="宋体"/>
        <family val="3"/>
        <charset val="134"/>
      </rPr>
      <t>号楼</t>
    </r>
    <r>
      <rPr>
        <sz val="11"/>
        <color theme="9" tint="-0.249977111117893"/>
        <rFont val="Arial"/>
        <family val="2"/>
      </rPr>
      <t>3-4</t>
    </r>
    <r>
      <rPr>
        <sz val="11"/>
        <color theme="9" tint="-0.249977111117893"/>
        <rFont val="宋体"/>
        <family val="3"/>
        <charset val="134"/>
      </rPr>
      <t>层</t>
    </r>
    <phoneticPr fontId="24" type="noConversion"/>
  </si>
  <si>
    <t>美树假日嘉园23号楼3-4层</t>
    <phoneticPr fontId="3" type="noConversion"/>
  </si>
  <si>
    <t>南北西</t>
    <phoneticPr fontId="24" type="noConversion"/>
  </si>
  <si>
    <t>南北</t>
  </si>
  <si>
    <t>南北</t>
    <phoneticPr fontId="24" type="noConversion"/>
  </si>
  <si>
    <t>正常</t>
  </si>
  <si>
    <t>一般</t>
  </si>
  <si>
    <r>
      <t>3</t>
    </r>
    <r>
      <rPr>
        <sz val="11"/>
        <color indexed="8"/>
        <rFont val="宋体"/>
        <family val="3"/>
        <charset val="134"/>
      </rPr>
      <t>至</t>
    </r>
    <r>
      <rPr>
        <sz val="11"/>
        <color indexed="8"/>
        <rFont val="Arial"/>
        <family val="2"/>
      </rPr>
      <t>4</t>
    </r>
    <r>
      <rPr>
        <sz val="11"/>
        <color indexed="8"/>
        <rFont val="宋体"/>
        <family val="3"/>
        <charset val="134"/>
      </rPr>
      <t>层</t>
    </r>
    <phoneticPr fontId="24" type="noConversion"/>
  </si>
  <si>
    <t>3至4层</t>
  </si>
  <si>
    <t>钢混</t>
  </si>
  <si>
    <t>钢混</t>
    <phoneticPr fontId="24" type="noConversion"/>
  </si>
  <si>
    <t>物业公司管理</t>
    <phoneticPr fontId="24" type="noConversion"/>
  </si>
  <si>
    <t>叠拼</t>
    <phoneticPr fontId="24" type="noConversion"/>
  </si>
  <si>
    <t>普通装修</t>
  </si>
  <si>
    <t>普通装修</t>
    <phoneticPr fontId="24" type="noConversion"/>
  </si>
  <si>
    <t>简单装修</t>
  </si>
  <si>
    <t>简单装修</t>
    <phoneticPr fontId="24" type="noConversion"/>
  </si>
  <si>
    <r>
      <t>2022</t>
    </r>
    <r>
      <rPr>
        <sz val="11"/>
        <color indexed="8"/>
        <rFont val="宋体"/>
        <family val="3"/>
        <charset val="134"/>
      </rPr>
      <t>年</t>
    </r>
    <r>
      <rPr>
        <sz val="11"/>
        <color indexed="8"/>
        <rFont val="Arial"/>
        <family val="2"/>
      </rPr>
      <t>2</t>
    </r>
    <r>
      <rPr>
        <sz val="11"/>
        <color indexed="8"/>
        <rFont val="宋体"/>
        <family val="3"/>
        <charset val="134"/>
      </rPr>
      <t>月</t>
    </r>
    <phoneticPr fontId="24" type="noConversion"/>
  </si>
  <si>
    <r>
      <t>2022</t>
    </r>
    <r>
      <rPr>
        <sz val="11"/>
        <color indexed="8"/>
        <rFont val="宋体"/>
        <family val="3"/>
        <charset val="134"/>
      </rPr>
      <t>年</t>
    </r>
    <r>
      <rPr>
        <sz val="11"/>
        <color indexed="8"/>
        <rFont val="Arial"/>
        <family val="2"/>
      </rPr>
      <t>1</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</si>
  <si>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12</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</si>
  <si>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11</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</si>
  <si>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10</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</si>
  <si>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9</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</si>
  <si>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8</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</si>
  <si>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7</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</si>
  <si>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6</t>
    </r>
    <r>
      <rPr>
        <sz val="11"/>
        <color indexed="8"/>
        <rFont val="宋体"/>
        <family val="3"/>
        <charset val="134"/>
      </rPr>
      <t>月</t>
    </r>
    <phoneticPr fontId="24" type="noConversion"/>
  </si>
  <si>
    <t>3室2厅3卫1厨1储藏间无花园1（东南侧）露台无车库其他1阳光房（北侧露台）</t>
    <phoneticPr fontId="134" type="noConversion"/>
  </si>
  <si>
    <t xml:space="preserve"> 4室2厅3卫1厨无储藏间无花园无露台无车库其他1阳光房（北侧露台处）</t>
    <phoneticPr fontId="134" type="noConversion"/>
  </si>
  <si>
    <t>3室2厅3卫1厨无储藏间无花园无露台无车库其他3封闭阳台（北侧2个，南侧一个，可不附图）</t>
    <phoneticPr fontId="134" type="noConversion"/>
  </si>
  <si>
    <t>比较法-住宅</t>
  </si>
  <si>
    <t>收益法 (元)</t>
  </si>
  <si>
    <t>押一</t>
  </si>
  <si>
    <t>非生产用房</t>
  </si>
  <si>
    <t>否</t>
  </si>
  <si>
    <t>利息：取LPR加浮动点数</t>
  </si>
  <si>
    <t>成交时间</t>
    <phoneticPr fontId="134" type="noConversion"/>
  </si>
  <si>
    <t>面积</t>
    <phoneticPr fontId="134" type="noConversion"/>
  </si>
  <si>
    <t>总价</t>
    <phoneticPr fontId="134" type="noConversion"/>
  </si>
  <si>
    <t>单价</t>
    <phoneticPr fontId="134" type="noConversion"/>
  </si>
  <si>
    <t>精装修</t>
  </si>
  <si>
    <t>精装修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</si>
</sst>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1"/>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69" fillId="12" borderId="4" xfId="0" applyNumberFormat="1" applyFont="1" applyFill="1" applyBorder="1" applyAlignment="1" applyProtection="1">
      <alignment horizontal="left" vertical="center"/>
      <protection locked="0"/>
    </xf>
    <xf numFmtId="0" fontId="128" fillId="0" borderId="44" xfId="0" applyNumberFormat="1" applyFont="1" applyFill="1" applyBorder="1" applyAlignment="1" applyProtection="1">
      <alignment horizontal="center" vertical="center" wrapText="1"/>
      <protection locked="0"/>
    </xf>
    <xf numFmtId="58" fontId="44"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179" fontId="52" fillId="22" borderId="24" xfId="0" applyNumberFormat="1" applyFont="1" applyFill="1" applyBorder="1" applyAlignment="1" applyProtection="1">
      <alignment horizontal="center" vertical="center"/>
    </xf>
    <xf numFmtId="0" fontId="95" fillId="0" borderId="1" xfId="0" applyFont="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49" fontId="166" fillId="0" borderId="11" xfId="0" applyNumberFormat="1"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70"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84061</xdr:colOff>
      <xdr:row>31</xdr:row>
      <xdr:rowOff>56479</xdr:rowOff>
    </xdr:to>
    <xdr:pic>
      <xdr:nvPicPr>
        <xdr:cNvPr id="2" name="图片 1">
          <a:extLst>
            <a:ext uri="{FF2B5EF4-FFF2-40B4-BE49-F238E27FC236}">
              <a16:creationId xmlns:a16="http://schemas.microsoft.com/office/drawing/2014/main" id="{59E51758-1DD3-4E51-840A-B71AB7053AEF}"/>
            </a:ext>
          </a:extLst>
        </xdr:cNvPr>
        <xdr:cNvPicPr>
          <a:picLocks noChangeAspect="1"/>
        </xdr:cNvPicPr>
      </xdr:nvPicPr>
      <xdr:blipFill>
        <a:blip xmlns:r="http://schemas.openxmlformats.org/officeDocument/2006/relationships" r:embed="rId1"/>
        <a:stretch>
          <a:fillRect/>
        </a:stretch>
      </xdr:blipFill>
      <xdr:spPr>
        <a:xfrm>
          <a:off x="0" y="0"/>
          <a:ext cx="13314286" cy="5371429"/>
        </a:xfrm>
        <a:prstGeom prst="rect">
          <a:avLst/>
        </a:prstGeom>
      </xdr:spPr>
    </xdr:pic>
    <xdr:clientData/>
  </xdr:twoCellAnchor>
  <xdr:twoCellAnchor editAs="oneCell">
    <xdr:from>
      <xdr:col>0</xdr:col>
      <xdr:colOff>0</xdr:colOff>
      <xdr:row>32</xdr:row>
      <xdr:rowOff>0</xdr:rowOff>
    </xdr:from>
    <xdr:to>
      <xdr:col>17</xdr:col>
      <xdr:colOff>522327</xdr:colOff>
      <xdr:row>70</xdr:row>
      <xdr:rowOff>8709</xdr:rowOff>
    </xdr:to>
    <xdr:pic>
      <xdr:nvPicPr>
        <xdr:cNvPr id="3" name="图片 2">
          <a:extLst>
            <a:ext uri="{FF2B5EF4-FFF2-40B4-BE49-F238E27FC236}">
              <a16:creationId xmlns:a16="http://schemas.microsoft.com/office/drawing/2014/main" id="{63EBF220-D95A-44F2-A8B9-49D6059889E3}"/>
            </a:ext>
          </a:extLst>
        </xdr:cNvPr>
        <xdr:cNvPicPr>
          <a:picLocks noChangeAspect="1"/>
        </xdr:cNvPicPr>
      </xdr:nvPicPr>
      <xdr:blipFill>
        <a:blip xmlns:r="http://schemas.openxmlformats.org/officeDocument/2006/relationships" r:embed="rId2"/>
        <a:stretch>
          <a:fillRect/>
        </a:stretch>
      </xdr:blipFill>
      <xdr:spPr>
        <a:xfrm>
          <a:off x="0" y="5486400"/>
          <a:ext cx="12380952" cy="6523809"/>
        </a:xfrm>
        <a:prstGeom prst="rect">
          <a:avLst/>
        </a:prstGeom>
      </xdr:spPr>
    </xdr:pic>
    <xdr:clientData/>
  </xdr:twoCellAnchor>
  <xdr:twoCellAnchor editAs="oneCell">
    <xdr:from>
      <xdr:col>0</xdr:col>
      <xdr:colOff>0</xdr:colOff>
      <xdr:row>70</xdr:row>
      <xdr:rowOff>0</xdr:rowOff>
    </xdr:from>
    <xdr:to>
      <xdr:col>17</xdr:col>
      <xdr:colOff>493756</xdr:colOff>
      <xdr:row>106</xdr:row>
      <xdr:rowOff>56371</xdr:rowOff>
    </xdr:to>
    <xdr:pic>
      <xdr:nvPicPr>
        <xdr:cNvPr id="4" name="图片 3">
          <a:extLst>
            <a:ext uri="{FF2B5EF4-FFF2-40B4-BE49-F238E27FC236}">
              <a16:creationId xmlns:a16="http://schemas.microsoft.com/office/drawing/2014/main" id="{00978833-BC13-4C29-83E7-1CE6DA00D4EC}"/>
            </a:ext>
          </a:extLst>
        </xdr:cNvPr>
        <xdr:cNvPicPr>
          <a:picLocks noChangeAspect="1"/>
        </xdr:cNvPicPr>
      </xdr:nvPicPr>
      <xdr:blipFill>
        <a:blip xmlns:r="http://schemas.openxmlformats.org/officeDocument/2006/relationships" r:embed="rId3"/>
        <a:stretch>
          <a:fillRect/>
        </a:stretch>
      </xdr:blipFill>
      <xdr:spPr>
        <a:xfrm>
          <a:off x="0" y="12001500"/>
          <a:ext cx="12352381" cy="6228571"/>
        </a:xfrm>
        <a:prstGeom prst="rect">
          <a:avLst/>
        </a:prstGeom>
      </xdr:spPr>
    </xdr:pic>
    <xdr:clientData/>
  </xdr:twoCellAnchor>
  <xdr:twoCellAnchor editAs="oneCell">
    <xdr:from>
      <xdr:col>0</xdr:col>
      <xdr:colOff>0</xdr:colOff>
      <xdr:row>107</xdr:row>
      <xdr:rowOff>0</xdr:rowOff>
    </xdr:from>
    <xdr:to>
      <xdr:col>18</xdr:col>
      <xdr:colOff>7956</xdr:colOff>
      <xdr:row>144</xdr:row>
      <xdr:rowOff>132540</xdr:rowOff>
    </xdr:to>
    <xdr:pic>
      <xdr:nvPicPr>
        <xdr:cNvPr id="5" name="图片 4">
          <a:extLst>
            <a:ext uri="{FF2B5EF4-FFF2-40B4-BE49-F238E27FC236}">
              <a16:creationId xmlns:a16="http://schemas.microsoft.com/office/drawing/2014/main" id="{A8535D20-3F8B-493D-8B3A-B449B0599858}"/>
            </a:ext>
          </a:extLst>
        </xdr:cNvPr>
        <xdr:cNvPicPr>
          <a:picLocks noChangeAspect="1"/>
        </xdr:cNvPicPr>
      </xdr:nvPicPr>
      <xdr:blipFill>
        <a:blip xmlns:r="http://schemas.openxmlformats.org/officeDocument/2006/relationships" r:embed="rId4"/>
        <a:stretch>
          <a:fillRect/>
        </a:stretch>
      </xdr:blipFill>
      <xdr:spPr>
        <a:xfrm>
          <a:off x="0" y="18345150"/>
          <a:ext cx="12552381" cy="6476190"/>
        </a:xfrm>
        <a:prstGeom prst="rect">
          <a:avLst/>
        </a:prstGeom>
      </xdr:spPr>
    </xdr:pic>
    <xdr:clientData/>
  </xdr:twoCellAnchor>
  <xdr:twoCellAnchor editAs="oneCell">
    <xdr:from>
      <xdr:col>0</xdr:col>
      <xdr:colOff>0</xdr:colOff>
      <xdr:row>145</xdr:row>
      <xdr:rowOff>123825</xdr:rowOff>
    </xdr:from>
    <xdr:to>
      <xdr:col>11</xdr:col>
      <xdr:colOff>332390</xdr:colOff>
      <xdr:row>154</xdr:row>
      <xdr:rowOff>123632</xdr:rowOff>
    </xdr:to>
    <xdr:pic>
      <xdr:nvPicPr>
        <xdr:cNvPr id="6" name="图片 5">
          <a:extLst>
            <a:ext uri="{FF2B5EF4-FFF2-40B4-BE49-F238E27FC236}">
              <a16:creationId xmlns:a16="http://schemas.microsoft.com/office/drawing/2014/main" id="{6E8A23D0-E2BC-4683-9702-94C5C19AA492}"/>
            </a:ext>
          </a:extLst>
        </xdr:cNvPr>
        <xdr:cNvPicPr>
          <a:picLocks noChangeAspect="1"/>
        </xdr:cNvPicPr>
      </xdr:nvPicPr>
      <xdr:blipFill>
        <a:blip xmlns:r="http://schemas.openxmlformats.org/officeDocument/2006/relationships" r:embed="rId5"/>
        <a:stretch>
          <a:fillRect/>
        </a:stretch>
      </xdr:blipFill>
      <xdr:spPr>
        <a:xfrm>
          <a:off x="0" y="24984075"/>
          <a:ext cx="7876190" cy="1542857"/>
        </a:xfrm>
        <a:prstGeom prst="rect">
          <a:avLst/>
        </a:prstGeom>
      </xdr:spPr>
    </xdr:pic>
    <xdr:clientData/>
  </xdr:twoCellAnchor>
  <xdr:twoCellAnchor editAs="oneCell">
    <xdr:from>
      <xdr:col>0</xdr:col>
      <xdr:colOff>0</xdr:colOff>
      <xdr:row>157</xdr:row>
      <xdr:rowOff>0</xdr:rowOff>
    </xdr:from>
    <xdr:to>
      <xdr:col>14</xdr:col>
      <xdr:colOff>227371</xdr:colOff>
      <xdr:row>187</xdr:row>
      <xdr:rowOff>85071</xdr:rowOff>
    </xdr:to>
    <xdr:pic>
      <xdr:nvPicPr>
        <xdr:cNvPr id="7" name="图片 6">
          <a:extLst>
            <a:ext uri="{FF2B5EF4-FFF2-40B4-BE49-F238E27FC236}">
              <a16:creationId xmlns:a16="http://schemas.microsoft.com/office/drawing/2014/main" id="{0244480C-8FE6-4A83-A932-418449881CB2}"/>
            </a:ext>
          </a:extLst>
        </xdr:cNvPr>
        <xdr:cNvPicPr>
          <a:picLocks noChangeAspect="1"/>
        </xdr:cNvPicPr>
      </xdr:nvPicPr>
      <xdr:blipFill>
        <a:blip xmlns:r="http://schemas.openxmlformats.org/officeDocument/2006/relationships" r:embed="rId6"/>
        <a:stretch>
          <a:fillRect/>
        </a:stretch>
      </xdr:blipFill>
      <xdr:spPr>
        <a:xfrm>
          <a:off x="0" y="26917650"/>
          <a:ext cx="9828571" cy="5228571"/>
        </a:xfrm>
        <a:prstGeom prst="rect">
          <a:avLst/>
        </a:prstGeom>
      </xdr:spPr>
    </xdr:pic>
    <xdr:clientData/>
  </xdr:twoCellAnchor>
  <xdr:twoCellAnchor editAs="oneCell">
    <xdr:from>
      <xdr:col>0</xdr:col>
      <xdr:colOff>0</xdr:colOff>
      <xdr:row>188</xdr:row>
      <xdr:rowOff>0</xdr:rowOff>
    </xdr:from>
    <xdr:to>
      <xdr:col>14</xdr:col>
      <xdr:colOff>94038</xdr:colOff>
      <xdr:row>218</xdr:row>
      <xdr:rowOff>46976</xdr:rowOff>
    </xdr:to>
    <xdr:pic>
      <xdr:nvPicPr>
        <xdr:cNvPr id="8" name="图片 7">
          <a:extLst>
            <a:ext uri="{FF2B5EF4-FFF2-40B4-BE49-F238E27FC236}">
              <a16:creationId xmlns:a16="http://schemas.microsoft.com/office/drawing/2014/main" id="{6C0DC2D3-F7E4-4BDE-BCB7-F583CFF9F558}"/>
            </a:ext>
          </a:extLst>
        </xdr:cNvPr>
        <xdr:cNvPicPr>
          <a:picLocks noChangeAspect="1"/>
        </xdr:cNvPicPr>
      </xdr:nvPicPr>
      <xdr:blipFill>
        <a:blip xmlns:r="http://schemas.openxmlformats.org/officeDocument/2006/relationships" r:embed="rId7"/>
        <a:stretch>
          <a:fillRect/>
        </a:stretch>
      </xdr:blipFill>
      <xdr:spPr>
        <a:xfrm>
          <a:off x="0" y="32232600"/>
          <a:ext cx="9695238" cy="5190476"/>
        </a:xfrm>
        <a:prstGeom prst="rect">
          <a:avLst/>
        </a:prstGeom>
      </xdr:spPr>
    </xdr:pic>
    <xdr:clientData/>
  </xdr:twoCellAnchor>
  <xdr:twoCellAnchor editAs="oneCell">
    <xdr:from>
      <xdr:col>0</xdr:col>
      <xdr:colOff>0</xdr:colOff>
      <xdr:row>219</xdr:row>
      <xdr:rowOff>0</xdr:rowOff>
    </xdr:from>
    <xdr:to>
      <xdr:col>14</xdr:col>
      <xdr:colOff>779752</xdr:colOff>
      <xdr:row>249</xdr:row>
      <xdr:rowOff>56500</xdr:rowOff>
    </xdr:to>
    <xdr:pic>
      <xdr:nvPicPr>
        <xdr:cNvPr id="9" name="图片 8">
          <a:extLst>
            <a:ext uri="{FF2B5EF4-FFF2-40B4-BE49-F238E27FC236}">
              <a16:creationId xmlns:a16="http://schemas.microsoft.com/office/drawing/2014/main" id="{58F80BB6-2698-4127-B6BC-57B1FEDC2FD6}"/>
            </a:ext>
          </a:extLst>
        </xdr:cNvPr>
        <xdr:cNvPicPr>
          <a:picLocks noChangeAspect="1"/>
        </xdr:cNvPicPr>
      </xdr:nvPicPr>
      <xdr:blipFill>
        <a:blip xmlns:r="http://schemas.openxmlformats.org/officeDocument/2006/relationships" r:embed="rId8"/>
        <a:stretch>
          <a:fillRect/>
        </a:stretch>
      </xdr:blipFill>
      <xdr:spPr>
        <a:xfrm>
          <a:off x="0" y="37547550"/>
          <a:ext cx="10380952" cy="5200000"/>
        </a:xfrm>
        <a:prstGeom prst="rect">
          <a:avLst/>
        </a:prstGeom>
      </xdr:spPr>
    </xdr:pic>
    <xdr:clientData/>
  </xdr:twoCellAnchor>
  <xdr:twoCellAnchor editAs="oneCell">
    <xdr:from>
      <xdr:col>14</xdr:col>
      <xdr:colOff>123825</xdr:colOff>
      <xdr:row>162</xdr:row>
      <xdr:rowOff>19050</xdr:rowOff>
    </xdr:from>
    <xdr:to>
      <xdr:col>23</xdr:col>
      <xdr:colOff>389695</xdr:colOff>
      <xdr:row>184</xdr:row>
      <xdr:rowOff>161436</xdr:rowOff>
    </xdr:to>
    <xdr:pic>
      <xdr:nvPicPr>
        <xdr:cNvPr id="10" name="图片 9">
          <a:extLst>
            <a:ext uri="{FF2B5EF4-FFF2-40B4-BE49-F238E27FC236}">
              <a16:creationId xmlns:a16="http://schemas.microsoft.com/office/drawing/2014/main" id="{3E14DFDA-E7C6-47D2-922A-DFEB77B6575E}"/>
            </a:ext>
          </a:extLst>
        </xdr:cNvPr>
        <xdr:cNvPicPr>
          <a:picLocks noChangeAspect="1"/>
        </xdr:cNvPicPr>
      </xdr:nvPicPr>
      <xdr:blipFill>
        <a:blip xmlns:r="http://schemas.openxmlformats.org/officeDocument/2006/relationships" r:embed="rId9"/>
        <a:stretch>
          <a:fillRect/>
        </a:stretch>
      </xdr:blipFill>
      <xdr:spPr>
        <a:xfrm>
          <a:off x="9725025" y="27793950"/>
          <a:ext cx="6638095" cy="3914286"/>
        </a:xfrm>
        <a:prstGeom prst="rect">
          <a:avLst/>
        </a:prstGeom>
      </xdr:spPr>
    </xdr:pic>
    <xdr:clientData/>
  </xdr:twoCellAnchor>
  <xdr:twoCellAnchor editAs="oneCell">
    <xdr:from>
      <xdr:col>14</xdr:col>
      <xdr:colOff>28575</xdr:colOff>
      <xdr:row>188</xdr:row>
      <xdr:rowOff>0</xdr:rowOff>
    </xdr:from>
    <xdr:to>
      <xdr:col>22</xdr:col>
      <xdr:colOff>599293</xdr:colOff>
      <xdr:row>210</xdr:row>
      <xdr:rowOff>132862</xdr:rowOff>
    </xdr:to>
    <xdr:pic>
      <xdr:nvPicPr>
        <xdr:cNvPr id="11" name="图片 10">
          <a:extLst>
            <a:ext uri="{FF2B5EF4-FFF2-40B4-BE49-F238E27FC236}">
              <a16:creationId xmlns:a16="http://schemas.microsoft.com/office/drawing/2014/main" id="{A836E3DB-F1B6-4FDB-BF08-6301C6411BC8}"/>
            </a:ext>
          </a:extLst>
        </xdr:cNvPr>
        <xdr:cNvPicPr>
          <a:picLocks noChangeAspect="1"/>
        </xdr:cNvPicPr>
      </xdr:nvPicPr>
      <xdr:blipFill>
        <a:blip xmlns:r="http://schemas.openxmlformats.org/officeDocument/2006/relationships" r:embed="rId10"/>
        <a:stretch>
          <a:fillRect/>
        </a:stretch>
      </xdr:blipFill>
      <xdr:spPr>
        <a:xfrm>
          <a:off x="9629775" y="32232600"/>
          <a:ext cx="6257143" cy="3904762"/>
        </a:xfrm>
        <a:prstGeom prst="rect">
          <a:avLst/>
        </a:prstGeom>
      </xdr:spPr>
    </xdr:pic>
    <xdr:clientData/>
  </xdr:twoCellAnchor>
  <xdr:twoCellAnchor editAs="oneCell">
    <xdr:from>
      <xdr:col>14</xdr:col>
      <xdr:colOff>495300</xdr:colOff>
      <xdr:row>222</xdr:row>
      <xdr:rowOff>76200</xdr:rowOff>
    </xdr:from>
    <xdr:to>
      <xdr:col>23</xdr:col>
      <xdr:colOff>342123</xdr:colOff>
      <xdr:row>244</xdr:row>
      <xdr:rowOff>142395</xdr:rowOff>
    </xdr:to>
    <xdr:pic>
      <xdr:nvPicPr>
        <xdr:cNvPr id="12" name="图片 11">
          <a:extLst>
            <a:ext uri="{FF2B5EF4-FFF2-40B4-BE49-F238E27FC236}">
              <a16:creationId xmlns:a16="http://schemas.microsoft.com/office/drawing/2014/main" id="{63F3F3F2-74D3-4167-90B6-E054B83E065B}"/>
            </a:ext>
          </a:extLst>
        </xdr:cNvPr>
        <xdr:cNvPicPr>
          <a:picLocks noChangeAspect="1"/>
        </xdr:cNvPicPr>
      </xdr:nvPicPr>
      <xdr:blipFill>
        <a:blip xmlns:r="http://schemas.openxmlformats.org/officeDocument/2006/relationships" r:embed="rId11"/>
        <a:stretch>
          <a:fillRect/>
        </a:stretch>
      </xdr:blipFill>
      <xdr:spPr>
        <a:xfrm>
          <a:off x="10096500" y="38138100"/>
          <a:ext cx="6219048" cy="3838095"/>
        </a:xfrm>
        <a:prstGeom prst="rect">
          <a:avLst/>
        </a:prstGeom>
      </xdr:spPr>
    </xdr:pic>
    <xdr:clientData/>
  </xdr:twoCellAnchor>
  <xdr:twoCellAnchor editAs="oneCell">
    <xdr:from>
      <xdr:col>14</xdr:col>
      <xdr:colOff>76200</xdr:colOff>
      <xdr:row>203</xdr:row>
      <xdr:rowOff>123825</xdr:rowOff>
    </xdr:from>
    <xdr:to>
      <xdr:col>18</xdr:col>
      <xdr:colOff>199642</xdr:colOff>
      <xdr:row>217</xdr:row>
      <xdr:rowOff>104477</xdr:rowOff>
    </xdr:to>
    <xdr:pic>
      <xdr:nvPicPr>
        <xdr:cNvPr id="13" name="图片 12">
          <a:extLst>
            <a:ext uri="{FF2B5EF4-FFF2-40B4-BE49-F238E27FC236}">
              <a16:creationId xmlns:a16="http://schemas.microsoft.com/office/drawing/2014/main" id="{CE543691-1143-4D08-AB00-08615E2E6A64}"/>
            </a:ext>
          </a:extLst>
        </xdr:cNvPr>
        <xdr:cNvPicPr>
          <a:picLocks noChangeAspect="1"/>
        </xdr:cNvPicPr>
      </xdr:nvPicPr>
      <xdr:blipFill>
        <a:blip xmlns:r="http://schemas.openxmlformats.org/officeDocument/2006/relationships" r:embed="rId12"/>
        <a:stretch>
          <a:fillRect/>
        </a:stretch>
      </xdr:blipFill>
      <xdr:spPr>
        <a:xfrm>
          <a:off x="9677400" y="34928175"/>
          <a:ext cx="3066667" cy="2380952"/>
        </a:xfrm>
        <a:prstGeom prst="rect">
          <a:avLst/>
        </a:prstGeom>
      </xdr:spPr>
    </xdr:pic>
    <xdr:clientData/>
  </xdr:twoCellAnchor>
  <xdr:twoCellAnchor editAs="oneCell">
    <xdr:from>
      <xdr:col>19</xdr:col>
      <xdr:colOff>0</xdr:colOff>
      <xdr:row>211</xdr:row>
      <xdr:rowOff>0</xdr:rowOff>
    </xdr:from>
    <xdr:to>
      <xdr:col>23</xdr:col>
      <xdr:colOff>275848</xdr:colOff>
      <xdr:row>217</xdr:row>
      <xdr:rowOff>47490</xdr:rowOff>
    </xdr:to>
    <xdr:pic>
      <xdr:nvPicPr>
        <xdr:cNvPr id="14" name="图片 13">
          <a:extLst>
            <a:ext uri="{FF2B5EF4-FFF2-40B4-BE49-F238E27FC236}">
              <a16:creationId xmlns:a16="http://schemas.microsoft.com/office/drawing/2014/main" id="{8DEF87AE-1A53-4F3D-B914-5A735FC33BE6}"/>
            </a:ext>
          </a:extLst>
        </xdr:cNvPr>
        <xdr:cNvPicPr>
          <a:picLocks noChangeAspect="1"/>
        </xdr:cNvPicPr>
      </xdr:nvPicPr>
      <xdr:blipFill>
        <a:blip xmlns:r="http://schemas.openxmlformats.org/officeDocument/2006/relationships" r:embed="rId13"/>
        <a:stretch>
          <a:fillRect/>
        </a:stretch>
      </xdr:blipFill>
      <xdr:spPr>
        <a:xfrm>
          <a:off x="13030200" y="36175950"/>
          <a:ext cx="3019048" cy="1076190"/>
        </a:xfrm>
        <a:prstGeom prst="rect">
          <a:avLst/>
        </a:prstGeom>
      </xdr:spPr>
    </xdr:pic>
    <xdr:clientData/>
  </xdr:twoCellAnchor>
  <xdr:twoCellAnchor editAs="oneCell">
    <xdr:from>
      <xdr:col>19</xdr:col>
      <xdr:colOff>0</xdr:colOff>
      <xdr:row>211</xdr:row>
      <xdr:rowOff>0</xdr:rowOff>
    </xdr:from>
    <xdr:to>
      <xdr:col>23</xdr:col>
      <xdr:colOff>352038</xdr:colOff>
      <xdr:row>222</xdr:row>
      <xdr:rowOff>104526</xdr:rowOff>
    </xdr:to>
    <xdr:pic>
      <xdr:nvPicPr>
        <xdr:cNvPr id="15" name="图片 14">
          <a:extLst>
            <a:ext uri="{FF2B5EF4-FFF2-40B4-BE49-F238E27FC236}">
              <a16:creationId xmlns:a16="http://schemas.microsoft.com/office/drawing/2014/main" id="{9F754FF9-A435-4132-A46C-BF2F074F2F3F}"/>
            </a:ext>
          </a:extLst>
        </xdr:cNvPr>
        <xdr:cNvPicPr>
          <a:picLocks noChangeAspect="1"/>
        </xdr:cNvPicPr>
      </xdr:nvPicPr>
      <xdr:blipFill>
        <a:blip xmlns:r="http://schemas.openxmlformats.org/officeDocument/2006/relationships" r:embed="rId14"/>
        <a:stretch>
          <a:fillRect/>
        </a:stretch>
      </xdr:blipFill>
      <xdr:spPr>
        <a:xfrm>
          <a:off x="13030200" y="36175950"/>
          <a:ext cx="3095238" cy="1990476"/>
        </a:xfrm>
        <a:prstGeom prst="rect">
          <a:avLst/>
        </a:prstGeom>
      </xdr:spPr>
    </xdr:pic>
    <xdr:clientData/>
  </xdr:twoCellAnchor>
  <xdr:twoCellAnchor editAs="oneCell">
    <xdr:from>
      <xdr:col>14</xdr:col>
      <xdr:colOff>95250</xdr:colOff>
      <xdr:row>175</xdr:row>
      <xdr:rowOff>161925</xdr:rowOff>
    </xdr:from>
    <xdr:to>
      <xdr:col>18</xdr:col>
      <xdr:colOff>275834</xdr:colOff>
      <xdr:row>186</xdr:row>
      <xdr:rowOff>56927</xdr:rowOff>
    </xdr:to>
    <xdr:pic>
      <xdr:nvPicPr>
        <xdr:cNvPr id="16" name="图片 15">
          <a:extLst>
            <a:ext uri="{FF2B5EF4-FFF2-40B4-BE49-F238E27FC236}">
              <a16:creationId xmlns:a16="http://schemas.microsoft.com/office/drawing/2014/main" id="{02F15A7B-76D1-4A41-81A1-92839D6C48C6}"/>
            </a:ext>
          </a:extLst>
        </xdr:cNvPr>
        <xdr:cNvPicPr>
          <a:picLocks noChangeAspect="1"/>
        </xdr:cNvPicPr>
      </xdr:nvPicPr>
      <xdr:blipFill>
        <a:blip xmlns:r="http://schemas.openxmlformats.org/officeDocument/2006/relationships" r:embed="rId15"/>
        <a:stretch>
          <a:fillRect/>
        </a:stretch>
      </xdr:blipFill>
      <xdr:spPr>
        <a:xfrm>
          <a:off x="9696450" y="30165675"/>
          <a:ext cx="3123809" cy="1780952"/>
        </a:xfrm>
        <a:prstGeom prst="rect">
          <a:avLst/>
        </a:prstGeom>
      </xdr:spPr>
    </xdr:pic>
    <xdr:clientData/>
  </xdr:twoCellAnchor>
  <xdr:twoCellAnchor editAs="oneCell">
    <xdr:from>
      <xdr:col>0</xdr:col>
      <xdr:colOff>0</xdr:colOff>
      <xdr:row>251</xdr:row>
      <xdr:rowOff>0</xdr:rowOff>
    </xdr:from>
    <xdr:to>
      <xdr:col>9</xdr:col>
      <xdr:colOff>608752</xdr:colOff>
      <xdr:row>270</xdr:row>
      <xdr:rowOff>47212</xdr:rowOff>
    </xdr:to>
    <xdr:pic>
      <xdr:nvPicPr>
        <xdr:cNvPr id="17" name="图片 16">
          <a:extLst>
            <a:ext uri="{FF2B5EF4-FFF2-40B4-BE49-F238E27FC236}">
              <a16:creationId xmlns:a16="http://schemas.microsoft.com/office/drawing/2014/main" id="{8EC5A53E-A7DB-449F-A062-9690337B6AAD}"/>
            </a:ext>
          </a:extLst>
        </xdr:cNvPr>
        <xdr:cNvPicPr>
          <a:picLocks noChangeAspect="1"/>
        </xdr:cNvPicPr>
      </xdr:nvPicPr>
      <xdr:blipFill>
        <a:blip xmlns:r="http://schemas.openxmlformats.org/officeDocument/2006/relationships" r:embed="rId16"/>
        <a:stretch>
          <a:fillRect/>
        </a:stretch>
      </xdr:blipFill>
      <xdr:spPr>
        <a:xfrm>
          <a:off x="0" y="43033950"/>
          <a:ext cx="6780952" cy="3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北京市昌平区北七家镇美树假日嘉园17号楼3至4层4单元202房地产市场价值预评估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受贵公司委托，我公司对北京市昌平区北七家镇美树假日嘉园17号楼3至4层4单元202房地产市场价值进行了预评估。</v>
      </c>
    </row>
    <row r="7" spans="1:2" s="1203" customFormat="1">
      <c r="A7" s="1201" t="s">
        <v>566</v>
      </c>
      <c r="B7" s="1202" t="str">
        <f>'预评函-1'!A7</f>
        <v>估价对象为北京市昌平区北七家镇美树假日嘉园17号楼3至4层4单元202房地产，为所有。根据《国有土地使用证》[]，估价对象（分摊）出让国有建设用地使用权面积为0平方米，建筑面积为172.33平方米。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北七家镇美树假日嘉园17号楼3至4层4单元202房地产,属开发建设的，该项目尚在开发建设中。根据《国有土地使用证》[]，估价对象（分摊）出让国有建设用地使用权面积为0平方米，规划建筑面积为172.33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2023年3月29日（评估专业人员实地查勘之日）</v>
      </c>
    </row>
    <row r="13" spans="1:2" s="1203" customFormat="1">
      <c r="A13" s="1201" t="s">
        <v>529</v>
      </c>
      <c r="B13" s="1202" t="str">
        <f>'预评函-1'!A18</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北京市昌平区北七家镇美树假日嘉园17号楼3至4层4单元202房地产</v>
      </c>
    </row>
    <row r="42" spans="1:2" s="1203" customFormat="1">
      <c r="A42" s="1201" t="s">
        <v>590</v>
      </c>
      <c r="B42" s="1202" t="str">
        <f>'预评函-3'!B2</f>
        <v>建筑面积</v>
      </c>
    </row>
    <row r="43" spans="1:2" s="1203" customFormat="1">
      <c r="A43" s="1201" t="s">
        <v>591</v>
      </c>
      <c r="B43" s="1202">
        <f>'预评函-3'!B4</f>
        <v>172.33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七家镇美树假日嘉园17号楼3至4层4单元202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9" t="s">
        <v>2583</v>
      </c>
      <c r="J2" s="3499"/>
      <c r="K2" s="3499"/>
      <c r="L2" s="3499"/>
      <c r="M2" s="3499"/>
      <c r="N2" s="3499"/>
      <c r="O2" s="3499"/>
      <c r="P2" s="3499"/>
      <c r="Q2" s="3499"/>
      <c r="R2" s="3499"/>
    </row>
    <row r="3" spans="1:18">
      <c r="A3" s="3019" t="s">
        <v>2504</v>
      </c>
      <c r="B3" s="3020">
        <f>项目基本情况!D3</f>
        <v>45014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3.72</v>
      </c>
      <c r="D5" s="3024">
        <f>IF(ISERROR(ROUND(POWER(1+E5,A5-C5)*(POWER(1+E5,C5)-1)/(POWER(1+E5,A5)-1),3)),0,ROUND(POWER(1+E5,A5-C5)*(POWER(1+E5,C5)-1)/(POWER(1+E5,A5)-1),4))</f>
        <v>0.17150000000000001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13.73</v>
      </c>
      <c r="D6" s="3024">
        <f>IF(ISERROR(ROUND(POWER(1+E6,A6-C6)*(POWER(1+E6,C6)-1)/(POWER(1+E6,A6)-1),3)),0,ROUND(POWER(1+E6,A6-C6)*(POWER(1+E6,C6)-1)/(POWER(1+E6,A6)-1),4))</f>
        <v>0.48459999999999998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33.75</v>
      </c>
      <c r="D7" s="3024">
        <f>IF(ISERROR(ROUND(POWER(1+E7,A7-C7)*(POWER(1+E7,C7)-1)/(POWER(1+E7,A7)-1),3)),0,ROUND(POWER(1+E7,A7-C7)*(POWER(1+E7,C7)-1)/(POWER(1+E7,A7)-1),4))</f>
        <v>0.78420000000000001</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80" zoomScaleNormal="100" zoomScaleSheetLayoutView="80" workbookViewId="0">
      <selection activeCell="H29" sqref="H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北京市昌平区北七家镇美树假日嘉园17号楼3至4层4单元202房地产市场价值预评估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北京市昌平区北七家镇美树假日嘉园17号楼3至4层4单元202房地产市场价值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北京市昌平区北七家镇美树假日嘉园17号楼3至4层4单元202房地产</v>
      </c>
      <c r="T2" s="1745"/>
      <c r="U2" s="1745"/>
      <c r="V2" s="1745"/>
      <c r="W2" s="1745"/>
      <c r="X2" s="1745"/>
      <c r="Y2" s="1745"/>
      <c r="Z2" s="1745"/>
      <c r="AA2" s="1745"/>
      <c r="AB2" s="1745"/>
    </row>
    <row r="3" spans="1:30">
      <c r="A3" s="302" t="s">
        <v>2170</v>
      </c>
      <c r="B3" s="2373">
        <v>45014</v>
      </c>
      <c r="C3" s="2374" t="s">
        <v>2171</v>
      </c>
      <c r="D3" s="2373">
        <f>B3</f>
        <v>45014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3378</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3388</v>
      </c>
      <c r="C8" s="2390"/>
      <c r="D8" s="3503" t="s">
        <v>2177</v>
      </c>
      <c r="E8" s="2391"/>
      <c r="F8" s="2392"/>
      <c r="G8" s="2663"/>
      <c r="H8" s="2663"/>
      <c r="I8" s="2663"/>
      <c r="J8" s="2439"/>
      <c r="K8" s="2614"/>
      <c r="L8" s="2613"/>
      <c r="M8" s="2613"/>
      <c r="N8" s="2439"/>
      <c r="O8" s="2450"/>
      <c r="P8" s="2439"/>
      <c r="Q8" s="2439"/>
      <c r="R8" s="2439"/>
    </row>
    <row r="9" spans="1:30" ht="13.5" thickBot="1">
      <c r="A9" s="2393" t="s">
        <v>2178</v>
      </c>
      <c r="B9" s="2394" t="s">
        <v>3389</v>
      </c>
      <c r="C9" s="2395"/>
      <c r="D9" s="3504"/>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3449" t="s">
        <v>3390</v>
      </c>
      <c r="G10" s="2666"/>
      <c r="H10" s="2667"/>
      <c r="I10" s="2668"/>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2579</v>
      </c>
      <c r="J12" s="3061"/>
      <c r="K12" s="2613"/>
      <c r="L12" s="2613"/>
      <c r="M12" s="2439"/>
      <c r="N12" s="2450"/>
      <c r="O12" s="2439"/>
      <c r="P12" s="2439"/>
      <c r="Q12" s="2439"/>
      <c r="AD12" s="1745"/>
    </row>
    <row r="13" spans="1:30">
      <c r="A13" s="3422" t="s">
        <v>3337</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v>70</v>
      </c>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172.33</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288</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172.33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172.33</v>
      </c>
      <c r="H5" s="13">
        <f t="shared" ref="H5:AT5" si="0">SUM(H13:H656)</f>
        <v>172.33</v>
      </c>
      <c r="I5" s="13">
        <f t="shared" si="0"/>
        <v>172.33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172.33</v>
      </c>
      <c r="BA5" s="15">
        <f t="shared" si="1"/>
        <v>172.33</v>
      </c>
      <c r="BB5" s="15">
        <f t="shared" si="1"/>
        <v>172.33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172.33</v>
      </c>
      <c r="H13" s="17">
        <f>SUMIF(I$12:AB$12,"总值",I13:AB13)</f>
        <v>172.33</v>
      </c>
      <c r="I13" s="1626">
        <v>172.33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172.33</v>
      </c>
      <c r="BA13" s="13">
        <f>SUM(BB13:BK13)</f>
        <v>172.33</v>
      </c>
      <c r="BB13" s="13">
        <f>IF($D13="是",I13-J13,0)</f>
        <v>172.33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9"/>
      <c r="G2" s="2650"/>
      <c r="H2" s="2651"/>
      <c r="I2" s="2325" t="s">
        <v>1132</v>
      </c>
      <c r="J2" s="2659"/>
      <c r="K2" s="2659"/>
      <c r="L2" s="2659"/>
      <c r="M2" s="2659"/>
      <c r="N2" s="2661"/>
      <c r="O2" s="2659"/>
      <c r="P2" s="2659"/>
    </row>
    <row r="3" spans="1:16" ht="15.75" thickBot="1">
      <c r="A3" s="3540" t="s">
        <v>1105</v>
      </c>
      <c r="B3" s="3540"/>
      <c r="C3" s="3540"/>
      <c r="D3" s="43">
        <f>'数据-基础表'!AY6</f>
        <v>0</v>
      </c>
      <c r="E3" s="43">
        <f>'数据-基础表'!AZ5</f>
        <v>172.33</v>
      </c>
      <c r="F3" s="2659"/>
      <c r="G3" s="1145"/>
      <c r="H3" s="1026" t="s">
        <v>1106</v>
      </c>
      <c r="I3" s="855" t="e">
        <f>ROUND('数据-基础表'!B3/'数据-基础表'!A3,2)</f>
        <v>#DIV/0!</v>
      </c>
      <c r="J3" s="2659"/>
      <c r="K3" s="2659"/>
      <c r="L3" s="2659"/>
      <c r="M3" s="2659"/>
      <c r="N3" s="2661"/>
      <c r="O3" s="2659"/>
      <c r="P3" s="2659"/>
    </row>
    <row r="4" spans="1:16" ht="15">
      <c r="A4" s="3541"/>
      <c r="B4" s="3542"/>
      <c r="C4" s="354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4" t="s">
        <v>1110</v>
      </c>
      <c r="C5" s="3544"/>
      <c r="D5" s="45">
        <f>ROUND($D$3*E5/$E$3,2)</f>
        <v>0</v>
      </c>
      <c r="E5" s="46">
        <f>SUMIF('数据-基础表'!$11:$11,"住宅",'数据-基础表'!$5:$5)</f>
        <v>172.33</v>
      </c>
      <c r="F5" s="2659"/>
      <c r="G5" s="1145"/>
      <c r="H5" s="1026" t="s">
        <v>1106</v>
      </c>
      <c r="I5" s="855" t="e">
        <f>ROUND(E31/D31,2)</f>
        <v>#DIV/0!</v>
      </c>
      <c r="J5" s="2659"/>
      <c r="K5" s="2659"/>
      <c r="L5" s="2659"/>
      <c r="M5" s="2659"/>
      <c r="N5" s="2659"/>
      <c r="O5" s="2659"/>
      <c r="P5" s="2659"/>
    </row>
    <row r="6" spans="1:16" ht="15" thickBot="1">
      <c r="A6" s="1644"/>
      <c r="B6" s="3544" t="s">
        <v>1111</v>
      </c>
      <c r="C6" s="3544"/>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36"/>
      <c r="B7" s="3537"/>
      <c r="C7" s="353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172.33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172.33</v>
      </c>
      <c r="F16" s="2659"/>
      <c r="G16" s="2660"/>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3384</v>
      </c>
      <c r="D19" s="45">
        <f>ROUND($D$3*E19/$E$3,2)</f>
        <v>0</v>
      </c>
      <c r="E19" s="53">
        <f t="shared" ref="E19:E26" si="1">SUM(F19:G19)</f>
        <v>172.33</v>
      </c>
      <c r="F19" s="2794">
        <f>'数据-基础表'!I13</f>
        <v>172.33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172.33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172.33</v>
      </c>
      <c r="F27" s="1140">
        <f>IF(SUM(F19:F26)=E8,SUM(F19:F26),"地上面积有误")</f>
        <v>172.33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172.33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172.33</v>
      </c>
      <c r="F31" s="677">
        <f>F27+F30</f>
        <v>172.33</v>
      </c>
      <c r="G31" s="678">
        <f>G27+G30</f>
        <v>0</v>
      </c>
      <c r="H31" s="2659"/>
      <c r="I31" s="2659"/>
      <c r="J31" s="2659"/>
      <c r="K31" s="2659"/>
      <c r="L31" s="2659"/>
      <c r="M31" s="2659"/>
      <c r="N31" s="2659"/>
      <c r="O31" s="2659"/>
      <c r="P31" s="2659"/>
    </row>
    <row r="32" spans="1:19">
      <c r="A32" s="1643"/>
      <c r="B32" s="1643" t="s">
        <v>1159</v>
      </c>
      <c r="C32" s="1643"/>
      <c r="D32" s="1643"/>
      <c r="E32" s="1053">
        <f>SUMIF(C19:C26,"*住宅*",E19:E26)</f>
        <v>172.33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24" activePane="bottomRight" state="frozen"/>
      <selection activeCell="C50" sqref="C50"/>
      <selection pane="topRight" activeCell="C50" sqref="C50"/>
      <selection pane="bottomLeft" activeCell="C50" sqref="C50"/>
      <selection pane="bottomRight" activeCell="B35" sqref="B3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3382</v>
      </c>
      <c r="D6" s="858">
        <f>SUMIF(项目基本情况!C$12:I$12,C6,项目基本情况!C$14:I$14)</f>
        <v>70</v>
      </c>
      <c r="E6" s="857">
        <f>IF(B6="","",SUMIF(项目基本情况!C$12:I$12,C6,项目基本情况!C$13:I$13))</f>
        <v>0</v>
      </c>
      <c r="F6" s="64">
        <f>SUMIF(项目基本情况!C$12:I$12,C6,项目基本情况!C$15:I$15)</f>
        <v>0</v>
      </c>
      <c r="G6" s="65">
        <f>IF(ISERROR(ROUND(POWER(1+H6,D6-F6)*(POWER(1+H6,F6)-1)/(POWER(1+H6,D6)-1),3)),0,ROUND(POWER(1+H6,D6-F6)*(POWER(1+H6,F6)-1)/(POWER(1+H6,D6)-1),3))</f>
        <v>0</v>
      </c>
      <c r="H6" s="732">
        <v>4.4999999999999998E-2</v>
      </c>
      <c r="I6" s="732">
        <v>0.05</v>
      </c>
      <c r="J6" s="66">
        <v>5.5E-2</v>
      </c>
      <c r="K6" s="1030">
        <f>SUMIF('数据-汇总表'!C$19:C$33,A6,'数据-汇总表'!E$19:E$33)</f>
        <v>172.33</v>
      </c>
      <c r="L6" s="733">
        <v>3500</v>
      </c>
      <c r="M6" s="67">
        <f t="shared" ref="M6:M14" si="0">ROUND(K6*L6/10000,0)</f>
        <v>60</v>
      </c>
      <c r="N6" s="731">
        <v>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13300</v>
      </c>
      <c r="V6" s="70">
        <v>3.5000000000000003E-2</v>
      </c>
      <c r="W6" s="70">
        <v>0.1</v>
      </c>
      <c r="X6" s="1040"/>
      <c r="Y6" s="71">
        <f>N6</f>
        <v>0.8</v>
      </c>
      <c r="Z6" s="72"/>
      <c r="AA6" s="66"/>
      <c r="AB6" s="66"/>
      <c r="AC6" s="1040"/>
      <c r="AD6" s="73"/>
      <c r="AE6" s="1041">
        <f ca="1">IF(AN6="",0,SUMIF(INDIRECT("'"&amp;AN6&amp;"'"&amp;"!E:E"),$AE$5,INDIRECT("'"&amp;AN6&amp;"'"&amp;"!F:F")))</f>
        <v>41</v>
      </c>
      <c r="AF6" s="1348"/>
      <c r="AG6" s="138">
        <f>IF(AF6="",0,AE6-AF6)</f>
        <v>0</v>
      </c>
      <c r="AH6" s="74">
        <v>1</v>
      </c>
      <c r="AI6" s="76">
        <v>12</v>
      </c>
      <c r="AJ6" s="77"/>
      <c r="AK6" s="78">
        <v>0.01</v>
      </c>
      <c r="AL6" s="79">
        <v>1E-3</v>
      </c>
      <c r="AM6" s="80">
        <v>0.01</v>
      </c>
      <c r="AN6" s="1715" t="s">
        <v>3421</v>
      </c>
      <c r="AO6" s="52">
        <f ca="1">SUMIF(INDIRECT("'"&amp;AN6&amp;"'"&amp;"!A:A"),"总价",INDIRECT("'"&amp;AN6&amp;"'"&amp;"!B:B"))</f>
        <v>430.75979999999998</v>
      </c>
      <c r="AP6" s="1716">
        <f>IF(C6="住宅",K6*L6,0)</f>
        <v>603155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4.4999999999999998E-2</v>
      </c>
      <c r="I16" s="91"/>
      <c r="J16" s="91"/>
      <c r="K16" s="92">
        <f>SUM(K6:K15)</f>
        <v>172.33</v>
      </c>
      <c r="L16" s="93">
        <f>ROUND(M16*10000/SUM(K6:K14),0)</f>
        <v>3482</v>
      </c>
      <c r="M16" s="93">
        <f>SUM(M6:M14)</f>
        <v>60</v>
      </c>
      <c r="N16" s="94">
        <f>ROUND(SUMPRODUCT(M6:M14,N6:N14)/M16,3)</f>
        <v>0.8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2307</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3425</v>
      </c>
      <c r="B40" s="1078">
        <f ca="1">IF(A40="利息：取LPR",存贷款利率!G1,存贷款利率!G1+C40)</f>
        <v>4.7500000000000001E-2</v>
      </c>
      <c r="C40" s="2813">
        <v>1.0999999999999999E-2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5" t="s">
        <v>2286</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7" sqref="G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172.33</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45014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34684</v>
      </c>
      <c r="C5" s="2512">
        <f ca="1">IF(B5=D14,结果表!H102,ROUND(B5*10000/$B$1,0))</f>
        <v>0</v>
      </c>
      <c r="D5" s="2512" t="e">
        <f ca="1">ROUND(B5*10000/$B$2,0)</f>
        <v>#DIV/0!</v>
      </c>
      <c r="E5" s="2685"/>
      <c r="F5" s="2686"/>
      <c r="G5" s="2686"/>
      <c r="H5" s="2687"/>
      <c r="I5" s="2687"/>
      <c r="J5" s="2687"/>
      <c r="K5" s="2687"/>
    </row>
    <row r="6" spans="1:11" ht="16.5">
      <c r="A6" s="2512" t="s">
        <v>656</v>
      </c>
      <c r="B6" s="2512">
        <f>SUM(G14:G23)</f>
        <v>0</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3361</v>
      </c>
      <c r="D10" s="2512" t="s">
        <v>3362</v>
      </c>
      <c r="E10" s="3440"/>
      <c r="F10" s="3444" t="s">
        <v>3363</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'数据-基础表'!I13</f>
        <v>172.33</v>
      </c>
      <c r="C14" s="2518"/>
      <c r="D14" s="2518">
        <f ca="1">结果表!G20</f>
        <v>34684</v>
      </c>
      <c r="E14" s="2518">
        <f ca="1">ROUND(D14*10000/B14,0)</f>
        <v>2012650</v>
      </c>
      <c r="F14" s="2518" t="e">
        <f ca="1">ROUND(D14*10000/C14,0)</f>
        <v>#DIV/0!</v>
      </c>
      <c r="G14" s="2518"/>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3382</v>
      </c>
      <c r="D1" s="1747"/>
      <c r="E1" s="1747"/>
      <c r="F1" s="1749" t="s">
        <v>1263</v>
      </c>
      <c r="G1" s="1561"/>
      <c r="H1" s="1750" t="str">
        <f>IF(G1="现房","——","估价对象范围")</f>
        <v>估价对象范围</v>
      </c>
      <c r="I1" s="1751"/>
    </row>
    <row r="2" spans="1:12" ht="21.75" customHeight="1" thickBot="1">
      <c r="A2" s="3614" t="str">
        <f>项目基本情况!S2</f>
        <v>北京市昌平区北七家镇美树假日嘉园17号楼3至4层4单元202房地产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4" t="s">
        <v>1265</v>
      </c>
      <c r="B4" s="1755" t="s">
        <v>1266</v>
      </c>
      <c r="C4" s="1756" t="s">
        <v>3420</v>
      </c>
      <c r="D4" s="1756" t="s">
        <v>3421</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v>8</v>
      </c>
      <c r="D5" s="3608">
        <f>10-C5</f>
        <v>2</v>
      </c>
      <c r="E5" s="131" t="s">
        <v>1269</v>
      </c>
      <c r="F5" s="1757"/>
      <c r="G5" s="1757"/>
      <c r="H5" s="1757"/>
      <c r="I5" s="1373"/>
    </row>
    <row r="6" spans="1:12" ht="12.75">
      <c r="A6" s="3562"/>
      <c r="B6" s="3617"/>
      <c r="C6" s="3622"/>
      <c r="D6" s="3608"/>
      <c r="E6" s="131" t="s">
        <v>1270</v>
      </c>
      <c r="F6" s="1757"/>
      <c r="G6" s="1757"/>
      <c r="H6" s="1757"/>
      <c r="I6" s="1373"/>
    </row>
    <row r="7" spans="1:12" ht="12.75">
      <c r="A7" s="3562"/>
      <c r="B7" s="3617"/>
      <c r="C7" s="3621"/>
      <c r="D7" s="3608"/>
      <c r="E7" s="131" t="s">
        <v>1271</v>
      </c>
      <c r="F7" s="1757"/>
      <c r="G7" s="1757"/>
      <c r="H7" s="1757"/>
      <c r="I7" s="1373"/>
    </row>
    <row r="8" spans="1:12" ht="12.75">
      <c r="A8" s="3562" t="s">
        <v>1272</v>
      </c>
      <c r="B8" s="3617">
        <v>15</v>
      </c>
      <c r="C8" s="3620"/>
      <c r="D8" s="3608"/>
      <c r="E8" s="131" t="s">
        <v>1273</v>
      </c>
      <c r="F8" s="1757"/>
      <c r="G8" s="1757"/>
      <c r="H8" s="1757"/>
      <c r="I8" s="1373"/>
    </row>
    <row r="9" spans="1:12" ht="12.75">
      <c r="A9" s="3562"/>
      <c r="B9" s="3617"/>
      <c r="C9" s="3621"/>
      <c r="D9" s="3608"/>
      <c r="E9" s="131" t="s">
        <v>1274</v>
      </c>
      <c r="F9" s="1757"/>
      <c r="G9" s="1757"/>
      <c r="H9" s="1757"/>
      <c r="I9" s="1373"/>
    </row>
    <row r="10" spans="1:12" ht="12.75">
      <c r="A10" s="3562" t="s">
        <v>1275</v>
      </c>
      <c r="B10" s="3617">
        <v>15</v>
      </c>
      <c r="C10" s="3620"/>
      <c r="D10" s="3608"/>
      <c r="E10" s="131" t="s">
        <v>1276</v>
      </c>
      <c r="F10" s="1757"/>
      <c r="G10" s="1757"/>
      <c r="H10" s="1757"/>
      <c r="I10" s="1373"/>
    </row>
    <row r="11" spans="1:12" ht="12.75">
      <c r="A11" s="3562"/>
      <c r="B11" s="3617"/>
      <c r="C11" s="3621"/>
      <c r="D11" s="3608"/>
      <c r="E11" s="131" t="s">
        <v>1277</v>
      </c>
      <c r="F11" s="1757"/>
      <c r="G11" s="1757"/>
      <c r="H11" s="1757"/>
      <c r="I11" s="1373"/>
    </row>
    <row r="12" spans="1:12" ht="12.75">
      <c r="A12" s="3562" t="s">
        <v>1278</v>
      </c>
      <c r="B12" s="3617">
        <v>15</v>
      </c>
      <c r="C12" s="3620"/>
      <c r="D12" s="3608"/>
      <c r="E12" s="131" t="s">
        <v>1279</v>
      </c>
      <c r="F12" s="1757"/>
      <c r="G12" s="1757"/>
      <c r="H12" s="1757"/>
      <c r="I12" s="1373"/>
    </row>
    <row r="13" spans="1:12" ht="12.75">
      <c r="A13" s="3562"/>
      <c r="B13" s="3617"/>
      <c r="C13" s="3621"/>
      <c r="D13" s="3608"/>
      <c r="E13" s="131" t="s">
        <v>1280</v>
      </c>
      <c r="F13" s="1757"/>
      <c r="G13" s="1757"/>
      <c r="H13" s="1757"/>
      <c r="I13" s="1373"/>
    </row>
    <row r="14" spans="1:12" ht="12.75">
      <c r="A14" s="3562" t="s">
        <v>1281</v>
      </c>
      <c r="B14" s="3617">
        <v>30</v>
      </c>
      <c r="C14" s="3620"/>
      <c r="D14" s="3608"/>
      <c r="E14" s="131" t="s">
        <v>1282</v>
      </c>
      <c r="F14" s="1757"/>
      <c r="G14" s="1757"/>
      <c r="H14" s="1757"/>
      <c r="I14" s="1373"/>
    </row>
    <row r="15" spans="1:12" ht="12.75">
      <c r="A15" s="3562"/>
      <c r="B15" s="3617"/>
      <c r="C15" s="3622"/>
      <c r="D15" s="3608"/>
      <c r="E15" s="131" t="s">
        <v>1283</v>
      </c>
      <c r="F15" s="1757"/>
      <c r="G15" s="1757"/>
      <c r="H15" s="1757"/>
      <c r="I15" s="1373"/>
    </row>
    <row r="16" spans="1:12" ht="12.75">
      <c r="A16" s="3562"/>
      <c r="B16" s="3617"/>
      <c r="C16" s="3621"/>
      <c r="D16" s="3608"/>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39" t="s">
        <v>2131</v>
      </c>
      <c r="F18" s="3640"/>
      <c r="G18" s="3640"/>
      <c r="H18" s="3640"/>
      <c r="I18" s="3640"/>
      <c r="K18" s="302" t="s">
        <v>1289</v>
      </c>
      <c r="L18" s="302">
        <f>IF(C1="",'数据-汇总表'!E3,SUMIF(项目类型,C1,'数据-汇总表'!E17:E26)+SUMIF(项目类型,C1,'数据-汇总表'!I17:I26))</f>
        <v>172.33</v>
      </c>
      <c r="M18" s="302">
        <f>IF(C1="",'数据-汇总表'!E3,SUMIF(项目类型,C1,'数据-汇总表'!E17:E26))</f>
        <v>172.33</v>
      </c>
    </row>
    <row r="19" spans="1:36" ht="15">
      <c r="A19" s="1761" t="s">
        <v>1290</v>
      </c>
      <c r="B19" s="1762" t="s">
        <v>1291</v>
      </c>
      <c r="C19" s="134">
        <f ca="1">SUMIF(INDIRECT("'"&amp;C4&amp;"'"&amp;"!A:A"),结果表!B19,INDIRECT("'"&amp;C4&amp;"'"&amp;"!B:B"))</f>
        <v>639.44770000000005</v>
      </c>
      <c r="D19" s="135">
        <f ca="1">SUMIF(INDIRECT("'"&amp;D4&amp;"'"&amp;"!A:A"),结果表!B19,INDIRECT("'"&amp;D4&amp;"'"&amp;"!B:B"))</f>
        <v>430.75979999999998</v>
      </c>
      <c r="E19" s="1761" t="s">
        <v>1292</v>
      </c>
      <c r="F19" s="1762" t="s">
        <v>1291</v>
      </c>
      <c r="G19" s="136">
        <f ca="1">ROUND(C19*$C$18+D19*$D$18,0)</f>
        <v>598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37106</v>
      </c>
      <c r="D20" s="138">
        <f ca="1">SUMIF(INDIRECT("'"&amp;D4&amp;"'"&amp;"!A:A"),结果表!B20,INDIRECT("'"&amp;D4&amp;"'"&amp;"!B:B"))</f>
        <v>24996</v>
      </c>
      <c r="E20" s="1764"/>
      <c r="F20" s="1026" t="s">
        <v>1295</v>
      </c>
      <c r="G20" s="139">
        <f ca="1">ROUND(C20*$C$18+D20*$D$18,0)</f>
        <v>34684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0.48446465988701837</v>
      </c>
      <c r="E22" s="129"/>
      <c r="F22" s="129"/>
      <c r="G22" s="129"/>
      <c r="H22" s="129"/>
      <c r="I22" s="129"/>
    </row>
    <row r="23" spans="1:36" ht="13.5" thickBot="1">
      <c r="A23" s="1747"/>
      <c r="B23" s="1747"/>
      <c r="C23" s="1747"/>
      <c r="D23" s="1747"/>
      <c r="E23" s="129"/>
      <c r="F23" s="129"/>
      <c r="G23" s="129"/>
      <c r="H23" s="129"/>
      <c r="I23" s="129"/>
    </row>
    <row r="24" spans="1:36" ht="14.25">
      <c r="A24" s="3632" t="s">
        <v>1299</v>
      </c>
      <c r="B24" s="1762" t="s">
        <v>1291</v>
      </c>
      <c r="C24" s="136">
        <f>IF(B30=0,0,D30)</f>
        <v>0</v>
      </c>
      <c r="D24" s="1769"/>
      <c r="E24" s="129"/>
      <c r="F24" s="129"/>
      <c r="G24" s="129"/>
      <c r="H24" s="129"/>
      <c r="I24" s="129"/>
    </row>
    <row r="25" spans="1:36" ht="14.25">
      <c r="A25" s="363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34684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9" t="s">
        <v>1312</v>
      </c>
      <c r="B36" s="1787" t="s">
        <v>1313</v>
      </c>
      <c r="C36" s="145"/>
      <c r="D36" s="1788"/>
      <c r="E36" s="1789"/>
      <c r="F36" s="1790"/>
      <c r="G36" s="129"/>
      <c r="H36" s="129"/>
      <c r="I36" s="129"/>
    </row>
    <row r="37" spans="1:15" ht="15.75" thickBot="1">
      <c r="A37" s="3610"/>
      <c r="B37" s="1674" t="s">
        <v>1314</v>
      </c>
      <c r="C37" s="147"/>
      <c r="D37" s="1139"/>
      <c r="E37" s="1139"/>
      <c r="F37" s="1790"/>
      <c r="G37" s="129"/>
      <c r="H37" s="129"/>
      <c r="I37" s="129"/>
    </row>
    <row r="38" spans="1:15" ht="15.75" thickBot="1">
      <c r="A38" s="36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9" t="s">
        <v>1326</v>
      </c>
      <c r="B45" s="3630"/>
      <c r="C45" s="3631"/>
      <c r="D45" s="155" t="e">
        <f ca="1">ROUND(H101*F45,0)</f>
        <v>#REF!</v>
      </c>
      <c r="E45" s="156" t="s">
        <v>1327</v>
      </c>
      <c r="F45" s="157">
        <v>1</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6"/>
      <c r="I46" s="159"/>
      <c r="J46" s="2523">
        <v>1</v>
      </c>
      <c r="K46" s="3550" t="s">
        <v>1331</v>
      </c>
      <c r="L46" s="3550"/>
      <c r="M46" s="3551"/>
      <c r="N46" s="3551"/>
      <c r="O46" s="3551"/>
    </row>
    <row r="47" spans="1:15" ht="12" customHeight="1">
      <c r="A47" s="160" t="s">
        <v>1332</v>
      </c>
      <c r="B47" s="161"/>
      <c r="C47" s="162"/>
      <c r="D47" s="1087" t="s">
        <v>1333</v>
      </c>
      <c r="E47" s="302" t="s">
        <v>1334</v>
      </c>
      <c r="F47" s="163" t="s">
        <v>1335</v>
      </c>
      <c r="G47" s="2546" t="s">
        <v>1336</v>
      </c>
      <c r="H47" s="2547"/>
      <c r="I47" s="159"/>
      <c r="J47" s="2523">
        <v>2</v>
      </c>
      <c r="K47" s="3550" t="s">
        <v>1337</v>
      </c>
      <c r="L47" s="3550"/>
      <c r="M47" s="3552">
        <f>'数据-取费表'!B2</f>
        <v>45014</v>
      </c>
      <c r="N47" s="3552"/>
      <c r="O47" s="3552"/>
    </row>
    <row r="48" spans="1:15" ht="25.5">
      <c r="A48" s="3612" t="s">
        <v>1338</v>
      </c>
      <c r="B48" s="3613"/>
      <c r="C48" s="361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0" t="s">
        <v>1340</v>
      </c>
      <c r="L48" s="3550"/>
      <c r="M48" s="3553" t="e">
        <f ca="1">H101</f>
        <v>#REF!</v>
      </c>
      <c r="N48" s="3553"/>
      <c r="O48" s="3553"/>
    </row>
    <row r="49" spans="1:35" ht="25.5" customHeight="1">
      <c r="A49" s="2333" t="s">
        <v>1341</v>
      </c>
      <c r="B49" s="3598" t="s">
        <v>1342</v>
      </c>
      <c r="C49" s="3598"/>
      <c r="D49" s="1590">
        <v>0</v>
      </c>
      <c r="E49" s="324" t="s">
        <v>1343</v>
      </c>
      <c r="F49" s="2424" t="s">
        <v>28</v>
      </c>
      <c r="G49" s="3581"/>
      <c r="H49" s="2310" t="s">
        <v>2134</v>
      </c>
      <c r="I49" s="2311"/>
      <c r="J49" s="2523">
        <v>4</v>
      </c>
      <c r="K49" s="3550" t="str">
        <f>IF(项目基本情况!E8="房地产抵押价值","房地产抵押价值","抵押担保权已注销时的房地产抵押价值")</f>
        <v>抵押担保权已注销时的房地产抵押价值</v>
      </c>
      <c r="L49" s="3550"/>
      <c r="M49" s="3553" t="str">
        <f>IF(项目基本情况!E8="房地产抵押价值",H107,H109)</f>
        <v>——</v>
      </c>
      <c r="N49" s="3553"/>
      <c r="O49" s="3553"/>
    </row>
    <row r="50" spans="1:35" ht="25.5" customHeight="1">
      <c r="A50" s="2551"/>
      <c r="B50" s="3598" t="s">
        <v>1344</v>
      </c>
      <c r="C50" s="3598"/>
      <c r="D50" s="2552"/>
      <c r="E50" s="332"/>
      <c r="F50" s="2424"/>
      <c r="G50" s="3582"/>
      <c r="H50" s="2312" t="s">
        <v>2135</v>
      </c>
      <c r="I50" s="2311"/>
      <c r="J50" s="3549" t="s">
        <v>1345</v>
      </c>
      <c r="K50" s="3549"/>
      <c r="L50" s="3549"/>
      <c r="M50" s="3549"/>
      <c r="N50" s="3549"/>
      <c r="O50" s="3549"/>
    </row>
    <row r="51" spans="1:35" ht="20.45" customHeight="1">
      <c r="A51" s="2553"/>
      <c r="B51" s="3598" t="s">
        <v>1346</v>
      </c>
      <c r="C51" s="3598"/>
      <c r="D51" s="1087"/>
      <c r="E51" s="327"/>
      <c r="F51" s="2424"/>
      <c r="G51" s="3583"/>
      <c r="H51" s="2312" t="s">
        <v>2136</v>
      </c>
      <c r="I51" s="2311"/>
      <c r="J51" s="2524" t="s">
        <v>1347</v>
      </c>
      <c r="K51" s="3550" t="s">
        <v>1348</v>
      </c>
      <c r="L51" s="3550"/>
      <c r="M51" s="2524" t="s">
        <v>1349</v>
      </c>
      <c r="N51" s="2524" t="s">
        <v>1350</v>
      </c>
      <c r="O51" s="2524" t="s">
        <v>1351</v>
      </c>
    </row>
    <row r="52" spans="1:35" ht="24" customHeight="1">
      <c r="A52" s="2335" t="s">
        <v>1352</v>
      </c>
      <c r="B52" s="3598" t="s">
        <v>1353</v>
      </c>
      <c r="C52" s="3598"/>
      <c r="D52" s="1087" t="e">
        <f ca="1">ROUND(D45*'数据-取费表'!B41/(1+'数据-取费表'!C42),0)</f>
        <v>#REF!</v>
      </c>
      <c r="E52" s="2334" t="s">
        <v>1354</v>
      </c>
      <c r="F52" s="2554">
        <f>'数据-取费表'!B41</f>
        <v>5.5000000000000007E-2</v>
      </c>
      <c r="G52" s="2555"/>
      <c r="H52" s="2544"/>
      <c r="I52" s="1807"/>
      <c r="J52" s="2523">
        <v>1</v>
      </c>
      <c r="K52" s="3575" t="s">
        <v>1355</v>
      </c>
      <c r="L52" s="3575"/>
      <c r="M52" s="2525" t="b">
        <f>D48</f>
        <v>0</v>
      </c>
      <c r="N52" s="2523" t="str">
        <f>E48</f>
        <v>销售额×税（费）率</v>
      </c>
      <c r="O52" s="2526">
        <f>F48</f>
        <v>5.5000000000000007E-2</v>
      </c>
    </row>
    <row r="53" spans="1:35" ht="12" customHeight="1">
      <c r="A53" s="2335" t="s">
        <v>1356</v>
      </c>
      <c r="B53" s="3599" t="s">
        <v>2291</v>
      </c>
      <c r="C53" s="3600"/>
      <c r="D53" s="1087" t="e">
        <f ca="1">ROUND(D45*'数据-取费表'!B41/(1+'数据-取费表'!C42),0)</f>
        <v>#REF!</v>
      </c>
      <c r="E53" s="2334" t="s">
        <v>1354</v>
      </c>
      <c r="F53" s="2554">
        <f>'数据-取费表'!B41</f>
        <v>5.5000000000000007E-2</v>
      </c>
      <c r="G53" s="2555"/>
      <c r="H53" s="2544"/>
      <c r="I53" s="1807"/>
      <c r="J53" s="2523">
        <v>2</v>
      </c>
      <c r="K53" s="3575" t="s">
        <v>1357</v>
      </c>
      <c r="L53" s="3575"/>
      <c r="M53" s="2525" t="e">
        <f t="shared" ref="M53:O54" ca="1" si="0">D55</f>
        <v>#REF!</v>
      </c>
      <c r="N53" s="2523" t="str">
        <f t="shared" si="0"/>
        <v>销售额×税（费）率</v>
      </c>
      <c r="O53" s="2526" t="str">
        <f t="shared" si="0"/>
        <v>免征</v>
      </c>
    </row>
    <row r="54" spans="1:35" ht="12" customHeight="1">
      <c r="A54" s="2335" t="s">
        <v>1358</v>
      </c>
      <c r="B54" s="3599" t="s">
        <v>2292</v>
      </c>
      <c r="C54" s="3600"/>
      <c r="D54" s="1087" t="e">
        <f ca="1">C68</f>
        <v>#REF!</v>
      </c>
      <c r="E54" s="327" t="s">
        <v>1359</v>
      </c>
      <c r="F54" s="2554">
        <f>'数据-取费表'!B41</f>
        <v>5.5000000000000007E-2</v>
      </c>
      <c r="G54" s="2555"/>
      <c r="H54" s="2556"/>
      <c r="I54" s="1807"/>
      <c r="J54" s="2523">
        <v>3</v>
      </c>
      <c r="K54" s="3575" t="s">
        <v>1360</v>
      </c>
      <c r="L54" s="3575"/>
      <c r="M54" s="2525" t="e">
        <f t="shared" ca="1" si="0"/>
        <v>#REF!</v>
      </c>
      <c r="N54" s="2523" t="str">
        <f t="shared" si="0"/>
        <v>增值额×税（费）率</v>
      </c>
      <c r="O54" s="2527" t="str">
        <f t="shared" si="0"/>
        <v>免征</v>
      </c>
    </row>
    <row r="55" spans="1:35" ht="24" customHeight="1">
      <c r="A55" s="3635" t="s">
        <v>1361</v>
      </c>
      <c r="B55" s="3613"/>
      <c r="C55" s="3613"/>
      <c r="D55" s="2324" t="e">
        <f ca="1">IF(H55="个人住宅",0,ROUND(D45*I55,0))</f>
        <v>#REF!</v>
      </c>
      <c r="E55" s="2334" t="s">
        <v>1362</v>
      </c>
      <c r="F55" s="2554" t="str">
        <f>IF(H55="正常",I55,"免征")</f>
        <v>免征</v>
      </c>
      <c r="G55" s="2555"/>
      <c r="H55" s="2550"/>
      <c r="I55" s="165">
        <f>'数据-取费表'!B49</f>
        <v>5.0000000000000001E-4</v>
      </c>
      <c r="J55" s="2523">
        <f>IF(H59="非个人房产","",4)</f>
        <v>4</v>
      </c>
      <c r="K55" s="3575" t="str">
        <f>IF(H59="非个人房产","——","个人所得税")</f>
        <v>个人所得税</v>
      </c>
      <c r="L55" s="3575"/>
      <c r="M55" s="2528" t="e">
        <f ca="1">D59</f>
        <v>#REF!</v>
      </c>
      <c r="N55" s="2040" t="str">
        <f>E59</f>
        <v>差额计税</v>
      </c>
      <c r="O55" s="2529">
        <f>F59</f>
        <v>0.01</v>
      </c>
    </row>
    <row r="56" spans="1:35" ht="24.75">
      <c r="A56" s="3635" t="s">
        <v>1363</v>
      </c>
      <c r="B56" s="3613"/>
      <c r="C56" s="3613"/>
      <c r="D56" s="2324" t="e">
        <f ca="1">IF(H56="个人住宅",D57,D58)</f>
        <v>#REF!</v>
      </c>
      <c r="E56" s="2334" t="s">
        <v>1364</v>
      </c>
      <c r="F56" s="2554" t="str">
        <f>IF(H56="正常",F58,"免征")</f>
        <v>免征</v>
      </c>
      <c r="G56" s="2557" t="s">
        <v>1365</v>
      </c>
      <c r="H56" s="2558"/>
      <c r="I56" s="1808"/>
      <c r="J56" s="2523" t="str">
        <f>IF(项目基本情况!K6="上海银行",IF(J55="",4,J55+1),"")</f>
        <v/>
      </c>
      <c r="K56" s="3556" t="str">
        <f>IF(项目基本情况!K6="上海银行","其他处置费用","")</f>
        <v/>
      </c>
      <c r="L56" s="3557"/>
      <c r="M56" s="2525" t="str">
        <f>IF(项目基本情况!K6="上海银行",M69,"")</f>
        <v/>
      </c>
      <c r="N56" s="3556" t="str">
        <f>IF(项目基本情况!K6="上海银行","包含处置中涉及的律师、诉讼、拍卖、评估等费用","")</f>
        <v/>
      </c>
      <c r="O56" s="3559"/>
    </row>
    <row r="57" spans="1:35" ht="12.75">
      <c r="A57" s="2335" t="s">
        <v>1341</v>
      </c>
      <c r="B57" s="3599" t="s">
        <v>1366</v>
      </c>
      <c r="C57" s="3600"/>
      <c r="D57" s="1590">
        <v>0</v>
      </c>
      <c r="E57" s="324" t="s">
        <v>1343</v>
      </c>
      <c r="F57" s="302"/>
      <c r="G57" s="2555"/>
      <c r="H57" s="2559"/>
      <c r="I57" s="1808"/>
      <c r="J57" s="3575">
        <f>IF(AND(J55="",J56=""),4,IF(项目基本情况!K6="上海银行",结果表!J56+1,结果表!J55+1))</f>
        <v>5</v>
      </c>
      <c r="K57" s="3575" t="s">
        <v>1367</v>
      </c>
      <c r="L57" s="2530" t="s">
        <v>1368</v>
      </c>
      <c r="M57" s="2531"/>
      <c r="N57" s="2532">
        <f ca="1">SUMIF(M52:M56,"&lt;9e307")</f>
        <v>0</v>
      </c>
      <c r="O57" s="2533"/>
      <c r="P57" s="2689" t="e">
        <f ca="1">N57/M49</f>
        <v>#VALUE!</v>
      </c>
    </row>
    <row r="58" spans="1:35" ht="24.75">
      <c r="A58" s="2335" t="s">
        <v>1352</v>
      </c>
      <c r="B58" s="3599" t="s">
        <v>1369</v>
      </c>
      <c r="C58" s="3598"/>
      <c r="D58" s="2324" t="e">
        <f ca="1">IF(H58="转让取得",C81,C97)</f>
        <v>#REF!</v>
      </c>
      <c r="E58" s="2334" t="s">
        <v>1364</v>
      </c>
      <c r="F58" s="302" t="s">
        <v>28</v>
      </c>
      <c r="G58" s="2555"/>
      <c r="H58" s="2558"/>
      <c r="I58" s="1808"/>
      <c r="J58" s="3575"/>
      <c r="K58" s="3575"/>
      <c r="L58" s="2530" t="s">
        <v>1370</v>
      </c>
      <c r="M58" s="2534"/>
      <c r="N58" s="2535" t="str">
        <f ca="1">NUMBERSTRING(INT(N57*10000),2)&amp;"元整"</f>
        <v>零元整</v>
      </c>
      <c r="O58" s="2536"/>
    </row>
    <row r="59" spans="1:35" ht="24.75" thickBot="1">
      <c r="A59" s="3579" t="s">
        <v>1371</v>
      </c>
      <c r="B59" s="3580"/>
      <c r="C59" s="3580"/>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7">
        <f>J57+1</f>
        <v>6</v>
      </c>
      <c r="K59" s="3575" t="s">
        <v>1372</v>
      </c>
      <c r="L59" s="2523" t="s">
        <v>1368</v>
      </c>
      <c r="M59" s="2537"/>
      <c r="N59" s="2538" t="e">
        <f ca="1">M49-N57</f>
        <v>#VALUE!</v>
      </c>
      <c r="O59" s="2539"/>
    </row>
    <row r="60" spans="1:35" ht="12" customHeight="1">
      <c r="A60" s="1809"/>
      <c r="B60" s="1747"/>
      <c r="C60" s="1747"/>
      <c r="D60" s="1747"/>
      <c r="E60" s="1578"/>
      <c r="F60" s="1808"/>
      <c r="G60" s="1808"/>
      <c r="H60" s="1810"/>
      <c r="I60" s="129"/>
      <c r="J60" s="3578"/>
      <c r="K60" s="3575"/>
      <c r="L60" s="2530" t="s">
        <v>1370</v>
      </c>
      <c r="M60" s="2534"/>
      <c r="N60" s="2535" t="e">
        <f ca="1">NUMBERSTRING(INT(N59*10000),2)&amp;"元整"</f>
        <v>#VALUE!</v>
      </c>
      <c r="O60" s="2536"/>
    </row>
    <row r="61" spans="1:35" ht="13.5" thickBot="1">
      <c r="A61" s="3634" t="s">
        <v>1373</v>
      </c>
      <c r="B61" s="3634"/>
      <c r="C61" s="3634"/>
      <c r="D61" s="3634"/>
      <c r="E61" s="3634"/>
      <c r="F61" s="1808"/>
      <c r="G61" s="1808"/>
      <c r="H61" s="1810"/>
      <c r="I61" s="129"/>
      <c r="J61" s="2523">
        <f>J59+1</f>
        <v>7</v>
      </c>
      <c r="K61" s="3575" t="s">
        <v>1374</v>
      </c>
      <c r="L61" s="3575"/>
      <c r="M61" s="2540"/>
      <c r="N61" s="2541" t="e">
        <f ca="1">ROUND(N59*10000/'数据-汇总表'!E3,0)</f>
        <v>#VALUE!</v>
      </c>
      <c r="O61" s="2542"/>
    </row>
    <row r="62" spans="1:35" ht="12.75">
      <c r="A62" s="3594" t="s">
        <v>1375</v>
      </c>
      <c r="B62" s="3595"/>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5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4" t="s">
        <v>1375</v>
      </c>
      <c r="B71" s="3595"/>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9" t="s">
        <v>1402</v>
      </c>
      <c r="F76" s="3598"/>
      <c r="G76" s="3598"/>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91" t="s">
        <v>1406</v>
      </c>
      <c r="F78" s="3592"/>
      <c r="G78" s="3592"/>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4" t="s">
        <v>1375</v>
      </c>
      <c r="B84" s="359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0" t="s">
        <v>2129</v>
      </c>
      <c r="H90" s="356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1" t="s">
        <v>1419</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1" t="s">
        <v>1422</v>
      </c>
      <c r="F92" s="3592"/>
      <c r="G92" s="3592"/>
      <c r="H92" s="359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91" t="s">
        <v>1406</v>
      </c>
      <c r="F93" s="3592"/>
      <c r="G93" s="3592"/>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6" t="s">
        <v>1426</v>
      </c>
      <c r="F94" s="3637"/>
      <c r="G94" s="3637"/>
      <c r="H94" s="363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5" t="str">
        <f>C4</f>
        <v>比较法-住宅</v>
      </c>
      <c r="D101" s="2586" t="str">
        <f>D4</f>
        <v>收益法 (元)</v>
      </c>
      <c r="E101" s="3554" t="s">
        <v>1431</v>
      </c>
      <c r="F101" s="3555"/>
      <c r="G101" s="1827" t="s">
        <v>1432</v>
      </c>
      <c r="H101" s="2595" t="e">
        <f ca="1">H118</f>
        <v>#REF!</v>
      </c>
      <c r="I101" s="129"/>
    </row>
    <row r="102" spans="1:35" ht="18.75" customHeight="1">
      <c r="A102" s="3586" t="s">
        <v>1433</v>
      </c>
      <c r="B102" s="2584" t="s">
        <v>1432</v>
      </c>
      <c r="C102" s="2585">
        <f ca="1">IF(D32="楼面单价",ROUND(C19,0),C19)</f>
        <v>639.44770000000005</v>
      </c>
      <c r="D102" s="2586">
        <f ca="1">IF(D32="楼面单价",ROUND(D19,0),D19)</f>
        <v>430.75979999999998</v>
      </c>
      <c r="E102" s="3554"/>
      <c r="F102" s="3555"/>
      <c r="G102" s="1827" t="s">
        <v>1434</v>
      </c>
      <c r="H102" s="2555" t="e">
        <f ca="1">I118</f>
        <v>#REF!</v>
      </c>
      <c r="I102" s="129"/>
    </row>
    <row r="103" spans="1:35" ht="42.75" customHeight="1">
      <c r="A103" s="3586"/>
      <c r="B103" s="2584" t="s">
        <v>1434</v>
      </c>
      <c r="C103" s="2587">
        <f ca="1">C20</f>
        <v>37106</v>
      </c>
      <c r="D103" s="2588">
        <f ca="1">D20</f>
        <v>24996</v>
      </c>
      <c r="E103" s="3547" t="s">
        <v>1435</v>
      </c>
      <c r="F103" s="3548"/>
      <c r="G103" s="1828" t="s">
        <v>1436</v>
      </c>
      <c r="H103" s="2595">
        <f>IF(D36="正常操作",H104+H105+H106,H105+H106)</f>
        <v>0</v>
      </c>
      <c r="I103" s="129"/>
    </row>
    <row r="104" spans="1:35" ht="18.75" customHeight="1">
      <c r="A104" s="358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7" t="str">
        <f>IF(项目基本情况!E8="已注销","——","3.房地产抵押价值")</f>
        <v>3.房地产抵押价值</v>
      </c>
      <c r="F107" s="3555"/>
      <c r="G107" s="1827" t="s">
        <v>1432</v>
      </c>
      <c r="H107" s="2595" t="e">
        <f ca="1">IF(E107="——","——",H101-H103)</f>
        <v>#REF!</v>
      </c>
      <c r="I107" s="129"/>
    </row>
    <row r="108" spans="1:35" ht="18.75" customHeight="1">
      <c r="A108" s="129"/>
      <c r="B108" s="129"/>
      <c r="C108" s="129"/>
      <c r="D108" s="129"/>
      <c r="E108" s="3587"/>
      <c r="F108" s="3555"/>
      <c r="G108" s="1827" t="s">
        <v>1434</v>
      </c>
      <c r="H108" s="2555">
        <f ca="1">IF(H107=H101,H102,ROUND(H107*10000/'数据-汇总表'!E3,0))</f>
        <v>0</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7" t="s">
        <v>1432</v>
      </c>
      <c r="H109" s="2598" t="str">
        <f>IF(E109="——","——",H101-H105-H106)</f>
        <v>——</v>
      </c>
      <c r="I109" s="129"/>
    </row>
    <row r="110" spans="1:35" ht="18.75" customHeight="1">
      <c r="A110" s="129"/>
      <c r="B110" s="129"/>
      <c r="C110" s="129"/>
      <c r="D110" s="129"/>
      <c r="E110" s="3587"/>
      <c r="F110" s="3555"/>
      <c r="G110" s="1827" t="s">
        <v>1434</v>
      </c>
      <c r="H110" s="2555"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v>
      </c>
      <c r="F111" s="3574"/>
      <c r="G111" s="1827" t="s">
        <v>1432</v>
      </c>
      <c r="H111" s="2595" t="str">
        <f>IF(E111="——","——",N59)</f>
        <v>——</v>
      </c>
      <c r="I111" s="129"/>
    </row>
    <row r="112" spans="1:35" ht="18.75" customHeight="1" thickBot="1">
      <c r="A112" s="129"/>
      <c r="B112" s="129"/>
      <c r="C112" s="129"/>
      <c r="D112" s="129"/>
      <c r="E112" s="3589"/>
      <c r="F112" s="3590"/>
      <c r="G112" s="1830" t="s">
        <v>1434</v>
      </c>
      <c r="H112" s="2599" t="str">
        <f>IF(E111="——","——",N61)</f>
        <v>——</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9" t="s">
        <v>1449</v>
      </c>
      <c r="E117" s="2329" t="s">
        <v>1450</v>
      </c>
      <c r="F117" s="2329" t="s">
        <v>1449</v>
      </c>
      <c r="G117" s="2329" t="s">
        <v>1451</v>
      </c>
      <c r="H117" s="2329" t="s">
        <v>1449</v>
      </c>
      <c r="I117" s="2329" t="s">
        <v>1451</v>
      </c>
    </row>
    <row r="118" spans="1:27" ht="24.75" customHeight="1">
      <c r="A118" s="2600" t="str">
        <f>项目基本情况!S2</f>
        <v>北京市昌平区北七家镇美树假日嘉园17号楼3至4层4单元202房地产</v>
      </c>
      <c r="B118" s="2329">
        <f>M18</f>
        <v>172.33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2" t="s">
        <v>1452</v>
      </c>
      <c r="B119" s="3562"/>
      <c r="C119" s="3562"/>
      <c r="D119" s="3568" t="e">
        <f ca="1">NUMBERSTRING(INT(D118*10000),2)&amp;"元整"</f>
        <v>#REF!</v>
      </c>
      <c r="E119" s="3569"/>
      <c r="F119" s="3568" t="e">
        <f ca="1">NUMBERSTRING(INT(F118*10000),2)&amp;"元整"</f>
        <v>#REF!</v>
      </c>
      <c r="G119" s="3569"/>
      <c r="H119" s="3568" t="e">
        <f ca="1">NUMBERSTRING(INT(H118*10000),2)&amp;"元整"</f>
        <v>#REF!</v>
      </c>
      <c r="I119" s="3569"/>
    </row>
    <row r="120" spans="1:27" ht="18.75" customHeight="1">
      <c r="A120" s="3563" t="str">
        <f>IF(项目基本情况!B9="房地产市场价值","",MID(E103,3,LEN(E103)-2))</f>
        <v/>
      </c>
      <c r="B120" s="3564"/>
      <c r="C120" s="3565"/>
      <c r="D120" s="3563">
        <f>H103</f>
        <v>0</v>
      </c>
      <c r="E120" s="3564"/>
      <c r="F120" s="3564"/>
      <c r="G120" s="3564"/>
      <c r="H120" s="3564"/>
      <c r="I120" s="356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8" t="s">
        <v>1452</v>
      </c>
      <c r="B121" s="3570"/>
      <c r="C121" s="3569"/>
      <c r="D121" s="3568" t="str">
        <f>IF(D120=0,"零元整",NUMBERSTRING(INT(D120*10000),2)&amp;"元整")</f>
        <v>零元整</v>
      </c>
      <c r="E121" s="3570"/>
      <c r="F121" s="3570"/>
      <c r="G121" s="3570"/>
      <c r="H121" s="3570"/>
      <c r="I121" s="3569"/>
      <c r="AA121" s="725"/>
    </row>
    <row r="122" spans="1:27" ht="18.75" customHeight="1">
      <c r="A122" s="3574" t="str">
        <f>IF(项目基本情况!B9="房地产市场价值","",MID(E107,3,LEN(E107)-2))</f>
        <v/>
      </c>
      <c r="B122" s="3574"/>
      <c r="C122" s="3574"/>
      <c r="D122" s="3563" t="e">
        <f ca="1">H107</f>
        <v>#REF!</v>
      </c>
      <c r="E122" s="3564"/>
      <c r="F122" s="3564"/>
      <c r="G122" s="3564"/>
      <c r="H122" s="3564"/>
      <c r="I122" s="3565"/>
      <c r="AA122" s="725"/>
    </row>
    <row r="123" spans="1:27" ht="18.75" customHeight="1">
      <c r="A123" s="3562" t="s">
        <v>1452</v>
      </c>
      <c r="B123" s="3562"/>
      <c r="C123" s="3562"/>
      <c r="D123" s="3568" t="e">
        <f ca="1">NUMBERSTRING(INT(D122*10000),2)&amp;"元整"</f>
        <v>#REF!</v>
      </c>
      <c r="E123" s="3570"/>
      <c r="F123" s="3570"/>
      <c r="G123" s="3570"/>
      <c r="H123" s="3570"/>
      <c r="I123" s="3569"/>
      <c r="AA123" s="725"/>
    </row>
    <row r="124" spans="1:27" ht="18.75" customHeight="1">
      <c r="A124" s="3574" t="str">
        <f>IF(项目基本情况!B9="房地产市场价值","",MID(E109,3,LEN(E109)-2))</f>
        <v/>
      </c>
      <c r="B124" s="3574"/>
      <c r="C124" s="3574"/>
      <c r="D124" s="3563" t="str">
        <f>H109</f>
        <v>——</v>
      </c>
      <c r="E124" s="3564"/>
      <c r="F124" s="3564"/>
      <c r="G124" s="3564"/>
      <c r="H124" s="3564"/>
      <c r="I124" s="3565"/>
      <c r="AA124" s="725"/>
    </row>
    <row r="125" spans="1:27" ht="18.75" customHeight="1">
      <c r="A125" s="3562" t="s">
        <v>1452</v>
      </c>
      <c r="B125" s="3562"/>
      <c r="C125" s="3562"/>
      <c r="D125" s="3568" t="e">
        <f>NUMBERSTRING(INT(D124*10000),2)&amp;"元整"</f>
        <v>#VALUE!</v>
      </c>
      <c r="E125" s="3570"/>
      <c r="F125" s="3570"/>
      <c r="G125" s="3570"/>
      <c r="H125" s="3570"/>
      <c r="I125" s="3569"/>
      <c r="AA125" s="725"/>
    </row>
    <row r="126" spans="1:27" ht="18.75" customHeight="1">
      <c r="A126" s="3574" t="str">
        <f>IF(项目基本情况!B9="房地产市场价值","",MID(E111,3,LEN(E111)-2))</f>
        <v/>
      </c>
      <c r="B126" s="3574"/>
      <c r="C126" s="3574"/>
      <c r="D126" s="3563" t="str">
        <f>H111</f>
        <v>——</v>
      </c>
      <c r="E126" s="3564"/>
      <c r="F126" s="3564"/>
      <c r="G126" s="3564"/>
      <c r="H126" s="3564"/>
      <c r="I126" s="3565"/>
      <c r="AA126" s="725"/>
    </row>
    <row r="127" spans="1:27" ht="18.75" customHeight="1">
      <c r="A127" s="3562" t="s">
        <v>1452</v>
      </c>
      <c r="B127" s="3562"/>
      <c r="C127" s="3562"/>
      <c r="D127" s="3568" t="e">
        <f>NUMBERSTRING(INT(D126*10000),2)&amp;"元整"</f>
        <v>#VALUE!</v>
      </c>
      <c r="E127" s="3570"/>
      <c r="F127" s="3570"/>
      <c r="G127" s="3570"/>
      <c r="H127" s="3570"/>
      <c r="I127" s="3569"/>
      <c r="AA127" s="725"/>
    </row>
    <row r="128" spans="1:27" ht="21.75" customHeight="1">
      <c r="A128" s="3571" t="s">
        <v>1453</v>
      </c>
      <c r="B128" s="3571"/>
      <c r="C128" s="3571"/>
      <c r="D128" s="3571"/>
      <c r="E128" s="3571"/>
      <c r="F128" s="3571"/>
      <c r="G128" s="3571"/>
      <c r="H128" s="3571"/>
      <c r="I128" s="357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4990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172.33</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172.33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6</v>
      </c>
      <c r="D36" s="220"/>
      <c r="E36" s="220"/>
      <c r="F36" s="259">
        <f>'数据-取费表'!B34</f>
        <v>0.1</v>
      </c>
      <c r="G36" s="260" t="s">
        <v>1530</v>
      </c>
    </row>
    <row r="37" spans="1:7" s="258" customFormat="1" ht="13.5" customHeight="1">
      <c r="A37" s="780" t="s">
        <v>353</v>
      </c>
      <c r="B37" s="215" t="s">
        <v>1531</v>
      </c>
      <c r="C37" s="249">
        <f ca="1">ROUND(E37*D37*F34/10000,0)</f>
        <v>3</v>
      </c>
      <c r="D37" s="217">
        <f ca="1">D19</f>
        <v>172.33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1" t="s">
        <v>1544</v>
      </c>
    </row>
    <row r="43" spans="1:7" ht="13.5" customHeight="1">
      <c r="A43" s="780" t="s">
        <v>347</v>
      </c>
      <c r="B43" s="215" t="s">
        <v>1545</v>
      </c>
      <c r="C43" s="238">
        <f ca="1">ROUND(IF('数据-取费表'!B22&lt;=1,C39*F22*'数据-取费表'!B21/2,C39*(POWER((1+F22),'数据-取费表'!B21/2)-1)),0)</f>
        <v>0</v>
      </c>
      <c r="D43" s="238"/>
      <c r="E43" s="238"/>
      <c r="F43" s="239"/>
      <c r="G43" s="3642"/>
    </row>
    <row r="44" spans="1:7" ht="13.5" customHeight="1">
      <c r="A44" s="780" t="s">
        <v>348</v>
      </c>
      <c r="B44" s="215" t="s">
        <v>1546</v>
      </c>
      <c r="C44" s="238">
        <f ca="1">ROUND(IF('数据-取费表'!B22&lt;=1,C40*F22*'数据-取费表'!B21/2,C40*(POWER((1+F22),'数据-取费表'!B21/2)-1)),4)</f>
        <v>1E-3</v>
      </c>
      <c r="D44" s="238"/>
      <c r="E44" s="238"/>
      <c r="F44" s="239"/>
      <c r="G44" s="3643"/>
    </row>
    <row r="45" spans="1:7" s="214" customFormat="1" ht="13.5" customHeight="1">
      <c r="A45" s="255" t="s">
        <v>1547</v>
      </c>
      <c r="B45" s="244" t="s">
        <v>1513</v>
      </c>
      <c r="C45" s="245">
        <f ca="1">C46</f>
        <v>18</v>
      </c>
      <c r="D45" s="235">
        <f ca="1">C47</f>
        <v>5.0000000000000001E-3</v>
      </c>
      <c r="E45" s="236" t="s">
        <v>1539</v>
      </c>
      <c r="F45" s="246">
        <f ca="1">F27</f>
        <v>0.25</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102</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82</v>
      </c>
      <c r="D51" s="232"/>
      <c r="E51" s="232"/>
      <c r="F51" s="264"/>
      <c r="G51" s="234" t="s">
        <v>1560</v>
      </c>
    </row>
    <row r="52" spans="1:7" s="208" customFormat="1" ht="16.5" thickBot="1">
      <c r="A52" s="265" t="s">
        <v>1561</v>
      </c>
      <c r="B52" s="266"/>
      <c r="C52" s="267">
        <f ca="1">C31+C51</f>
        <v>86</v>
      </c>
      <c r="D52" s="266"/>
      <c r="E52" s="266"/>
      <c r="F52" s="266"/>
      <c r="G52" s="268"/>
    </row>
    <row r="55" spans="1:7" ht="15">
      <c r="B55" s="270" t="s">
        <v>1562</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北京市昌平区北七家镇美树假日嘉园17号楼3至4层4单元202房地产市场价值预评估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92.543099999999995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5370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27573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27573</v>
      </c>
      <c r="D8" s="222"/>
      <c r="E8" s="220"/>
      <c r="F8" s="221"/>
      <c r="G8" s="1856"/>
    </row>
    <row r="9" spans="1:8" s="214" customFormat="1" ht="13.5" customHeight="1">
      <c r="A9" s="779" t="s">
        <v>355</v>
      </c>
      <c r="B9" s="224" t="s">
        <v>1478</v>
      </c>
      <c r="C9" s="225">
        <f ca="1">ROUND(D9*E9,0)</f>
        <v>27573</v>
      </c>
      <c r="D9" s="845">
        <f ca="1">IF(B1="",'数据-汇总表'!E5,IF(INDIRECT("'数据-取费表'!c"&amp;$G$1)="住宅",INDIRECT("'数据-取费表'!k"&amp;$G$1),0))</f>
        <v>172.33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34466</v>
      </c>
      <c r="D19" s="849">
        <f ca="1">D9+D10</f>
        <v>172.33</v>
      </c>
      <c r="E19" s="211">
        <f>'数据-取费表'!B31</f>
        <v>200</v>
      </c>
      <c r="F19" s="231"/>
      <c r="G19" s="1856"/>
    </row>
    <row r="20" spans="1:7" s="214" customFormat="1" ht="13.5" customHeight="1">
      <c r="A20" s="255" t="s">
        <v>1574</v>
      </c>
      <c r="B20" s="210" t="s">
        <v>1575</v>
      </c>
      <c r="C20" s="232">
        <f ca="1">ROUND((C5+C19)*F20,0)</f>
        <v>1241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6093</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2682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3352</v>
      </c>
      <c r="D24" s="238"/>
      <c r="E24" s="238"/>
      <c r="F24" s="239"/>
      <c r="G24" s="240" t="s">
        <v>1586</v>
      </c>
    </row>
    <row r="25" spans="1:7" s="214" customFormat="1" ht="24">
      <c r="A25" s="780" t="s">
        <v>1476</v>
      </c>
      <c r="B25" s="215" t="s">
        <v>1587</v>
      </c>
      <c r="C25" s="1128">
        <f ca="1">ROUND(IF('数据-取费表'!B22&lt;=1,C20*F22*'数据-取费表'!B22/2,C20*(POWER((1+F22),'数据-取费表'!B22/2)-1)),0)</f>
        <v>59</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15820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15820</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92440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725079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603155</v>
      </c>
      <c r="D34" s="217"/>
      <c r="E34" s="220"/>
      <c r="F34" s="257"/>
      <c r="G34" s="219"/>
    </row>
    <row r="35" spans="1:7" ht="13.5" customHeight="1">
      <c r="A35" s="780" t="s">
        <v>351</v>
      </c>
      <c r="B35" s="215" t="s">
        <v>1527</v>
      </c>
      <c r="C35" s="220">
        <f ca="1">ROUND(C34*F35,0)</f>
        <v>18095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60316</v>
      </c>
      <c r="D36" s="220"/>
      <c r="E36" s="220"/>
      <c r="F36" s="259">
        <f>'数据-取费表'!B34</f>
        <v>0.1</v>
      </c>
      <c r="G36" s="260" t="s">
        <v>1530</v>
      </c>
    </row>
    <row r="37" spans="1:7" s="258" customFormat="1" ht="13.5" customHeight="1">
      <c r="A37" s="780" t="s">
        <v>353</v>
      </c>
      <c r="B37" s="215" t="s">
        <v>1531</v>
      </c>
      <c r="C37" s="249">
        <f ca="1">ROUND(E37*D37,0)</f>
        <v>34466</v>
      </c>
      <c r="D37" s="217">
        <f ca="1">D19</f>
        <v>172.33</v>
      </c>
      <c r="E37" s="249">
        <f>'数据-取费表'!B35</f>
        <v>200</v>
      </c>
      <c r="F37" s="259"/>
      <c r="G37" s="261"/>
    </row>
    <row r="38" spans="1:7" ht="13.5" customHeight="1">
      <c r="A38" s="780" t="s">
        <v>354</v>
      </c>
      <c r="B38" s="215" t="s">
        <v>1533</v>
      </c>
      <c r="C38" s="220">
        <f ca="1">ROUND(C34*F38,0)</f>
        <v>9047</v>
      </c>
      <c r="D38" s="220"/>
      <c r="E38" s="220"/>
      <c r="F38" s="259">
        <f>'数据-取费表'!B36</f>
        <v>1.4999999999999999E-2</v>
      </c>
      <c r="G38" s="219" t="s">
        <v>1528</v>
      </c>
    </row>
    <row r="39" spans="1:7" s="214" customFormat="1" ht="13.5" customHeight="1">
      <c r="A39" s="255" t="s">
        <v>1534</v>
      </c>
      <c r="B39" s="210" t="s">
        <v>1535</v>
      </c>
      <c r="C39" s="232">
        <f ca="1">ROUND(C33*F20,0)</f>
        <v>14502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35130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34441</v>
      </c>
      <c r="D42" s="238"/>
      <c r="E42" s="238"/>
      <c r="F42" s="239"/>
      <c r="G42" s="3641" t="s">
        <v>1591</v>
      </c>
    </row>
    <row r="43" spans="1:7" ht="13.5" customHeight="1">
      <c r="A43" s="780" t="s">
        <v>347</v>
      </c>
      <c r="B43" s="215" t="s">
        <v>1545</v>
      </c>
      <c r="C43" s="238">
        <f ca="1">ROUND(IF('数据-取费表'!B22&lt;=1,C39*F22*'数据-取费表'!B20/2,C39*(POWER((1+F22),'数据-取费表'!B20/2)-1)),0)</f>
        <v>689</v>
      </c>
      <c r="D43" s="238"/>
      <c r="E43" s="238"/>
      <c r="F43" s="239"/>
      <c r="G43" s="3642"/>
    </row>
    <row r="44" spans="1:7" ht="13.5" customHeight="1">
      <c r="A44" s="780" t="s">
        <v>348</v>
      </c>
      <c r="B44" s="215" t="s">
        <v>1546</v>
      </c>
      <c r="C44" s="238">
        <f ca="1">ROUND(IF('数据-取费表'!B22&lt;=1,C40*F22*'数据-取费表'!B20/2,C40*(POWER((1+F22),'数据-取费表'!B20/2)-1)),4)</f>
        <v>1E-3</v>
      </c>
      <c r="D44" s="238"/>
      <c r="E44" s="238"/>
      <c r="F44" s="239"/>
      <c r="G44" s="3643"/>
    </row>
    <row r="45" spans="1:7" s="214" customFormat="1" ht="13.5" customHeight="1">
      <c r="A45" s="255" t="s">
        <v>1547</v>
      </c>
      <c r="B45" s="244" t="s">
        <v>1513</v>
      </c>
      <c r="C45" s="245">
        <f ca="1">C46</f>
        <v>184895</v>
      </c>
      <c r="D45" s="235">
        <f ca="1">C47</f>
        <v>5.0000000000000001E-3</v>
      </c>
      <c r="E45" s="236" t="s">
        <v>1539</v>
      </c>
      <c r="F45" s="246">
        <f ca="1">F27</f>
        <v>0.25</v>
      </c>
      <c r="G45" s="247" t="s">
        <v>1548</v>
      </c>
    </row>
    <row r="46" spans="1:7" s="214" customFormat="1" ht="13.5" customHeight="1">
      <c r="A46" s="780" t="s">
        <v>346</v>
      </c>
      <c r="B46" s="248" t="s">
        <v>1549</v>
      </c>
      <c r="C46" s="249">
        <f ca="1">ROUND((C33+C39)*F27,0)</f>
        <v>184895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1041239</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832991</v>
      </c>
      <c r="D51" s="232"/>
      <c r="E51" s="232"/>
      <c r="F51" s="264"/>
      <c r="G51" s="234" t="s">
        <v>1560</v>
      </c>
    </row>
    <row r="52" spans="1:7" s="208" customFormat="1" ht="16.5" thickBot="1">
      <c r="A52" s="265" t="s">
        <v>1561</v>
      </c>
      <c r="B52" s="266"/>
      <c r="C52" s="267">
        <f ca="1">C31+C51</f>
        <v>925431</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-4</v>
      </c>
      <c r="C2" s="276" t="s">
        <v>1595</v>
      </c>
      <c r="D2" s="276"/>
      <c r="E2" s="2805"/>
      <c r="F2" s="2805"/>
      <c r="G2" s="2805"/>
      <c r="H2" s="2805"/>
      <c r="I2" s="2805"/>
      <c r="J2" s="2805"/>
      <c r="K2" s="2805"/>
    </row>
    <row r="3" spans="1:33" ht="18" customHeight="1" thickBot="1">
      <c r="A3" s="203" t="s">
        <v>1464</v>
      </c>
      <c r="B3" s="204">
        <f ca="1">ROUND(B2*10000/IF(C1="",'数据-汇总表'!E3,INDIRECT("'数据-取费表'!K"&amp;$K$1)),0)</f>
        <v>-232</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172.33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172.33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172.33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0</v>
      </c>
      <c r="D6" s="155" t="s">
        <v>2109</v>
      </c>
      <c r="E6" s="302" t="s">
        <v>696</v>
      </c>
      <c r="F6" s="303">
        <f ca="1">INDIRECT("'数据-取费表'!u"&amp;$G$1)</f>
        <v>0</v>
      </c>
      <c r="G6" s="1384"/>
      <c r="H6" s="1069" t="s">
        <v>398</v>
      </c>
      <c r="I6" s="3646" t="s">
        <v>694</v>
      </c>
      <c r="J6" s="301">
        <f ca="1">ROUND(M6*M8*M7*(1-M9)/10000,0)</f>
        <v>0</v>
      </c>
      <c r="K6" s="155" t="s">
        <v>2108</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2" zoomScale="70" zoomScaleNormal="70" zoomScaleSheetLayoutView="70" workbookViewId="0">
      <selection activeCell="C36" sqref="C36: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41</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430.75979999999998</v>
      </c>
      <c r="C2" s="1387" t="s">
        <v>879</v>
      </c>
      <c r="D2" s="1471">
        <f ca="1">C40+J29+L46</f>
        <v>4307598</v>
      </c>
      <c r="E2" s="1388" t="s">
        <v>880</v>
      </c>
      <c r="F2" s="1389"/>
      <c r="G2" s="2705"/>
      <c r="H2" s="2694"/>
      <c r="I2" s="2694"/>
      <c r="J2" s="2694"/>
      <c r="K2" s="2695"/>
      <c r="L2" s="2694"/>
      <c r="M2" s="2694"/>
    </row>
    <row r="3" spans="1:37" ht="18" customHeight="1" thickBot="1">
      <c r="A3" s="1390" t="s">
        <v>881</v>
      </c>
      <c r="B3" s="1391">
        <f ca="1">IF(ISERROR(D2/F43),0,ROUND(D2/F43,0))</f>
        <v>24996</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143820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143640</v>
      </c>
      <c r="D6" s="155" t="s">
        <v>2106</v>
      </c>
      <c r="E6" s="302" t="s">
        <v>696</v>
      </c>
      <c r="F6" s="303">
        <f ca="1">INDIRECT("'数据-取费表'!u"&amp;$G$1)</f>
        <v>13300</v>
      </c>
      <c r="G6" s="1384"/>
      <c r="H6" s="1069" t="s">
        <v>398</v>
      </c>
      <c r="I6" s="3646" t="s">
        <v>694</v>
      </c>
      <c r="J6" s="301">
        <f ca="1">ROUND(M6*M8*M7*(1-M9),0)</f>
        <v>0</v>
      </c>
      <c r="K6" s="1376"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1</v>
      </c>
      <c r="G7" s="1384"/>
      <c r="H7" s="304"/>
      <c r="I7" s="3647"/>
      <c r="J7" s="306"/>
      <c r="K7" s="307"/>
      <c r="L7" s="302" t="s">
        <v>697</v>
      </c>
      <c r="M7" s="303">
        <f ca="1">F7</f>
        <v>1</v>
      </c>
    </row>
    <row r="8" spans="1:37" ht="18" customHeight="1">
      <c r="A8" s="304"/>
      <c r="B8" s="3647"/>
      <c r="C8" s="306"/>
      <c r="D8" s="307"/>
      <c r="E8" s="302" t="s">
        <v>698</v>
      </c>
      <c r="F8" s="303">
        <f ca="1">INDIRECT("'数据-取费表'!ai"&amp;$G$1)</f>
        <v>12</v>
      </c>
      <c r="G8" s="1384"/>
      <c r="H8" s="304"/>
      <c r="I8" s="3647"/>
      <c r="J8" s="306"/>
      <c r="K8" s="307"/>
      <c r="L8" s="302" t="s">
        <v>698</v>
      </c>
      <c r="M8" s="303">
        <f ca="1">INDIRECT("'数据-取费表'!ai"&amp;$G$1)</f>
        <v>12</v>
      </c>
    </row>
    <row r="9" spans="1:37" ht="18" customHeight="1">
      <c r="A9" s="304"/>
      <c r="B9" s="3648"/>
      <c r="C9" s="306"/>
      <c r="D9" s="307"/>
      <c r="E9" s="302" t="s">
        <v>699</v>
      </c>
      <c r="F9" s="312">
        <f ca="1">INDIRECT("'数据-取费表'!w"&amp;$G$1)</f>
        <v>0.1</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180</v>
      </c>
      <c r="D10" s="1366" t="s">
        <v>2116</v>
      </c>
      <c r="E10" s="313" t="s">
        <v>701</v>
      </c>
      <c r="F10" s="1116" t="s">
        <v>3422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832991</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603155</v>
      </c>
      <c r="D14" s="1345" t="s">
        <v>708</v>
      </c>
      <c r="E14" s="1342"/>
      <c r="F14" s="319"/>
      <c r="G14" s="1384"/>
      <c r="H14" s="982" t="s">
        <v>398</v>
      </c>
      <c r="I14" s="302" t="s">
        <v>709</v>
      </c>
      <c r="J14" s="21">
        <f ca="1">C29</f>
        <v>1041239</v>
      </c>
      <c r="K14" s="12"/>
      <c r="L14" s="807"/>
      <c r="M14" s="808"/>
    </row>
    <row r="15" spans="1:37" s="1397" customFormat="1" ht="18" customHeight="1" thickBot="1">
      <c r="A15" s="982" t="s">
        <v>399</v>
      </c>
      <c r="B15" s="302" t="s">
        <v>710</v>
      </c>
      <c r="C15" s="21">
        <f ca="1">ROUND(C14*F15,0)</f>
        <v>18095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60316</v>
      </c>
      <c r="D16" s="302" t="s">
        <v>711</v>
      </c>
      <c r="E16" s="302" t="s">
        <v>712</v>
      </c>
      <c r="F16" s="322">
        <f ca="1">IF(INDIRECT("'数据-取费表'!c"&amp;$G$1)="住宅",'数据-取费表'!B34,0)</f>
        <v>0.1</v>
      </c>
      <c r="G16" s="1384"/>
      <c r="H16" s="1079" t="s">
        <v>393</v>
      </c>
      <c r="I16" s="1080" t="s">
        <v>714</v>
      </c>
      <c r="J16" s="310">
        <f ca="1">ROUND(J17+J22+J23+J24,0)</f>
        <v>10412</v>
      </c>
      <c r="K16" s="1087" t="s">
        <v>715</v>
      </c>
      <c r="L16" s="1088"/>
      <c r="M16" s="1072"/>
    </row>
    <row r="17" spans="1:37" s="1397" customFormat="1" ht="18" customHeight="1">
      <c r="A17" s="982" t="s">
        <v>681</v>
      </c>
      <c r="B17" s="302" t="s">
        <v>716</v>
      </c>
      <c r="C17" s="21">
        <f ca="1">ROUND(F17*(F43+INDIRECT("'数据-取费表'!S"&amp;$G$1)),0)</f>
        <v>34466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9047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725079</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14502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10412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35130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-10412</v>
      </c>
      <c r="K25" s="1095" t="s">
        <v>753</v>
      </c>
      <c r="L25" s="1096"/>
      <c r="M25" s="1097"/>
    </row>
    <row r="26" spans="1:37" ht="18" customHeight="1">
      <c r="A26" s="982" t="s">
        <v>397</v>
      </c>
      <c r="B26" s="302" t="s">
        <v>754</v>
      </c>
      <c r="C26" s="21">
        <f ca="1">ROUND((C19+C20)*F26,0)</f>
        <v>184895</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1041239</v>
      </c>
      <c r="D29" s="1092"/>
      <c r="E29" s="1090"/>
      <c r="F29" s="1093"/>
      <c r="G29" s="1396"/>
      <c r="H29" s="334" t="s">
        <v>396</v>
      </c>
      <c r="I29" s="335" t="s">
        <v>768</v>
      </c>
      <c r="J29" s="336">
        <f ca="1">ROUND(J26/(1+F40)^F41,0)</f>
        <v>0</v>
      </c>
      <c r="K29" s="337" t="s">
        <v>769</v>
      </c>
      <c r="L29" s="338"/>
      <c r="M29" s="339">
        <f ca="1">INDIRECT("'数据-取费表'!k"&amp;$G$1)</f>
        <v>172.33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16103</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3420</v>
      </c>
      <c r="D31" s="1345" t="s">
        <v>720</v>
      </c>
      <c r="E31" s="1344" t="s">
        <v>770</v>
      </c>
      <c r="F31" s="2315">
        <f ca="1">IF(项目基本情况!B11="企业","——",IF(M47="住宅",IF(F6*F7*F8/12/(1+'数据-取费表'!F30)&gt;100000,4%,2.5%),IF(F6*F7*F8/12/(1+'数据-取费表'!F30)&gt;100000,12%,7%)))</f>
        <v>2.5000000000000001E-2</v>
      </c>
      <c r="G31" s="1384"/>
      <c r="H31" s="2807" t="s">
        <v>2310</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10412</v>
      </c>
      <c r="D36" s="1344" t="s">
        <v>771</v>
      </c>
      <c r="E36" s="302" t="s">
        <v>712</v>
      </c>
      <c r="F36" s="328">
        <f ca="1">INDIRECT("'数据-取费表'!Ak"&amp;$G$1)</f>
        <v>0.01</v>
      </c>
      <c r="G36" s="1384"/>
      <c r="H36" s="2699"/>
      <c r="I36" s="1398"/>
      <c r="J36" s="1399"/>
      <c r="K36" s="2544"/>
      <c r="L36" s="2699"/>
      <c r="M36" s="2699"/>
    </row>
    <row r="37" spans="1:18" ht="18" customHeight="1">
      <c r="A37" s="982" t="s">
        <v>437</v>
      </c>
      <c r="B37" s="302" t="s">
        <v>742</v>
      </c>
      <c r="C37" s="21">
        <f ca="1">ROUND(C13*F37,0)</f>
        <v>833</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1438</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127717</v>
      </c>
      <c r="D39" s="1095" t="s">
        <v>773</v>
      </c>
      <c r="E39" s="1096"/>
      <c r="F39" s="1097"/>
      <c r="G39" s="1384"/>
      <c r="H39" s="2699"/>
      <c r="I39" s="1398"/>
      <c r="J39" s="1399"/>
      <c r="K39" s="2703"/>
      <c r="L39" s="2699"/>
      <c r="M39" s="2699"/>
    </row>
    <row r="40" spans="1:18" ht="18" customHeight="1">
      <c r="A40" s="299" t="s">
        <v>395</v>
      </c>
      <c r="B40" s="300" t="s">
        <v>774</v>
      </c>
      <c r="C40" s="301">
        <f ca="1">ROUND(C39*(1-((1+F42)/(1+F40))^F41)/(F40-F42),0)</f>
        <v>4307598</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454">
        <v>49</v>
      </c>
      <c r="G41" s="1384"/>
      <c r="H41" s="1191"/>
      <c r="I41" s="1398"/>
      <c r="J41" s="1399"/>
      <c r="K41" s="2544"/>
      <c r="L41" s="1191"/>
      <c r="M41" s="1191"/>
    </row>
    <row r="42" spans="1:18" ht="18" customHeight="1">
      <c r="A42" s="308"/>
      <c r="B42" s="309"/>
      <c r="C42" s="310"/>
      <c r="D42" s="327"/>
      <c r="E42" s="302" t="s">
        <v>766</v>
      </c>
      <c r="F42" s="312">
        <f ca="1">INDIRECT("'数据-取费表'!v"&amp;$G$1)</f>
        <v>3.5000000000000003E-2</v>
      </c>
      <c r="G42" s="1384"/>
      <c r="H42" s="1191"/>
      <c r="I42" s="1398"/>
      <c r="J42" s="1399"/>
      <c r="K42" s="2544"/>
      <c r="L42" s="1191"/>
      <c r="M42" s="1191"/>
    </row>
    <row r="43" spans="1:18" ht="18" customHeight="1" thickBot="1">
      <c r="A43" s="334" t="s">
        <v>396</v>
      </c>
      <c r="B43" s="335" t="s">
        <v>776</v>
      </c>
      <c r="C43" s="336">
        <f ca="1">ROUND(C40/F43,0)</f>
        <v>24996</v>
      </c>
      <c r="D43" s="337" t="s">
        <v>777</v>
      </c>
      <c r="E43" s="338" t="s">
        <v>778</v>
      </c>
      <c r="F43" s="339">
        <f ca="1">INDIRECT("'数据-取费表'!k"&amp;$G$1)</f>
        <v>172.33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-451.19049999999999</v>
      </c>
      <c r="D45" s="3431" t="s">
        <v>3358</v>
      </c>
      <c r="E45" s="1400"/>
      <c r="F45" s="1400"/>
      <c r="O45" s="1403" t="s">
        <v>808</v>
      </c>
      <c r="P45" s="1461"/>
      <c r="Q45" s="1461"/>
      <c r="R45" s="1461"/>
    </row>
    <row r="46" spans="1:18" s="1384" customFormat="1" ht="13.5" thickBot="1">
      <c r="A46" s="1404" t="s">
        <v>809</v>
      </c>
      <c r="C46" s="1405">
        <f ca="1">ROUND(C45,0)</f>
        <v>-451</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3400</v>
      </c>
      <c r="K47" s="1416" t="s">
        <v>816</v>
      </c>
      <c r="L47" s="1417">
        <f ca="1">INDIRECT("'数据-取费表'!d"&amp;$G$1)</f>
        <v>70</v>
      </c>
      <c r="M47" s="1380" t="str">
        <f>IF(ISNUMBER(FIND("住宅",C1)),"住宅","非住宅")</f>
        <v>住宅</v>
      </c>
      <c r="O47" s="1418" t="s">
        <v>403</v>
      </c>
      <c r="P47" s="1419" t="s">
        <v>817</v>
      </c>
      <c r="Q47" s="1420">
        <f ca="1">C40+J29</f>
        <v>4307598</v>
      </c>
      <c r="R47" s="1420" t="s">
        <v>818</v>
      </c>
    </row>
    <row r="48" spans="1:18" s="1384" customFormat="1" ht="28.5" thickBot="1">
      <c r="A48" s="1110" t="s">
        <v>438</v>
      </c>
      <c r="B48" s="300" t="s">
        <v>692</v>
      </c>
      <c r="C48" s="1359">
        <f ca="1">C49+C53+C55</f>
        <v>0</v>
      </c>
      <c r="D48" s="1112"/>
      <c r="E48" s="1113"/>
      <c r="F48" s="962"/>
      <c r="G48" s="722"/>
      <c r="H48" s="723"/>
      <c r="I48" s="1421" t="s">
        <v>819</v>
      </c>
      <c r="J48" s="1422" t="s">
        <v>3423</v>
      </c>
      <c r="K48" s="1423" t="s">
        <v>820</v>
      </c>
      <c r="L48" s="1424">
        <f ca="1">INDIRECT("'数据-取费表'!f"&amp;$G$1)</f>
        <v>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1041239</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41</v>
      </c>
      <c r="K51" s="1434" t="s">
        <v>830</v>
      </c>
      <c r="L51" s="1435">
        <f ca="1">ROUND(-PV(INDIRECT("'数据-取费表'!h"&amp;$G$1),J51,(C39-C13*C76),0),0)</f>
        <v>1520611</v>
      </c>
      <c r="M51" s="1436"/>
      <c r="O51" s="1428" t="s">
        <v>407</v>
      </c>
      <c r="P51" s="1419" t="s">
        <v>831</v>
      </c>
      <c r="Q51" s="1431">
        <f>J52</f>
        <v>5.5E-2</v>
      </c>
      <c r="R51" s="1420"/>
    </row>
    <row r="52" spans="1:18" s="1384" customFormat="1" ht="13.5" thickBot="1">
      <c r="A52" s="977"/>
      <c r="B52" s="979"/>
      <c r="C52" s="980"/>
      <c r="D52" s="953"/>
      <c r="E52" s="981" t="s">
        <v>699</v>
      </c>
      <c r="F52" s="1054"/>
      <c r="I52" s="1437" t="s">
        <v>832</v>
      </c>
      <c r="J52" s="1438">
        <v>5.5E-2</v>
      </c>
      <c r="K52" s="1437" t="s">
        <v>833</v>
      </c>
      <c r="L52" s="1438"/>
      <c r="O52" s="1428" t="s">
        <v>408</v>
      </c>
      <c r="P52" s="1419" t="s">
        <v>834</v>
      </c>
      <c r="Q52" s="1420">
        <f ca="1">J53</f>
        <v>41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41</v>
      </c>
      <c r="K53" s="3644" t="s">
        <v>837</v>
      </c>
      <c r="L53" s="3645"/>
      <c r="O53" s="1418" t="s">
        <v>409</v>
      </c>
      <c r="P53" s="1419" t="s">
        <v>838</v>
      </c>
      <c r="Q53" s="1420">
        <f ca="1">Q47+Q48</f>
        <v>4307598</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832991</v>
      </c>
      <c r="D56" s="1447"/>
      <c r="E56" s="1448"/>
      <c r="F56" s="1440"/>
      <c r="I56" s="1449" t="s">
        <v>842</v>
      </c>
      <c r="J56" s="1450" t="s">
        <v>3424</v>
      </c>
      <c r="K56" s="1421" t="s">
        <v>843</v>
      </c>
      <c r="L56" s="1424" t="str">
        <f ca="1">IF(L48&lt;J51,"——",L48-J51)</f>
        <v>——</v>
      </c>
      <c r="O56" s="1418" t="s">
        <v>403</v>
      </c>
      <c r="P56" s="1419" t="s">
        <v>817</v>
      </c>
      <c r="Q56" s="1420">
        <f ca="1">C40+J29</f>
        <v>4307598</v>
      </c>
      <c r="R56" s="1420" t="s">
        <v>818</v>
      </c>
    </row>
    <row r="57" spans="1:18" s="1384" customFormat="1" ht="24.75" thickBot="1">
      <c r="A57" s="1451"/>
      <c r="B57" s="950" t="s">
        <v>767</v>
      </c>
      <c r="C57" s="238">
        <f ca="1">C29</f>
        <v>1041239</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11245</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4307598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10412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833</v>
      </c>
      <c r="D65" s="964" t="s">
        <v>743</v>
      </c>
      <c r="E65" s="950" t="s">
        <v>744</v>
      </c>
      <c r="F65" s="330">
        <f t="shared" ca="1" si="0"/>
        <v>1E-3</v>
      </c>
      <c r="I65" s="1462" t="s">
        <v>867</v>
      </c>
      <c r="J65" s="1463">
        <v>40</v>
      </c>
      <c r="K65" s="1463">
        <v>30</v>
      </c>
      <c r="L65" s="1463">
        <v>50</v>
      </c>
      <c r="M65" s="1465">
        <v>0.02</v>
      </c>
      <c r="O65" s="1418" t="s">
        <v>403</v>
      </c>
      <c r="P65" s="1419" t="s">
        <v>868</v>
      </c>
      <c r="Q65" s="1420">
        <f ca="1">C40+J29</f>
        <v>4307598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-11245</v>
      </c>
      <c r="D67" s="963" t="s">
        <v>753</v>
      </c>
      <c r="E67" s="968"/>
      <c r="F67" s="969"/>
      <c r="O67" s="1428" t="s">
        <v>405</v>
      </c>
      <c r="P67" s="1419" t="s">
        <v>850</v>
      </c>
      <c r="Q67" s="1466">
        <f ca="1">L51</f>
        <v>1520611</v>
      </c>
      <c r="R67" s="1420" t="s">
        <v>870</v>
      </c>
    </row>
    <row r="68" spans="1:18" s="1384" customFormat="1" ht="16.5" thickBot="1">
      <c r="A68" s="947" t="s">
        <v>395</v>
      </c>
      <c r="B68" s="948" t="s">
        <v>774</v>
      </c>
      <c r="C68" s="301">
        <f ca="1">ROUND(C67*(1-((1+F70)/(1+F68))^F69)/(F68-F70),0)</f>
        <v>-204307</v>
      </c>
      <c r="D68" s="965" t="s">
        <v>758</v>
      </c>
      <c r="E68" s="950" t="s">
        <v>759</v>
      </c>
      <c r="F68" s="312">
        <f ca="1">F40</f>
        <v>0.05</v>
      </c>
      <c r="O68" s="1428" t="s">
        <v>406</v>
      </c>
      <c r="P68" s="1467" t="s">
        <v>871</v>
      </c>
      <c r="Q68" s="1420">
        <f ca="1">ROUND(Q69-Q70*Q71,0)</f>
        <v>81902</v>
      </c>
      <c r="R68" s="1420" t="s">
        <v>414</v>
      </c>
    </row>
    <row r="69" spans="1:18" s="1384" customFormat="1" ht="13.5" thickBot="1">
      <c r="A69" s="951"/>
      <c r="B69" s="952"/>
      <c r="C69" s="306"/>
      <c r="D69" s="970" t="s">
        <v>762</v>
      </c>
      <c r="E69" s="950" t="s">
        <v>763</v>
      </c>
      <c r="F69" s="333">
        <f>F41</f>
        <v>49</v>
      </c>
      <c r="O69" s="1428" t="s">
        <v>411</v>
      </c>
      <c r="P69" s="1467" t="s">
        <v>872</v>
      </c>
      <c r="Q69" s="1420">
        <f ca="1">C39</f>
        <v>127717</v>
      </c>
      <c r="R69" s="1420" t="s">
        <v>818</v>
      </c>
    </row>
    <row r="70" spans="1:18" s="1384" customFormat="1" ht="13.5" thickBot="1">
      <c r="A70" s="954"/>
      <c r="B70" s="955"/>
      <c r="C70" s="310"/>
      <c r="D70" s="966"/>
      <c r="E70" s="950" t="s">
        <v>766</v>
      </c>
      <c r="F70" s="1054"/>
      <c r="O70" s="1428" t="s">
        <v>412</v>
      </c>
      <c r="P70" s="1467" t="s">
        <v>873</v>
      </c>
      <c r="Q70" s="1420">
        <f ca="1">C13</f>
        <v>832991</v>
      </c>
      <c r="R70" s="1420" t="s">
        <v>818</v>
      </c>
    </row>
    <row r="71" spans="1:18" s="1384" customFormat="1" ht="13.5" thickBot="1">
      <c r="A71" s="971" t="s">
        <v>396</v>
      </c>
      <c r="B71" s="972" t="s">
        <v>776</v>
      </c>
      <c r="C71" s="336">
        <f ca="1">ROUND(C68/F71,0)</f>
        <v>-1186</v>
      </c>
      <c r="D71" s="973" t="s">
        <v>777</v>
      </c>
      <c r="E71" s="974" t="s">
        <v>778</v>
      </c>
      <c r="F71" s="339">
        <f ca="1">F43</f>
        <v>172.33</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45815</v>
      </c>
      <c r="D75" s="1384"/>
      <c r="E75" s="1384"/>
      <c r="F75" s="1384"/>
      <c r="K75" s="1402"/>
      <c r="L75" s="1384"/>
      <c r="O75" s="1418" t="s">
        <v>409</v>
      </c>
      <c r="P75" s="1419" t="s">
        <v>838</v>
      </c>
      <c r="Q75" s="1420">
        <f ca="1">Q65+Q66</f>
        <v>4307598</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0.64100000000000001</v>
      </c>
    </row>
    <row r="80" spans="1:18">
      <c r="B80" s="340" t="s">
        <v>800</v>
      </c>
      <c r="C80" s="274">
        <f ca="1">ROUND(C75/C39,3)</f>
        <v>0.35899999999999999</v>
      </c>
    </row>
    <row r="81" spans="2:3">
      <c r="B81" s="270" t="s">
        <v>801</v>
      </c>
      <c r="C81" s="238"/>
    </row>
    <row r="82" spans="2:3">
      <c r="B82" s="273" t="s">
        <v>802</v>
      </c>
      <c r="C82" s="275">
        <f ca="1">1-C83</f>
        <v>0.80699999999999994</v>
      </c>
    </row>
    <row r="83" spans="2:3">
      <c r="B83" s="273" t="s">
        <v>803</v>
      </c>
      <c r="C83" s="274">
        <f ca="1">ROUND(C13/C40,3)</f>
        <v>0.193</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49" t="s">
        <v>2320</v>
      </c>
      <c r="K2" s="3650"/>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1" t="s">
        <v>2330</v>
      </c>
      <c r="K3" s="3652"/>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1" t="s">
        <v>2332</v>
      </c>
      <c r="K4" s="3652"/>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3" t="s">
        <v>2336</v>
      </c>
      <c r="B6" s="3654"/>
      <c r="C6" s="3655"/>
      <c r="D6" s="2869"/>
      <c r="E6" s="2870"/>
      <c r="F6" s="2871"/>
      <c r="G6" s="2872"/>
      <c r="H6" s="2847"/>
      <c r="I6" s="2848"/>
      <c r="J6" s="3656">
        <v>1</v>
      </c>
      <c r="K6" s="3657"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56"/>
      <c r="K7" s="3658"/>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60" t="s">
        <v>2350</v>
      </c>
      <c r="C8" s="3661"/>
      <c r="D8" s="2888" t="s">
        <v>2351</v>
      </c>
      <c r="E8" s="2889" t="s">
        <v>2352</v>
      </c>
      <c r="F8" s="2890" t="s">
        <v>2353</v>
      </c>
      <c r="G8" s="2891"/>
      <c r="H8" s="2847"/>
      <c r="I8" s="2848"/>
      <c r="J8" s="3656"/>
      <c r="K8" s="3658"/>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60" t="s">
        <v>2356</v>
      </c>
      <c r="C9" s="3661"/>
      <c r="D9" s="2888">
        <f>ROUND(D6*E9,0)</f>
        <v>0</v>
      </c>
      <c r="E9" s="2892"/>
      <c r="F9" s="2893" t="s">
        <v>2357</v>
      </c>
      <c r="G9" s="2872"/>
      <c r="H9" s="2847"/>
      <c r="I9" s="2848"/>
      <c r="J9" s="3656"/>
      <c r="K9" s="3658"/>
      <c r="L9" s="2882" t="s">
        <v>2358</v>
      </c>
      <c r="M9" s="2883"/>
      <c r="N9" s="2859"/>
      <c r="O9" s="2884"/>
      <c r="P9" s="2884"/>
      <c r="Q9" s="2885">
        <v>365</v>
      </c>
      <c r="R9" s="2886">
        <f t="shared" si="0"/>
        <v>0</v>
      </c>
      <c r="S9" s="2840"/>
      <c r="T9" s="2840"/>
      <c r="U9" s="2840"/>
      <c r="V9" s="2848"/>
    </row>
    <row r="10" spans="1:22" s="2852" customFormat="1" ht="13.15" customHeight="1">
      <c r="A10" s="2887">
        <v>2</v>
      </c>
      <c r="B10" s="3660" t="s">
        <v>2359</v>
      </c>
      <c r="C10" s="3661"/>
      <c r="D10" s="2888">
        <f>ROUND(D6*E10,0)</f>
        <v>0</v>
      </c>
      <c r="E10" s="2892"/>
      <c r="F10" s="2893" t="s">
        <v>2360</v>
      </c>
      <c r="G10" s="2872"/>
      <c r="H10" s="2847"/>
      <c r="I10" s="2848"/>
      <c r="J10" s="3656"/>
      <c r="K10" s="3658"/>
      <c r="L10" s="2882" t="s">
        <v>2361</v>
      </c>
      <c r="M10" s="2883"/>
      <c r="N10" s="2859"/>
      <c r="O10" s="2884"/>
      <c r="P10" s="2884"/>
      <c r="Q10" s="2885">
        <v>365</v>
      </c>
      <c r="R10" s="2886">
        <f t="shared" si="0"/>
        <v>0</v>
      </c>
      <c r="S10" s="2840"/>
      <c r="T10" s="2840"/>
      <c r="U10" s="2840"/>
      <c r="V10" s="2848"/>
    </row>
    <row r="11" spans="1:22" s="2852" customFormat="1" ht="13.15" customHeight="1">
      <c r="A11" s="2887">
        <v>3</v>
      </c>
      <c r="B11" s="3660" t="s">
        <v>2362</v>
      </c>
      <c r="C11" s="3661"/>
      <c r="D11" s="2888">
        <f>D12+D14+D15+D16</f>
        <v>0</v>
      </c>
      <c r="E11" s="2894" t="e">
        <f>D11/D6</f>
        <v>#DIV/0!</v>
      </c>
      <c r="F11" s="2890"/>
      <c r="G11" s="2891"/>
      <c r="H11" s="2847"/>
      <c r="I11" s="2848"/>
      <c r="J11" s="3656"/>
      <c r="K11" s="3658"/>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62" t="s">
        <v>2365</v>
      </c>
      <c r="C12" s="3663"/>
      <c r="D12" s="2896">
        <f>ROUND(D13*1.2%*(1-30%),0)</f>
        <v>0</v>
      </c>
      <c r="E12" s="2897">
        <v>1.2E-2</v>
      </c>
      <c r="F12" s="2890" t="s">
        <v>2366</v>
      </c>
      <c r="G12" s="2891"/>
      <c r="H12" s="2847"/>
      <c r="I12" s="2848"/>
      <c r="J12" s="3656"/>
      <c r="K12" s="3658"/>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56"/>
      <c r="K13" s="3658"/>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62" t="s">
        <v>2371</v>
      </c>
      <c r="C14" s="3663"/>
      <c r="D14" s="2896">
        <f>ROUND(E14*B5/10000,0)</f>
        <v>0</v>
      </c>
      <c r="E14" s="2885"/>
      <c r="F14" s="2890" t="s">
        <v>2372</v>
      </c>
      <c r="G14" s="2891"/>
      <c r="H14" s="2847"/>
      <c r="I14" s="2848"/>
      <c r="J14" s="3656"/>
      <c r="K14" s="3659"/>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62" t="s">
        <v>2375</v>
      </c>
      <c r="C15" s="3663"/>
      <c r="D15" s="2896">
        <f>ROUND(D6*E15,0)</f>
        <v>0</v>
      </c>
      <c r="E15" s="2897">
        <v>5.5E-2</v>
      </c>
      <c r="F15" s="2890" t="s">
        <v>2376</v>
      </c>
      <c r="G15" s="2872"/>
      <c r="H15" s="2847"/>
      <c r="I15" s="2848"/>
      <c r="J15" s="3656">
        <v>2</v>
      </c>
      <c r="K15" s="3657"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62" t="s">
        <v>2384</v>
      </c>
      <c r="C16" s="3663"/>
      <c r="D16" s="2907">
        <f>D6*E16</f>
        <v>0</v>
      </c>
      <c r="E16" s="2908"/>
      <c r="F16" s="2893" t="s">
        <v>2385</v>
      </c>
      <c r="G16" s="2872"/>
      <c r="H16" s="2847"/>
      <c r="I16" s="2848"/>
      <c r="J16" s="3656"/>
      <c r="K16" s="3658"/>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64" t="s">
        <v>2387</v>
      </c>
      <c r="C17" s="3665"/>
      <c r="D17" s="2910">
        <f>ROUND(D6*E17,0)</f>
        <v>0</v>
      </c>
      <c r="E17" s="2911"/>
      <c r="F17" s="2912" t="s">
        <v>2388</v>
      </c>
      <c r="G17" s="2872"/>
      <c r="H17" s="2847"/>
      <c r="I17" s="2848"/>
      <c r="J17" s="3656"/>
      <c r="K17" s="3658"/>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56"/>
      <c r="K18" s="3658"/>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56"/>
      <c r="K19" s="3659"/>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6">
        <v>3</v>
      </c>
      <c r="K20" s="3657"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56"/>
      <c r="K21" s="3658"/>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56"/>
      <c r="K22" s="3658"/>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56"/>
      <c r="K23" s="3658"/>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56"/>
      <c r="K24" s="3659"/>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66">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6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9" t="s">
        <v>2320</v>
      </c>
      <c r="K32" s="3650"/>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1" t="s">
        <v>2330</v>
      </c>
      <c r="K33" s="3652"/>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1" t="s">
        <v>2332</v>
      </c>
      <c r="K34" s="365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56">
        <v>1</v>
      </c>
      <c r="K36" s="3657"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56"/>
      <c r="K37" s="3658"/>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6"/>
      <c r="K38" s="3658"/>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56"/>
      <c r="K39" s="3658"/>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56"/>
      <c r="K40" s="3659"/>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6">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6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430.75979999999998</v>
      </c>
      <c r="C2" s="1872" t="s">
        <v>1651</v>
      </c>
      <c r="D2" s="1873" t="s">
        <v>1652</v>
      </c>
      <c r="E2" s="2607">
        <f>SUM(E6:E13)</f>
        <v>172.33</v>
      </c>
      <c r="F2" s="2706"/>
      <c r="G2" s="1489"/>
      <c r="H2" s="1489"/>
      <c r="I2" s="1489"/>
      <c r="J2" s="1489"/>
      <c r="K2" s="1489"/>
      <c r="L2" s="1489"/>
      <c r="M2" s="1489"/>
      <c r="N2" s="1489"/>
      <c r="O2" s="1489"/>
      <c r="P2" s="1489"/>
      <c r="Q2" s="1489"/>
      <c r="R2" s="1489"/>
      <c r="S2" s="1489"/>
    </row>
    <row r="3" spans="1:22" ht="15.75">
      <c r="A3" s="1870" t="s">
        <v>686</v>
      </c>
      <c r="B3" s="2601">
        <f ca="1">ROUND(B2*10000/E2,0)</f>
        <v>24996</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68" t="s">
        <v>1654</v>
      </c>
      <c r="C5" s="3669"/>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430.75979999999998</v>
      </c>
      <c r="C6" s="1872" t="s">
        <v>1651</v>
      </c>
      <c r="D6" s="2708"/>
      <c r="E6" s="2606">
        <f>IF(OR(A6=0,F6="否"),0,'数据-取费表'!K6+'数据-取费表'!S6)</f>
        <v>172.33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25" zoomScale="80" zoomScaleNormal="60" zoomScaleSheetLayoutView="80" workbookViewId="0">
      <selection activeCell="I16" sqref="I1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3382</v>
      </c>
      <c r="E1" s="3425" t="s">
        <v>3386</v>
      </c>
      <c r="F1" s="1879" t="s">
        <v>3387</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639.44770000000005</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37106</v>
      </c>
      <c r="C3" s="354" t="s">
        <v>1665</v>
      </c>
      <c r="D3" s="353">
        <f>IF(D1="",'数据-汇总表'!E3,SUMIF('数据-汇总表'!$C19:$C33,D1,'数据-汇总表'!$E19:$E33))</f>
        <v>172.33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4"/>
      <c r="M4" s="2715"/>
      <c r="N4" s="2715"/>
      <c r="O4" s="2715"/>
      <c r="P4" s="3693" t="s">
        <v>1672</v>
      </c>
      <c r="Q4" s="3694"/>
      <c r="R4" s="3675" t="s">
        <v>1668</v>
      </c>
      <c r="S4" s="3676"/>
      <c r="T4" s="3675" t="s">
        <v>1669</v>
      </c>
      <c r="U4" s="3676"/>
      <c r="V4" s="3701" t="s">
        <v>1670</v>
      </c>
      <c r="W4" s="3701"/>
      <c r="X4" s="1355"/>
      <c r="Y4" s="3675" t="s">
        <v>1672</v>
      </c>
      <c r="Z4" s="3676"/>
      <c r="AA4" s="3670" t="s">
        <v>1668</v>
      </c>
      <c r="AB4" s="3670" t="s">
        <v>1669</v>
      </c>
      <c r="AC4" s="3670" t="s">
        <v>1670</v>
      </c>
    </row>
    <row r="5" spans="1:29" ht="15">
      <c r="A5" s="358"/>
      <c r="B5" s="359"/>
      <c r="C5" s="3681" t="s">
        <v>1673</v>
      </c>
      <c r="D5" s="3682"/>
      <c r="E5" s="3679" t="s">
        <v>1674</v>
      </c>
      <c r="F5" s="3680"/>
      <c r="G5" s="3681" t="s">
        <v>1675</v>
      </c>
      <c r="H5" s="3682"/>
      <c r="I5" s="3681" t="s">
        <v>1676</v>
      </c>
      <c r="J5" s="3682"/>
      <c r="K5" s="1890"/>
      <c r="L5" s="2714"/>
      <c r="M5" s="2715"/>
      <c r="N5" s="2715"/>
      <c r="O5" s="2715"/>
      <c r="P5" s="3695"/>
      <c r="Q5" s="3696"/>
      <c r="R5" s="3677"/>
      <c r="S5" s="3678"/>
      <c r="T5" s="3677"/>
      <c r="U5" s="3678"/>
      <c r="V5" s="3701"/>
      <c r="W5" s="3701"/>
      <c r="X5" s="1355"/>
      <c r="Y5" s="3677"/>
      <c r="Z5" s="3678"/>
      <c r="AA5" s="3671"/>
      <c r="AB5" s="3671"/>
      <c r="AC5" s="3671"/>
    </row>
    <row r="6" spans="1:29" ht="30.75" customHeight="1" thickBot="1">
      <c r="A6" s="360"/>
      <c r="B6" s="361"/>
      <c r="C6" s="3683" t="str">
        <f>项目基本情况!F10</f>
        <v>昌平区北七家镇美树假日嘉园17号楼3至4层4单元202</v>
      </c>
      <c r="D6" s="3684"/>
      <c r="E6" s="3685" t="s">
        <v>3391</v>
      </c>
      <c r="F6" s="3686"/>
      <c r="G6" s="3687" t="s">
        <v>3392</v>
      </c>
      <c r="H6" s="3684"/>
      <c r="I6" s="3687"/>
      <c r="J6" s="3684"/>
      <c r="K6" s="1890" t="s">
        <v>1678</v>
      </c>
      <c r="L6" s="2714"/>
      <c r="M6" s="2715"/>
      <c r="N6" s="2715"/>
      <c r="O6" s="2715"/>
      <c r="P6" s="3697"/>
      <c r="Q6" s="3698"/>
      <c r="R6" s="3677"/>
      <c r="S6" s="3678"/>
      <c r="T6" s="3699"/>
      <c r="U6" s="3700"/>
      <c r="V6" s="3701"/>
      <c r="W6" s="3701"/>
      <c r="X6" s="1355"/>
      <c r="Y6" s="3699"/>
      <c r="Z6" s="3700"/>
      <c r="AA6" s="3672"/>
      <c r="AB6" s="3672"/>
      <c r="AC6" s="3672"/>
    </row>
    <row r="7" spans="1:29" s="108" customFormat="1" ht="15.75" thickBot="1">
      <c r="A7" s="362" t="s">
        <v>1679</v>
      </c>
      <c r="B7" s="363"/>
      <c r="C7" s="364">
        <f>'数据-取费表'!B2</f>
        <v>45014</v>
      </c>
      <c r="D7" s="365">
        <v>100</v>
      </c>
      <c r="E7" s="366">
        <v>44492</v>
      </c>
      <c r="F7" s="367">
        <f>SUMIF(58:58,YEAR(E7)&amp;"-"&amp;MONTH(E7),59:59)</f>
        <v>97.5</v>
      </c>
      <c r="G7" s="366">
        <v>44372</v>
      </c>
      <c r="H7" s="365">
        <f>SUMIF(58:58,YEAR(G7)&amp;"-"&amp;MONTH(G7),59:59)</f>
        <v>96.5</v>
      </c>
      <c r="I7" s="366">
        <f>案例!O151</f>
        <v>44941</v>
      </c>
      <c r="J7" s="365">
        <f>SUMIF(58:58,YEAR(I7)&amp;"-"&amp;MONTH(I7),59:59)</f>
        <v>100</v>
      </c>
      <c r="K7" s="1891"/>
      <c r="L7" s="2716"/>
      <c r="M7" s="2717"/>
      <c r="N7" s="2717"/>
      <c r="O7" s="2717"/>
      <c r="P7" s="3673" t="s">
        <v>1680</v>
      </c>
      <c r="Q7" s="3702"/>
      <c r="R7" s="701" t="s">
        <v>20</v>
      </c>
      <c r="S7" s="702">
        <f t="shared" ref="S7:S15" si="0">F7</f>
        <v>97.5</v>
      </c>
      <c r="T7" s="701" t="s">
        <v>20</v>
      </c>
      <c r="U7" s="702">
        <f t="shared" ref="U7:U15" si="1">H7</f>
        <v>96.5</v>
      </c>
      <c r="V7" s="701" t="s">
        <v>20</v>
      </c>
      <c r="W7" s="702">
        <f t="shared" ref="W7:W15" si="2">J7</f>
        <v>100</v>
      </c>
      <c r="X7" s="703"/>
      <c r="Y7" s="3673" t="s">
        <v>1680</v>
      </c>
      <c r="Z7" s="3674"/>
      <c r="AA7" s="704">
        <f>D7/F7</f>
        <v>1.0256410256410255</v>
      </c>
      <c r="AB7" s="704">
        <f>D7/H7</f>
        <v>1.0362694300518134</v>
      </c>
      <c r="AC7" s="704">
        <f>D7/J7</f>
        <v>1</v>
      </c>
    </row>
    <row r="8" spans="1:29" s="108" customFormat="1" ht="15.7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6"/>
      <c r="M8" s="2717"/>
      <c r="N8" s="2717"/>
      <c r="O8" s="2717"/>
      <c r="P8" s="3673" t="s">
        <v>1683</v>
      </c>
      <c r="Q8" s="3674"/>
      <c r="R8" s="701" t="s">
        <v>20</v>
      </c>
      <c r="S8" s="702">
        <f t="shared" si="0"/>
        <v>100</v>
      </c>
      <c r="T8" s="701" t="s">
        <v>20</v>
      </c>
      <c r="U8" s="702">
        <f t="shared" si="1"/>
        <v>100</v>
      </c>
      <c r="V8" s="701" t="s">
        <v>20</v>
      </c>
      <c r="W8" s="702">
        <f t="shared" si="2"/>
        <v>100</v>
      </c>
      <c r="X8" s="703"/>
      <c r="Y8" s="3673" t="s">
        <v>1683</v>
      </c>
      <c r="Z8" s="367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8"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8"/>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688"/>
      <c r="Q11" s="1343" t="str">
        <f t="shared" si="6"/>
        <v>容积率</v>
      </c>
      <c r="R11" s="701" t="s">
        <v>18</v>
      </c>
      <c r="S11" s="702">
        <f t="shared" si="0"/>
        <v>100</v>
      </c>
      <c r="T11" s="701" t="s">
        <v>18</v>
      </c>
      <c r="U11" s="702">
        <f t="shared" si="1"/>
        <v>100</v>
      </c>
      <c r="V11" s="701" t="s">
        <v>18</v>
      </c>
      <c r="W11" s="702">
        <f t="shared" si="2"/>
        <v>100</v>
      </c>
      <c r="X11" s="703"/>
      <c r="Y11" s="3617"/>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8"/>
      <c r="Q12" s="1343">
        <f t="shared" si="6"/>
        <v>111</v>
      </c>
      <c r="R12" s="701" t="s">
        <v>18</v>
      </c>
      <c r="S12" s="702">
        <f t="shared" si="0"/>
        <v>100</v>
      </c>
      <c r="T12" s="701" t="s">
        <v>18</v>
      </c>
      <c r="U12" s="702">
        <f t="shared" si="1"/>
        <v>100</v>
      </c>
      <c r="V12" s="701" t="s">
        <v>18</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8"/>
      <c r="Q13" s="1343">
        <f t="shared" si="6"/>
        <v>111</v>
      </c>
      <c r="R13" s="701" t="s">
        <v>18</v>
      </c>
      <c r="S13" s="702">
        <f t="shared" si="0"/>
        <v>100</v>
      </c>
      <c r="T13" s="701" t="s">
        <v>18</v>
      </c>
      <c r="U13" s="702">
        <f t="shared" si="1"/>
        <v>100</v>
      </c>
      <c r="V13" s="701" t="s">
        <v>18</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8"/>
      <c r="Q14" s="1343">
        <f t="shared" si="6"/>
        <v>111</v>
      </c>
      <c r="R14" s="701" t="s">
        <v>18</v>
      </c>
      <c r="S14" s="702">
        <f t="shared" si="0"/>
        <v>100</v>
      </c>
      <c r="T14" s="701" t="s">
        <v>18</v>
      </c>
      <c r="U14" s="702">
        <f t="shared" si="1"/>
        <v>100</v>
      </c>
      <c r="V14" s="701" t="s">
        <v>18</v>
      </c>
      <c r="W14" s="702">
        <f t="shared" si="2"/>
        <v>100</v>
      </c>
      <c r="X14" s="703"/>
      <c r="Y14" s="361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5" t="s">
        <v>1691</v>
      </c>
      <c r="Q15" s="1352" t="str">
        <f t="shared" si="6"/>
        <v>居住社区成熟度</v>
      </c>
      <c r="R15" s="705" t="s">
        <v>18</v>
      </c>
      <c r="S15" s="706">
        <f t="shared" si="0"/>
        <v>100</v>
      </c>
      <c r="T15" s="705" t="s">
        <v>18</v>
      </c>
      <c r="U15" s="706">
        <f t="shared" si="1"/>
        <v>100</v>
      </c>
      <c r="V15" s="705" t="s">
        <v>18</v>
      </c>
      <c r="W15" s="706">
        <f t="shared" si="2"/>
        <v>100</v>
      </c>
      <c r="X15" s="1355"/>
      <c r="Y15" s="3708" t="s">
        <v>1691</v>
      </c>
      <c r="Z15" s="1356" t="str">
        <f t="shared" si="7"/>
        <v>居住社区成熟度</v>
      </c>
      <c r="AA15" s="1353">
        <f t="shared" si="3"/>
        <v>1</v>
      </c>
      <c r="AB15" s="1353">
        <f t="shared" si="4"/>
        <v>1</v>
      </c>
      <c r="AC15" s="1353">
        <f t="shared" si="5"/>
        <v>1</v>
      </c>
    </row>
    <row r="16" spans="1:29" ht="15">
      <c r="A16" s="379"/>
      <c r="B16" s="397"/>
      <c r="C16" s="398" t="s">
        <v>3397</v>
      </c>
      <c r="D16" s="399"/>
      <c r="E16" s="1897" t="s">
        <v>3397</v>
      </c>
      <c r="F16" s="399"/>
      <c r="G16" s="1898" t="s">
        <v>3397</v>
      </c>
      <c r="H16" s="401"/>
      <c r="I16" s="1898" t="s">
        <v>3397</v>
      </c>
      <c r="J16" s="399"/>
      <c r="K16" s="1899"/>
      <c r="L16" s="2721"/>
      <c r="M16" s="2715"/>
      <c r="N16" s="2715"/>
      <c r="O16" s="2715"/>
      <c r="P16" s="3716"/>
      <c r="Q16" s="1352"/>
      <c r="R16" s="705"/>
      <c r="S16" s="706"/>
      <c r="T16" s="705"/>
      <c r="U16" s="706"/>
      <c r="V16" s="705"/>
      <c r="W16" s="706"/>
      <c r="X16" s="1355"/>
      <c r="Y16" s="370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6"/>
      <c r="Q17" s="1352" t="str">
        <f>B17</f>
        <v>交通便捷度</v>
      </c>
      <c r="R17" s="705" t="s">
        <v>18</v>
      </c>
      <c r="S17" s="706">
        <f>F17</f>
        <v>100</v>
      </c>
      <c r="T17" s="705" t="s">
        <v>18</v>
      </c>
      <c r="U17" s="706">
        <f>H17</f>
        <v>100</v>
      </c>
      <c r="V17" s="705" t="s">
        <v>18</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16"/>
      <c r="Q18" s="1352"/>
      <c r="R18" s="705"/>
      <c r="S18" s="706"/>
      <c r="T18" s="705"/>
      <c r="U18" s="706"/>
      <c r="V18" s="705"/>
      <c r="W18" s="706"/>
      <c r="X18" s="1355"/>
      <c r="Y18" s="370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6"/>
      <c r="Q19" s="1352" t="str">
        <f>B19</f>
        <v>公共配套设施</v>
      </c>
      <c r="R19" s="705" t="s">
        <v>18</v>
      </c>
      <c r="S19" s="706">
        <f>F19</f>
        <v>100</v>
      </c>
      <c r="T19" s="705" t="s">
        <v>18</v>
      </c>
      <c r="U19" s="706">
        <f>H19</f>
        <v>100</v>
      </c>
      <c r="V19" s="705" t="s">
        <v>18</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16"/>
      <c r="Q20" s="1352"/>
      <c r="R20" s="705"/>
      <c r="S20" s="706"/>
      <c r="T20" s="705"/>
      <c r="U20" s="706"/>
      <c r="V20" s="705"/>
      <c r="W20" s="706"/>
      <c r="X20" s="1355"/>
      <c r="Y20" s="370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16"/>
      <c r="Q22" s="1352"/>
      <c r="R22" s="705"/>
      <c r="S22" s="706"/>
      <c r="T22" s="705"/>
      <c r="U22" s="706"/>
      <c r="V22" s="705"/>
      <c r="W22" s="706"/>
      <c r="X22" s="1355"/>
      <c r="Y22" s="370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6"/>
      <c r="Q23" s="1352" t="str">
        <f>B23</f>
        <v>自然及人文环境</v>
      </c>
      <c r="R23" s="705" t="s">
        <v>18</v>
      </c>
      <c r="S23" s="706">
        <f>F23</f>
        <v>100</v>
      </c>
      <c r="T23" s="705" t="s">
        <v>18</v>
      </c>
      <c r="U23" s="706">
        <f>H23</f>
        <v>100</v>
      </c>
      <c r="V23" s="705" t="s">
        <v>18</v>
      </c>
      <c r="W23" s="706">
        <f>J23</f>
        <v>100</v>
      </c>
      <c r="X23" s="1355"/>
      <c r="Y23" s="370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16"/>
      <c r="Q24" s="1352"/>
      <c r="R24" s="705"/>
      <c r="S24" s="706"/>
      <c r="T24" s="705"/>
      <c r="U24" s="706"/>
      <c r="V24" s="705"/>
      <c r="W24" s="706"/>
      <c r="X24" s="1355"/>
      <c r="Y24" s="3709"/>
      <c r="Z24" s="1356"/>
      <c r="AA24" s="1353">
        <v>1</v>
      </c>
      <c r="AB24" s="1353">
        <v>1</v>
      </c>
      <c r="AC24" s="1353">
        <v>1</v>
      </c>
    </row>
    <row r="25" spans="1:29" ht="15">
      <c r="A25" s="379"/>
      <c r="B25" s="375" t="s">
        <v>1692</v>
      </c>
      <c r="C25" s="411" t="s">
        <v>3399</v>
      </c>
      <c r="D25" s="386">
        <v>100</v>
      </c>
      <c r="E25" s="1906" t="s">
        <v>3399</v>
      </c>
      <c r="F25" s="386">
        <f>SUMIF(86:86,E25,87:87)-SUMIF(86:86,C25,87:87)+100</f>
        <v>100</v>
      </c>
      <c r="G25" s="1907" t="s">
        <v>3399</v>
      </c>
      <c r="H25" s="386">
        <f>SUMIF(86:86,G25,87:87)-SUMIF(86:86,C25,87:87)+100</f>
        <v>100</v>
      </c>
      <c r="I25" s="1907" t="s">
        <v>3399</v>
      </c>
      <c r="J25" s="386">
        <f>SUMIF(86:86,I25,87:87)-SUMIF(86:86,C25,87:87)+100</f>
        <v>100</v>
      </c>
      <c r="K25" s="377"/>
      <c r="L25" s="2721"/>
      <c r="M25" s="2715"/>
      <c r="N25" s="2715"/>
      <c r="O25" s="2715"/>
      <c r="P25" s="371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9"/>
      <c r="Z25" s="1356" t="str">
        <f>Q25</f>
        <v>楼层-1</v>
      </c>
      <c r="AA25" s="1353">
        <f t="shared" ref="AA25:AA46" si="15">D25/F25</f>
        <v>1</v>
      </c>
      <c r="AB25" s="1353">
        <f t="shared" ref="AB25:AB46" si="16">D25/H25</f>
        <v>1</v>
      </c>
      <c r="AC25" s="1353">
        <f t="shared" ref="AC25:AC46" si="17">D25/J25</f>
        <v>1</v>
      </c>
    </row>
    <row r="26" spans="1:29" ht="15">
      <c r="A26" s="379"/>
      <c r="B26" s="375" t="s">
        <v>1693</v>
      </c>
      <c r="C26" s="411" t="s">
        <v>3394</v>
      </c>
      <c r="D26" s="386">
        <v>100</v>
      </c>
      <c r="E26" s="1906" t="s">
        <v>3394</v>
      </c>
      <c r="F26" s="386">
        <f>SUMIF(88:88,E26,89:89)-SUMIF(88:88,C26,89:89)+100</f>
        <v>100</v>
      </c>
      <c r="G26" s="1907" t="s">
        <v>3394</v>
      </c>
      <c r="H26" s="386">
        <f>SUMIF(88:88,G26,89:89)-SUMIF(88:88,C26,89:89)+100</f>
        <v>100</v>
      </c>
      <c r="I26" s="1907" t="s">
        <v>3394</v>
      </c>
      <c r="J26" s="386">
        <f>SUMIF(88:88,I26,89:89)-SUMIF(88:88,C26,89:89)+100</f>
        <v>100</v>
      </c>
      <c r="K26" s="377">
        <v>1</v>
      </c>
      <c r="L26" s="2721"/>
      <c r="M26" s="2715"/>
      <c r="N26" s="2715"/>
      <c r="O26" s="2715"/>
      <c r="P26" s="3716"/>
      <c r="Q26" s="1352" t="str">
        <f t="shared" si="11"/>
        <v>朝向</v>
      </c>
      <c r="R26" s="705" t="s">
        <v>18</v>
      </c>
      <c r="S26" s="706">
        <f t="shared" si="12"/>
        <v>100</v>
      </c>
      <c r="T26" s="705" t="s">
        <v>18</v>
      </c>
      <c r="U26" s="706">
        <f t="shared" si="13"/>
        <v>100</v>
      </c>
      <c r="V26" s="705" t="s">
        <v>18</v>
      </c>
      <c r="W26" s="706">
        <f t="shared" si="14"/>
        <v>100</v>
      </c>
      <c r="X26" s="1355"/>
      <c r="Y26" s="370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16"/>
      <c r="Q27" s="1343">
        <f t="shared" si="11"/>
        <v>111</v>
      </c>
      <c r="R27" s="701" t="s">
        <v>18</v>
      </c>
      <c r="S27" s="702">
        <f t="shared" si="12"/>
        <v>100</v>
      </c>
      <c r="T27" s="701" t="s">
        <v>18</v>
      </c>
      <c r="U27" s="702">
        <f t="shared" si="13"/>
        <v>100</v>
      </c>
      <c r="V27" s="701" t="s">
        <v>18</v>
      </c>
      <c r="W27" s="702">
        <f t="shared" si="14"/>
        <v>100</v>
      </c>
      <c r="X27" s="703"/>
      <c r="Y27" s="370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6"/>
      <c r="Q28" s="1352">
        <f t="shared" si="11"/>
        <v>111</v>
      </c>
      <c r="R28" s="705" t="s">
        <v>18</v>
      </c>
      <c r="S28" s="706">
        <f t="shared" si="12"/>
        <v>100</v>
      </c>
      <c r="T28" s="705" t="s">
        <v>18</v>
      </c>
      <c r="U28" s="706">
        <f t="shared" si="13"/>
        <v>100</v>
      </c>
      <c r="V28" s="705" t="s">
        <v>18</v>
      </c>
      <c r="W28" s="706">
        <f t="shared" si="14"/>
        <v>100</v>
      </c>
      <c r="X28" s="1355"/>
      <c r="Y28" s="370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6"/>
      <c r="Q29" s="1352">
        <f t="shared" si="11"/>
        <v>111</v>
      </c>
      <c r="R29" s="705" t="s">
        <v>18</v>
      </c>
      <c r="S29" s="706">
        <f t="shared" si="12"/>
        <v>100</v>
      </c>
      <c r="T29" s="705" t="s">
        <v>18</v>
      </c>
      <c r="U29" s="706">
        <f t="shared" si="13"/>
        <v>100</v>
      </c>
      <c r="V29" s="705" t="s">
        <v>18</v>
      </c>
      <c r="W29" s="706">
        <f t="shared" si="14"/>
        <v>100</v>
      </c>
      <c r="X29" s="1355"/>
      <c r="Y29" s="370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6"/>
      <c r="Q30" s="1352">
        <f t="shared" si="11"/>
        <v>111</v>
      </c>
      <c r="R30" s="705" t="s">
        <v>18</v>
      </c>
      <c r="S30" s="706">
        <f t="shared" si="12"/>
        <v>100</v>
      </c>
      <c r="T30" s="705" t="s">
        <v>18</v>
      </c>
      <c r="U30" s="706">
        <f t="shared" si="13"/>
        <v>100</v>
      </c>
      <c r="V30" s="705" t="s">
        <v>18</v>
      </c>
      <c r="W30" s="706">
        <f t="shared" si="14"/>
        <v>100</v>
      </c>
      <c r="X30" s="1355"/>
      <c r="Y30" s="370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6"/>
      <c r="Q31" s="1352">
        <f t="shared" si="11"/>
        <v>111</v>
      </c>
      <c r="R31" s="705" t="s">
        <v>18</v>
      </c>
      <c r="S31" s="706">
        <f t="shared" si="12"/>
        <v>100</v>
      </c>
      <c r="T31" s="705" t="s">
        <v>18</v>
      </c>
      <c r="U31" s="706">
        <f t="shared" si="13"/>
        <v>100</v>
      </c>
      <c r="V31" s="705" t="s">
        <v>18</v>
      </c>
      <c r="W31" s="706">
        <f t="shared" si="14"/>
        <v>100</v>
      </c>
      <c r="X31" s="1355"/>
      <c r="Y31" s="370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0" t="s">
        <v>1696</v>
      </c>
      <c r="Q32" s="1352" t="str">
        <f t="shared" si="11"/>
        <v>建筑类型</v>
      </c>
      <c r="R32" s="705" t="s">
        <v>18</v>
      </c>
      <c r="S32" s="706">
        <f t="shared" si="12"/>
        <v>100</v>
      </c>
      <c r="T32" s="705" t="s">
        <v>18</v>
      </c>
      <c r="U32" s="706">
        <f t="shared" si="13"/>
        <v>100</v>
      </c>
      <c r="V32" s="705" t="s">
        <v>18</v>
      </c>
      <c r="W32" s="706">
        <f t="shared" si="14"/>
        <v>100</v>
      </c>
      <c r="X32" s="1355"/>
      <c r="Y32" s="3713" t="s">
        <v>1696</v>
      </c>
      <c r="Z32" s="1356" t="str">
        <f t="shared" si="18"/>
        <v>建筑类型</v>
      </c>
      <c r="AA32" s="1353">
        <f t="shared" si="15"/>
        <v>1</v>
      </c>
      <c r="AB32" s="1353">
        <f t="shared" si="16"/>
        <v>1</v>
      </c>
      <c r="AC32" s="1353">
        <f t="shared" si="17"/>
        <v>1</v>
      </c>
    </row>
    <row r="33" spans="1:29" s="422" customFormat="1" ht="15">
      <c r="A33" s="419"/>
      <c r="B33" s="375" t="s">
        <v>1697</v>
      </c>
      <c r="C33" s="420">
        <f>'数据-基础表'!I13</f>
        <v>172.33</v>
      </c>
      <c r="D33" s="127">
        <v>100</v>
      </c>
      <c r="E33" s="381">
        <v>172.4</v>
      </c>
      <c r="F33" s="376">
        <f>LOOKUP(E33,103:103,104:104)-LOOKUP(C33,103:103,104:104)+100</f>
        <v>100</v>
      </c>
      <c r="G33" s="380">
        <v>172.75</v>
      </c>
      <c r="H33" s="127">
        <f>LOOKUP(G33,103:103,104:104)-LOOKUP(C33,103:103,104:104)+100</f>
        <v>100</v>
      </c>
      <c r="I33" s="381">
        <f>案例!P151</f>
        <v>172.4</v>
      </c>
      <c r="J33" s="127">
        <f>LOOKUP(I33,103:103,104:104)-LOOKUP(C33,103:103,104:104)+100</f>
        <v>100</v>
      </c>
      <c r="K33" s="1894"/>
      <c r="L33" s="2720"/>
      <c r="M33" s="2722"/>
      <c r="N33" s="2722"/>
      <c r="O33" s="2722"/>
      <c r="P33" s="3711"/>
      <c r="Q33" s="707" t="str">
        <f t="shared" si="11"/>
        <v>项目建筑规模</v>
      </c>
      <c r="R33" s="708" t="s">
        <v>18</v>
      </c>
      <c r="S33" s="709">
        <f t="shared" si="12"/>
        <v>100</v>
      </c>
      <c r="T33" s="708" t="s">
        <v>18</v>
      </c>
      <c r="U33" s="709">
        <f t="shared" si="13"/>
        <v>100</v>
      </c>
      <c r="V33" s="708" t="s">
        <v>18</v>
      </c>
      <c r="W33" s="709">
        <f t="shared" si="14"/>
        <v>100</v>
      </c>
      <c r="X33" s="710"/>
      <c r="Y33" s="3713"/>
      <c r="Z33" s="711" t="str">
        <f t="shared" si="18"/>
        <v>项目建筑规模</v>
      </c>
      <c r="AA33" s="1353">
        <f t="shared" si="15"/>
        <v>1</v>
      </c>
      <c r="AB33" s="1353">
        <f t="shared" si="16"/>
        <v>1</v>
      </c>
      <c r="AC33" s="1353">
        <f t="shared" si="17"/>
        <v>1</v>
      </c>
    </row>
    <row r="34" spans="1:29" ht="15">
      <c r="A34" s="423"/>
      <c r="B34" s="375" t="s">
        <v>1698</v>
      </c>
      <c r="C34" s="1912" t="s">
        <v>3400</v>
      </c>
      <c r="D34" s="386">
        <v>100</v>
      </c>
      <c r="E34" s="1913" t="s">
        <v>3400</v>
      </c>
      <c r="F34" s="412">
        <f>SUMIF(105:105,E34,106:106)-SUMIF(105:105,C34,106:106)+100</f>
        <v>100</v>
      </c>
      <c r="G34" s="1912" t="s">
        <v>3400</v>
      </c>
      <c r="H34" s="386">
        <f>SUMIF(105:105,G34,106:106)-SUMIF(105:105,C34,106:106)+100</f>
        <v>100</v>
      </c>
      <c r="I34" s="1913" t="s">
        <v>3400</v>
      </c>
      <c r="J34" s="386">
        <f>SUMIF(105:105,I34,106:106)-SUMIF(105:105,C34,106:106)+100</f>
        <v>100</v>
      </c>
      <c r="K34" s="377"/>
      <c r="L34" s="2721"/>
      <c r="M34" s="2715"/>
      <c r="N34" s="2715"/>
      <c r="O34" s="2715"/>
      <c r="P34" s="3711"/>
      <c r="Q34" s="1352" t="str">
        <f t="shared" si="11"/>
        <v>建筑结构</v>
      </c>
      <c r="R34" s="705" t="s">
        <v>18</v>
      </c>
      <c r="S34" s="706">
        <f t="shared" si="12"/>
        <v>100</v>
      </c>
      <c r="T34" s="705" t="s">
        <v>18</v>
      </c>
      <c r="U34" s="706">
        <f t="shared" si="13"/>
        <v>100</v>
      </c>
      <c r="V34" s="705" t="s">
        <v>18</v>
      </c>
      <c r="W34" s="706">
        <f t="shared" si="14"/>
        <v>100</v>
      </c>
      <c r="X34" s="1355"/>
      <c r="Y34" s="371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1"/>
      <c r="Q35" s="1352" t="str">
        <f t="shared" si="11"/>
        <v>建筑品质</v>
      </c>
      <c r="R35" s="705" t="s">
        <v>18</v>
      </c>
      <c r="S35" s="706">
        <f t="shared" si="12"/>
        <v>100</v>
      </c>
      <c r="T35" s="705" t="s">
        <v>18</v>
      </c>
      <c r="U35" s="706">
        <f t="shared" si="13"/>
        <v>100</v>
      </c>
      <c r="V35" s="705" t="s">
        <v>18</v>
      </c>
      <c r="W35" s="706">
        <f t="shared" si="14"/>
        <v>100</v>
      </c>
      <c r="X35" s="1355"/>
      <c r="Y35" s="371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1"/>
      <c r="Q36" s="1352" t="str">
        <f t="shared" si="11"/>
        <v>公共部分装修</v>
      </c>
      <c r="R36" s="705" t="s">
        <v>18</v>
      </c>
      <c r="S36" s="706">
        <f t="shared" si="12"/>
        <v>100</v>
      </c>
      <c r="T36" s="705" t="s">
        <v>18</v>
      </c>
      <c r="U36" s="706">
        <f t="shared" si="13"/>
        <v>100</v>
      </c>
      <c r="V36" s="705" t="s">
        <v>18</v>
      </c>
      <c r="W36" s="706">
        <f t="shared" si="14"/>
        <v>100</v>
      </c>
      <c r="X36" s="1355"/>
      <c r="Y36" s="3713"/>
      <c r="Z36" s="1356" t="str">
        <f t="shared" si="18"/>
        <v>公共部分装修</v>
      </c>
      <c r="AA36" s="1353">
        <f t="shared" si="15"/>
        <v>1</v>
      </c>
      <c r="AB36" s="1353">
        <f t="shared" si="16"/>
        <v>1</v>
      </c>
      <c r="AC36" s="1353">
        <f t="shared" si="17"/>
        <v>1</v>
      </c>
    </row>
    <row r="37" spans="1:29" s="108" customFormat="1" ht="15">
      <c r="A37" s="424"/>
      <c r="B37" s="375" t="s">
        <v>1701</v>
      </c>
      <c r="C37" s="425">
        <v>0.8</v>
      </c>
      <c r="D37" s="127">
        <v>100</v>
      </c>
      <c r="E37" s="425">
        <v>0.8</v>
      </c>
      <c r="F37" s="376">
        <f>LOOKUP(E37,112:112,113:113)-LOOKUP(C37,112:112,113:113)+100</f>
        <v>100</v>
      </c>
      <c r="G37" s="427">
        <v>0.8</v>
      </c>
      <c r="H37" s="127">
        <f>LOOKUP(G37,112:112,113:113)-LOOKUP(C37,112:112,113:113)+100</f>
        <v>100</v>
      </c>
      <c r="I37" s="426">
        <v>0.8</v>
      </c>
      <c r="J37" s="127">
        <f>LOOKUP(I37,112:112,113:113)-LOOKUP(C37,112:112,113:113)+100</f>
        <v>100</v>
      </c>
      <c r="K37" s="377"/>
      <c r="L37" s="2716"/>
      <c r="M37" s="2717"/>
      <c r="N37" s="2717"/>
      <c r="O37" s="2717"/>
      <c r="P37" s="3711"/>
      <c r="Q37" s="1343" t="str">
        <f t="shared" si="11"/>
        <v>成新度</v>
      </c>
      <c r="R37" s="701" t="s">
        <v>18</v>
      </c>
      <c r="S37" s="702">
        <f t="shared" si="12"/>
        <v>100</v>
      </c>
      <c r="T37" s="701" t="s">
        <v>18</v>
      </c>
      <c r="U37" s="702">
        <f t="shared" si="13"/>
        <v>100</v>
      </c>
      <c r="V37" s="701" t="s">
        <v>18</v>
      </c>
      <c r="W37" s="702">
        <f t="shared" si="14"/>
        <v>100</v>
      </c>
      <c r="X37" s="703"/>
      <c r="Y37" s="3713"/>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1" t="s">
        <v>1696</v>
      </c>
      <c r="Q38" s="1352" t="str">
        <f t="shared" si="11"/>
        <v>物业管理</v>
      </c>
      <c r="R38" s="705" t="s">
        <v>18</v>
      </c>
      <c r="S38" s="706">
        <f t="shared" si="12"/>
        <v>100</v>
      </c>
      <c r="T38" s="705" t="s">
        <v>18</v>
      </c>
      <c r="U38" s="706">
        <f t="shared" si="13"/>
        <v>100</v>
      </c>
      <c r="V38" s="705" t="s">
        <v>18</v>
      </c>
      <c r="W38" s="706">
        <f t="shared" si="14"/>
        <v>100</v>
      </c>
      <c r="X38" s="1355"/>
      <c r="Y38" s="371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1"/>
      <c r="Q39" s="1352" t="str">
        <f t="shared" si="11"/>
        <v>市政基础设施</v>
      </c>
      <c r="R39" s="705" t="s">
        <v>18</v>
      </c>
      <c r="S39" s="706">
        <f t="shared" si="12"/>
        <v>100</v>
      </c>
      <c r="T39" s="705" t="s">
        <v>18</v>
      </c>
      <c r="U39" s="706">
        <f t="shared" si="13"/>
        <v>100</v>
      </c>
      <c r="V39" s="705" t="s">
        <v>18</v>
      </c>
      <c r="W39" s="706">
        <f t="shared" si="14"/>
        <v>100</v>
      </c>
      <c r="X39" s="1355"/>
      <c r="Y39" s="371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1"/>
      <c r="Q40" s="1352" t="str">
        <f t="shared" si="11"/>
        <v>房型</v>
      </c>
      <c r="R40" s="705" t="s">
        <v>18</v>
      </c>
      <c r="S40" s="706">
        <f t="shared" si="12"/>
        <v>100</v>
      </c>
      <c r="T40" s="705" t="s">
        <v>18</v>
      </c>
      <c r="U40" s="706">
        <f t="shared" si="13"/>
        <v>100</v>
      </c>
      <c r="V40" s="705" t="s">
        <v>18</v>
      </c>
      <c r="W40" s="706">
        <f t="shared" si="14"/>
        <v>100</v>
      </c>
      <c r="X40" s="1355"/>
      <c r="Y40" s="371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1"/>
      <c r="Q41" s="707" t="str">
        <f t="shared" si="11"/>
        <v>单套/主力户型建筑面积</v>
      </c>
      <c r="R41" s="708" t="s">
        <v>18</v>
      </c>
      <c r="S41" s="709">
        <f t="shared" si="12"/>
        <v>100</v>
      </c>
      <c r="T41" s="708" t="s">
        <v>18</v>
      </c>
      <c r="U41" s="709">
        <f t="shared" si="13"/>
        <v>100</v>
      </c>
      <c r="V41" s="708" t="s">
        <v>18</v>
      </c>
      <c r="W41" s="709">
        <f t="shared" si="14"/>
        <v>100</v>
      </c>
      <c r="X41" s="710"/>
      <c r="Y41" s="3713"/>
      <c r="Z41" s="711" t="str">
        <f t="shared" si="18"/>
        <v>单套/主力户型建筑面积</v>
      </c>
      <c r="AA41" s="1353">
        <f t="shared" si="15"/>
        <v>1</v>
      </c>
      <c r="AB41" s="1353">
        <f t="shared" si="16"/>
        <v>1</v>
      </c>
      <c r="AC41" s="1353">
        <f t="shared" si="17"/>
        <v>1</v>
      </c>
    </row>
    <row r="42" spans="1:29" ht="15">
      <c r="A42" s="423"/>
      <c r="B42" s="375" t="s">
        <v>1706</v>
      </c>
      <c r="C42" s="1906" t="s">
        <v>3404</v>
      </c>
      <c r="D42" s="386">
        <v>100</v>
      </c>
      <c r="E42" s="1907" t="s">
        <v>3406</v>
      </c>
      <c r="F42" s="412">
        <f>SUMIF(122:122,E42,123:123)-SUMIF(122:122,C42,123:123)+100</f>
        <v>98</v>
      </c>
      <c r="G42" s="1906" t="s">
        <v>3404</v>
      </c>
      <c r="H42" s="386">
        <f>SUMIF(122:122,G42,123:123)-SUMIF(122:122,C42,123:123)+100</f>
        <v>100</v>
      </c>
      <c r="I42" s="1907" t="s">
        <v>3430</v>
      </c>
      <c r="J42" s="386">
        <f>SUMIF(122:122,I42,123:123)-SUMIF(122:122,C42,123:123)+100</f>
        <v>102</v>
      </c>
      <c r="K42" s="377">
        <v>2</v>
      </c>
      <c r="L42" s="2721"/>
      <c r="M42" s="2715"/>
      <c r="N42" s="2715"/>
      <c r="O42" s="2715"/>
      <c r="P42" s="3711"/>
      <c r="Q42" s="1352" t="str">
        <f t="shared" si="11"/>
        <v>内部装修</v>
      </c>
      <c r="R42" s="705" t="s">
        <v>18</v>
      </c>
      <c r="S42" s="706">
        <f t="shared" si="12"/>
        <v>98</v>
      </c>
      <c r="T42" s="705" t="s">
        <v>18</v>
      </c>
      <c r="U42" s="706">
        <f t="shared" si="13"/>
        <v>100</v>
      </c>
      <c r="V42" s="705" t="s">
        <v>18</v>
      </c>
      <c r="W42" s="706">
        <f t="shared" si="14"/>
        <v>102</v>
      </c>
      <c r="X42" s="1355"/>
      <c r="Y42" s="3713"/>
      <c r="Z42" s="1356" t="str">
        <f t="shared" si="18"/>
        <v>内部装修</v>
      </c>
      <c r="AA42" s="1353">
        <f t="shared" si="15"/>
        <v>1.0204081632653061</v>
      </c>
      <c r="AB42" s="1353">
        <f t="shared" si="16"/>
        <v>1</v>
      </c>
      <c r="AC42" s="1353">
        <f t="shared" si="17"/>
        <v>0.98039215686274506</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1"/>
      <c r="Q43" s="1352" t="str">
        <f t="shared" si="11"/>
        <v>内部装修维护情况</v>
      </c>
      <c r="R43" s="705" t="s">
        <v>18</v>
      </c>
      <c r="S43" s="706">
        <f t="shared" si="12"/>
        <v>100</v>
      </c>
      <c r="T43" s="705" t="s">
        <v>18</v>
      </c>
      <c r="U43" s="706">
        <f t="shared" si="13"/>
        <v>100</v>
      </c>
      <c r="V43" s="705" t="s">
        <v>18</v>
      </c>
      <c r="W43" s="706">
        <f t="shared" si="14"/>
        <v>100</v>
      </c>
      <c r="X43" s="1355"/>
      <c r="Y43" s="371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1"/>
      <c r="Q44" s="1343">
        <f t="shared" si="11"/>
        <v>111</v>
      </c>
      <c r="R44" s="701" t="s">
        <v>18</v>
      </c>
      <c r="S44" s="702">
        <f t="shared" si="12"/>
        <v>100</v>
      </c>
      <c r="T44" s="701" t="s">
        <v>18</v>
      </c>
      <c r="U44" s="702">
        <f t="shared" si="13"/>
        <v>100</v>
      </c>
      <c r="V44" s="701" t="s">
        <v>18</v>
      </c>
      <c r="W44" s="702">
        <f t="shared" si="14"/>
        <v>100</v>
      </c>
      <c r="X44" s="703"/>
      <c r="Y44" s="371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1"/>
      <c r="Q45" s="1352">
        <f t="shared" si="11"/>
        <v>111</v>
      </c>
      <c r="R45" s="705" t="s">
        <v>18</v>
      </c>
      <c r="S45" s="706">
        <f t="shared" si="12"/>
        <v>100</v>
      </c>
      <c r="T45" s="705" t="s">
        <v>18</v>
      </c>
      <c r="U45" s="706">
        <f t="shared" si="13"/>
        <v>100</v>
      </c>
      <c r="V45" s="705" t="s">
        <v>18</v>
      </c>
      <c r="W45" s="706">
        <f t="shared" si="14"/>
        <v>100</v>
      </c>
      <c r="X45" s="1355"/>
      <c r="Y45" s="371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2"/>
      <c r="Q46" s="1352">
        <f t="shared" si="11"/>
        <v>111</v>
      </c>
      <c r="R46" s="705" t="s">
        <v>17</v>
      </c>
      <c r="S46" s="706">
        <f t="shared" si="12"/>
        <v>100</v>
      </c>
      <c r="T46" s="705" t="s">
        <v>17</v>
      </c>
      <c r="U46" s="706">
        <f t="shared" si="13"/>
        <v>100</v>
      </c>
      <c r="V46" s="705" t="s">
        <v>17</v>
      </c>
      <c r="W46" s="706">
        <f t="shared" si="14"/>
        <v>100</v>
      </c>
      <c r="X46" s="1355"/>
      <c r="Y46" s="3714"/>
      <c r="Z46" s="1356">
        <f t="shared" si="18"/>
        <v>111</v>
      </c>
      <c r="AA46" s="1353">
        <f t="shared" si="15"/>
        <v>1</v>
      </c>
      <c r="AB46" s="1353">
        <f t="shared" si="16"/>
        <v>1</v>
      </c>
      <c r="AC46" s="1353">
        <f t="shared" si="17"/>
        <v>1</v>
      </c>
    </row>
    <row r="47" spans="1:29" ht="15">
      <c r="A47" s="430" t="s">
        <v>1708</v>
      </c>
      <c r="B47" s="431"/>
      <c r="C47" s="1154" t="s">
        <v>16</v>
      </c>
      <c r="D47" s="1155"/>
      <c r="E47" s="1156">
        <v>36427</v>
      </c>
      <c r="F47" s="1157"/>
      <c r="G47" s="1158">
        <v>35369</v>
      </c>
      <c r="H47" s="1159"/>
      <c r="I47" s="1156">
        <f>案例!R151</f>
        <v>37274</v>
      </c>
      <c r="J47" s="1159"/>
      <c r="K47" s="1914"/>
      <c r="L47" s="2723"/>
      <c r="M47" s="2724"/>
      <c r="N47" s="2715"/>
      <c r="O47" s="2724"/>
      <c r="P47" s="3706" t="str">
        <f>A47</f>
        <v>成交单价（元/平方米）</v>
      </c>
      <c r="Q47" s="3706"/>
      <c r="R47" s="3707">
        <f>E47</f>
        <v>36427</v>
      </c>
      <c r="S47" s="3707"/>
      <c r="T47" s="3707">
        <f>G47</f>
        <v>35369</v>
      </c>
      <c r="U47" s="3707"/>
      <c r="V47" s="3707">
        <f>I47</f>
        <v>37274</v>
      </c>
      <c r="W47" s="3707"/>
      <c r="X47" s="690"/>
      <c r="Y47" s="712"/>
      <c r="Z47" s="690"/>
      <c r="AA47" s="690"/>
      <c r="AB47" s="690"/>
      <c r="AC47" s="690"/>
    </row>
    <row r="48" spans="1:29" ht="15.75" thickBot="1">
      <c r="A48" s="437" t="s">
        <v>1709</v>
      </c>
      <c r="B48" s="438"/>
      <c r="C48" s="1160">
        <f>R49</f>
        <v>37106</v>
      </c>
      <c r="D48" s="2317" t="s">
        <v>2138</v>
      </c>
      <c r="E48" s="1161">
        <f>R48</f>
        <v>38123</v>
      </c>
      <c r="F48" s="2318"/>
      <c r="G48" s="1160">
        <f>T48</f>
        <v>36652</v>
      </c>
      <c r="H48" s="2318"/>
      <c r="I48" s="1161">
        <f>V48</f>
        <v>36543</v>
      </c>
      <c r="J48" s="2318"/>
      <c r="K48" s="2319">
        <f>F48+H48+J48</f>
        <v>0</v>
      </c>
      <c r="L48" s="2723"/>
      <c r="M48" s="2724"/>
      <c r="N48" s="2724"/>
      <c r="O48" s="2724"/>
      <c r="P48" s="3706" t="str">
        <f>A48</f>
        <v>比较价值（元/平方米）</v>
      </c>
      <c r="Q48" s="3706"/>
      <c r="R48" s="3707">
        <f>IF(F1="售价",ROUND(PRODUCT(R47,AA7:AA46),0),ROUND(PRODUCT(R47,AA7:AA46),1))</f>
        <v>38123</v>
      </c>
      <c r="S48" s="3707"/>
      <c r="T48" s="3707">
        <f>IF(F1="售价",ROUND(PRODUCT(T47,AB7:AB46),0),ROUND(PRODUCT(T47,AB7:AB46),1))</f>
        <v>36652</v>
      </c>
      <c r="U48" s="3707"/>
      <c r="V48" s="3707">
        <f>IF(F1="售价",ROUND(PRODUCT(V47,AC7:AC46),0),ROUND(PRODUCT(V47,AC7:AC46),1))</f>
        <v>36543</v>
      </c>
      <c r="W48" s="3707"/>
      <c r="X48" s="690"/>
      <c r="Y48" s="690"/>
      <c r="Z48" s="690"/>
      <c r="AA48" s="690"/>
      <c r="AB48" s="690"/>
      <c r="AC48" s="690"/>
    </row>
    <row r="49" spans="1:29" ht="15.75" thickBot="1">
      <c r="A49" s="441" t="s">
        <v>1710</v>
      </c>
      <c r="B49" s="442"/>
      <c r="C49" s="1162">
        <f>R49</f>
        <v>37106</v>
      </c>
      <c r="D49" s="1163"/>
      <c r="E49" s="1163"/>
      <c r="F49" s="1163"/>
      <c r="G49" s="1163"/>
      <c r="H49" s="1163"/>
      <c r="I49" s="1163"/>
      <c r="J49" s="1163"/>
      <c r="K49" s="1915"/>
      <c r="L49" s="2723"/>
      <c r="M49" s="2724"/>
      <c r="N49" s="2724"/>
      <c r="O49" s="2724"/>
      <c r="P49" s="3703" t="str">
        <f>A49</f>
        <v>估价对象XX用房的比较价值（楼面单价，元/平方米）</v>
      </c>
      <c r="Q49" s="3704"/>
      <c r="R49" s="3705">
        <f>IF(F1="售价",ROUND(IF(D48="简单平均",AVERAGE(R48:V48),R48*F48+T48*H48+V48*J48),0),ROUND(IF(D48="简单平均",AVERAGE(R48:V48),R48*F48+T48*H48+V48*J48),1))</f>
        <v>37106</v>
      </c>
      <c r="S49" s="3705"/>
      <c r="T49" s="3705"/>
      <c r="U49" s="3705"/>
      <c r="V49" s="3705"/>
      <c r="W49" s="370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4.6558871166991533E-2</v>
      </c>
      <c r="F52" s="449" t="str">
        <f>IF(OR(E52&gt;=0.3,E52&lt;=-0.3),"超过30%","")</f>
        <v/>
      </c>
      <c r="G52" s="448">
        <f>IF(G47&lt;G48,G48/G47-1,G47/G48-1)</f>
        <v>3.6274703836693067E-2</v>
      </c>
      <c r="H52" s="449" t="str">
        <f>IF(OR(G52&gt;=0.3,G52&lt;=-0.3),"超过30%","")</f>
        <v/>
      </c>
      <c r="I52" s="448">
        <f>IF(I47&lt;I48,I48/I47-1,I47/I48-1)</f>
        <v>2.0003831103084124E-2</v>
      </c>
      <c r="J52" s="449" t="str">
        <f>IF(OR(I52&gt;=0.3,I52&lt;=-0.3),"超过30%","")</f>
        <v/>
      </c>
      <c r="K52" s="2729"/>
      <c r="L52" s="2725"/>
      <c r="M52" s="2724"/>
      <c r="N52" s="2724"/>
      <c r="O52" s="2724"/>
    </row>
    <row r="53" spans="1:29" ht="13.5" customHeight="1">
      <c r="A53" s="2724"/>
      <c r="B53" s="2724"/>
      <c r="C53" s="446" t="s">
        <v>1712</v>
      </c>
      <c r="D53" s="450"/>
      <c r="E53" s="448">
        <f>IF(E48&lt;G48,G48/E48-1,E48/G48-1)</f>
        <v>4.0134235512386818E-2</v>
      </c>
      <c r="F53" s="449" t="str">
        <f>IF(OR(E53&gt;=0.2,E53&lt;=-0.2),"超过20%","")</f>
        <v/>
      </c>
      <c r="G53" s="448">
        <f>IF(G48&lt;I48,I48/G48-1,G48/I48-1)</f>
        <v>2.9827874011438826E-3</v>
      </c>
      <c r="H53" s="449" t="str">
        <f>IF(OR(G53&gt;=0.2,G53&lt;=-0.2),"超过20%","")</f>
        <v/>
      </c>
      <c r="I53" s="448">
        <f>IF(I48&lt;E48,E48/I48-1,I48/E48-1)</f>
        <v>4.3236734805571553E-2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2.9913200825581798E-2</v>
      </c>
      <c r="F54" s="449" t="str">
        <f>IF(OR(E54&gt;=0.3,E54&lt;=-0.3),"超过30%","")</f>
        <v/>
      </c>
      <c r="G54" s="448">
        <f>IF(G47&lt;I47,I47/G47-1,G47/I47-1)</f>
        <v>5.3860725494076833E-2</v>
      </c>
      <c r="H54" s="449" t="str">
        <f>IF(OR(G54&gt;=0.3,G54&lt;=-0.3),"超过30%","")</f>
        <v/>
      </c>
      <c r="I54" s="448">
        <f>IF(I47&lt;E47,E47/I47-1,I47/E47-1)</f>
        <v>2.3251983418892674E-2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t="s">
        <v>3408</v>
      </c>
      <c r="Q58" s="457" t="s">
        <v>3409</v>
      </c>
      <c r="R58" s="457" t="s">
        <v>3410</v>
      </c>
      <c r="S58" s="457" t="s">
        <v>3411</v>
      </c>
      <c r="T58" s="457" t="s">
        <v>3412</v>
      </c>
      <c r="U58" s="457" t="s">
        <v>3413</v>
      </c>
      <c r="V58" s="457" t="s">
        <v>3414</v>
      </c>
      <c r="W58" s="457" t="s">
        <v>3415</v>
      </c>
      <c r="X58" s="457" t="s">
        <v>3416</v>
      </c>
    </row>
    <row r="59" spans="1:29" s="108" customFormat="1" ht="15">
      <c r="A59" s="458"/>
      <c r="B59" s="1919"/>
      <c r="C59" s="1183">
        <v>100</v>
      </c>
      <c r="D59" s="460">
        <v>100</v>
      </c>
      <c r="E59" s="461">
        <v>100</v>
      </c>
      <c r="F59" s="461">
        <v>99.5</v>
      </c>
      <c r="G59" s="461">
        <f>F59</f>
        <v>99.5</v>
      </c>
      <c r="H59" s="461">
        <f>F59</f>
        <v>99.5</v>
      </c>
      <c r="I59" s="461">
        <v>99</v>
      </c>
      <c r="J59" s="461">
        <f>I59</f>
        <v>99</v>
      </c>
      <c r="K59" s="461">
        <f>I59</f>
        <v>99</v>
      </c>
      <c r="L59" s="461">
        <v>98.5</v>
      </c>
      <c r="M59" s="462">
        <f>L59</f>
        <v>98.5</v>
      </c>
      <c r="N59" s="461">
        <f>L59</f>
        <v>98.5</v>
      </c>
      <c r="O59" s="462">
        <v>98</v>
      </c>
      <c r="P59" s="1920">
        <f>O59</f>
        <v>98</v>
      </c>
      <c r="Q59" s="108">
        <f>O59</f>
        <v>98</v>
      </c>
      <c r="R59" s="108">
        <v>97.5</v>
      </c>
      <c r="S59" s="108">
        <f>R59</f>
        <v>97.5</v>
      </c>
      <c r="T59" s="108">
        <f>R59</f>
        <v>97.5</v>
      </c>
      <c r="U59" s="108">
        <v>97</v>
      </c>
      <c r="V59" s="108">
        <f>U59</f>
        <v>97</v>
      </c>
      <c r="W59" s="108">
        <f>U59</f>
        <v>97</v>
      </c>
      <c r="X59" s="108">
        <v>96.5</v>
      </c>
      <c r="Y59" s="108">
        <f>X59</f>
        <v>96.5</v>
      </c>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1（含）-2</v>
      </c>
      <c r="D67" s="496" t="str">
        <f t="shared" ref="D67:L67" si="20">D68&amp;"（含）"&amp;"-"&amp;E68</f>
        <v>2（含）-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2</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3451" t="s">
        <v>3398</v>
      </c>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2"/>
      <c r="Q87" s="453"/>
    </row>
    <row r="88" spans="1:17" s="108" customFormat="1" ht="15.75" thickTop="1">
      <c r="A88" s="528"/>
      <c r="B88" s="487" t="s">
        <v>1735</v>
      </c>
      <c r="C88" s="3450" t="s">
        <v>3393</v>
      </c>
      <c r="D88" s="3450" t="s">
        <v>3395</v>
      </c>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0(含)-200</v>
      </c>
      <c r="D102" s="527" t="str">
        <f t="shared" ref="D102:L102" si="26">D103&amp;"(含)"&amp;"-"&amp;E103</f>
        <v>200(含)-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200</v>
      </c>
      <c r="E103" s="544"/>
      <c r="F103" s="544"/>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3450" t="s">
        <v>3401</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0" t="s">
        <v>3402</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3403</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0" t="s">
        <v>3431</v>
      </c>
      <c r="D122" s="3450" t="s">
        <v>3405</v>
      </c>
      <c r="E122" s="3450" t="s">
        <v>3407</v>
      </c>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172.33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5" t="s">
        <v>1771</v>
      </c>
      <c r="S4" s="3676"/>
      <c r="T4" s="3675" t="s">
        <v>1772</v>
      </c>
      <c r="U4" s="3676"/>
      <c r="V4" s="3701" t="s">
        <v>1773</v>
      </c>
      <c r="W4" s="3701"/>
      <c r="X4" s="1355"/>
      <c r="Y4" s="3675" t="s">
        <v>1775</v>
      </c>
      <c r="Z4" s="3676"/>
      <c r="AA4" s="3670" t="s">
        <v>1771</v>
      </c>
      <c r="AB4" s="370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5"/>
      <c r="Q5" s="3696"/>
      <c r="R5" s="3677"/>
      <c r="S5" s="3678"/>
      <c r="T5" s="3677"/>
      <c r="U5" s="3678"/>
      <c r="V5" s="3701"/>
      <c r="W5" s="3701"/>
      <c r="X5" s="1355"/>
      <c r="Y5" s="3677"/>
      <c r="Z5" s="3678"/>
      <c r="AA5" s="3671"/>
      <c r="AB5" s="3701"/>
      <c r="AC5" s="3671"/>
    </row>
    <row r="6" spans="1:29" ht="15.75" thickBot="1">
      <c r="A6" s="360"/>
      <c r="B6" s="361"/>
      <c r="C6" s="3717" t="s">
        <v>1677</v>
      </c>
      <c r="D6" s="3684"/>
      <c r="E6" s="3718" t="s">
        <v>1677</v>
      </c>
      <c r="F6" s="3686"/>
      <c r="G6" s="3717" t="s">
        <v>1677</v>
      </c>
      <c r="H6" s="3684"/>
      <c r="I6" s="3717" t="s">
        <v>1677</v>
      </c>
      <c r="J6" s="3684"/>
      <c r="K6" s="559" t="s">
        <v>1678</v>
      </c>
      <c r="L6" s="2714"/>
      <c r="M6" s="2715"/>
      <c r="N6" s="2715"/>
      <c r="O6" s="2715"/>
      <c r="P6" s="3697"/>
      <c r="Q6" s="3698"/>
      <c r="R6" s="3677"/>
      <c r="S6" s="3678"/>
      <c r="T6" s="3699"/>
      <c r="U6" s="3700"/>
      <c r="V6" s="3701"/>
      <c r="W6" s="3701"/>
      <c r="X6" s="1355"/>
      <c r="Y6" s="3699"/>
      <c r="Z6" s="3700"/>
      <c r="AA6" s="3672"/>
      <c r="AB6" s="3701"/>
      <c r="AC6" s="3672"/>
    </row>
    <row r="7" spans="1:29" s="108" customFormat="1" ht="15.75" thickBot="1">
      <c r="A7" s="362" t="s">
        <v>1679</v>
      </c>
      <c r="B7" s="363"/>
      <c r="C7" s="364">
        <f>'数据-取费表'!B2</f>
        <v>45014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3" t="s">
        <v>1680</v>
      </c>
      <c r="Q7" s="3702"/>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8"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8"/>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8"/>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8"/>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8"/>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8"/>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5" t="s">
        <v>1691</v>
      </c>
      <c r="Q15" s="1352" t="str">
        <f t="shared" si="6"/>
        <v>商业繁华度</v>
      </c>
      <c r="R15" s="705" t="s">
        <v>14</v>
      </c>
      <c r="S15" s="706">
        <f t="shared" si="0"/>
        <v>100</v>
      </c>
      <c r="T15" s="705" t="s">
        <v>14</v>
      </c>
      <c r="U15" s="706">
        <f t="shared" si="1"/>
        <v>100</v>
      </c>
      <c r="V15" s="705" t="s">
        <v>14</v>
      </c>
      <c r="W15" s="706">
        <f t="shared" si="2"/>
        <v>100</v>
      </c>
      <c r="X15" s="1355"/>
      <c r="Y15" s="370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6"/>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6"/>
      <c r="Q18" s="1352"/>
      <c r="R18" s="705"/>
      <c r="S18" s="706"/>
      <c r="T18" s="705"/>
      <c r="U18" s="706"/>
      <c r="V18" s="705"/>
      <c r="W18" s="706"/>
      <c r="X18" s="1355"/>
      <c r="Y18" s="370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6"/>
      <c r="Q20" s="1352"/>
      <c r="R20" s="705"/>
      <c r="S20" s="706"/>
      <c r="T20" s="705"/>
      <c r="U20" s="706"/>
      <c r="V20" s="705"/>
      <c r="W20" s="706"/>
      <c r="X20" s="1355"/>
      <c r="Y20" s="370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6"/>
      <c r="Q22" s="1352"/>
      <c r="R22" s="705"/>
      <c r="S22" s="706"/>
      <c r="T22" s="705"/>
      <c r="U22" s="706"/>
      <c r="V22" s="705"/>
      <c r="W22" s="706"/>
      <c r="X22" s="1355"/>
      <c r="Y22" s="370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6"/>
      <c r="Q23" s="1352" t="str">
        <f>B23</f>
        <v>自然及人文环境</v>
      </c>
      <c r="R23" s="705" t="s">
        <v>14</v>
      </c>
      <c r="S23" s="706">
        <f>F23</f>
        <v>100</v>
      </c>
      <c r="T23" s="705" t="s">
        <v>14</v>
      </c>
      <c r="U23" s="706">
        <f>H23</f>
        <v>100</v>
      </c>
      <c r="V23" s="705" t="s">
        <v>14</v>
      </c>
      <c r="W23" s="706">
        <f>J23</f>
        <v>100</v>
      </c>
      <c r="X23" s="1355"/>
      <c r="Y23" s="370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6"/>
      <c r="Q24" s="1352"/>
      <c r="R24" s="705"/>
      <c r="S24" s="706"/>
      <c r="T24" s="705"/>
      <c r="U24" s="706"/>
      <c r="V24" s="705"/>
      <c r="W24" s="706"/>
      <c r="X24" s="1355"/>
      <c r="Y24" s="370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6"/>
      <c r="Q25" s="1352" t="str">
        <f t="shared" ref="Q25:Q46" si="11">B25</f>
        <v>临街状况</v>
      </c>
      <c r="R25" s="705" t="s">
        <v>14</v>
      </c>
      <c r="S25" s="706">
        <f>F25</f>
        <v>100</v>
      </c>
      <c r="T25" s="705" t="s">
        <v>14</v>
      </c>
      <c r="U25" s="706">
        <f>H25</f>
        <v>100</v>
      </c>
      <c r="V25" s="705" t="s">
        <v>14</v>
      </c>
      <c r="W25" s="706">
        <f>J25</f>
        <v>100</v>
      </c>
      <c r="X25" s="1355"/>
      <c r="Y25" s="370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6"/>
      <c r="Q26" s="1352" t="str">
        <f t="shared" si="11"/>
        <v>平面位置/可视性</v>
      </c>
      <c r="R26" s="705" t="s">
        <v>14</v>
      </c>
      <c r="S26" s="706">
        <f>F26</f>
        <v>100</v>
      </c>
      <c r="T26" s="705" t="s">
        <v>14</v>
      </c>
      <c r="U26" s="706">
        <f>H26</f>
        <v>100</v>
      </c>
      <c r="V26" s="705" t="s">
        <v>14</v>
      </c>
      <c r="W26" s="706">
        <f>J26</f>
        <v>100</v>
      </c>
      <c r="X26" s="1355"/>
      <c r="Y26" s="370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6"/>
      <c r="Q27" s="1343" t="str">
        <f t="shared" si="11"/>
        <v>人流量</v>
      </c>
      <c r="R27" s="701" t="s">
        <v>14</v>
      </c>
      <c r="S27" s="702">
        <f>F27</f>
        <v>100</v>
      </c>
      <c r="T27" s="701" t="s">
        <v>14</v>
      </c>
      <c r="U27" s="702">
        <f>H27</f>
        <v>100</v>
      </c>
      <c r="V27" s="701" t="s">
        <v>14</v>
      </c>
      <c r="W27" s="702">
        <f>J27</f>
        <v>100</v>
      </c>
      <c r="X27" s="703"/>
      <c r="Y27" s="370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6"/>
      <c r="Q29" s="1352">
        <f t="shared" si="11"/>
        <v>111</v>
      </c>
      <c r="R29" s="705" t="s">
        <v>14</v>
      </c>
      <c r="S29" s="706">
        <f t="shared" si="12"/>
        <v>100</v>
      </c>
      <c r="T29" s="705" t="s">
        <v>14</v>
      </c>
      <c r="U29" s="706">
        <f t="shared" si="13"/>
        <v>100</v>
      </c>
      <c r="V29" s="705" t="s">
        <v>14</v>
      </c>
      <c r="W29" s="706">
        <f t="shared" si="14"/>
        <v>100</v>
      </c>
      <c r="X29" s="1355"/>
      <c r="Y29" s="370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0" t="s">
        <v>1696</v>
      </c>
      <c r="Q32" s="1352" t="str">
        <f t="shared" si="11"/>
        <v>商业类型</v>
      </c>
      <c r="R32" s="705" t="s">
        <v>14</v>
      </c>
      <c r="S32" s="706">
        <f t="shared" si="12"/>
        <v>100</v>
      </c>
      <c r="T32" s="705" t="s">
        <v>14</v>
      </c>
      <c r="U32" s="706">
        <f t="shared" si="13"/>
        <v>100</v>
      </c>
      <c r="V32" s="705" t="s">
        <v>14</v>
      </c>
      <c r="W32" s="706">
        <f t="shared" si="14"/>
        <v>100</v>
      </c>
      <c r="X32" s="1355"/>
      <c r="Y32" s="371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1"/>
      <c r="Q33" s="707" t="str">
        <f t="shared" si="11"/>
        <v>项目建筑规模</v>
      </c>
      <c r="R33" s="708" t="s">
        <v>14</v>
      </c>
      <c r="S33" s="709" t="e">
        <f t="shared" si="12"/>
        <v>#N/A</v>
      </c>
      <c r="T33" s="708" t="s">
        <v>14</v>
      </c>
      <c r="U33" s="709" t="e">
        <f t="shared" si="13"/>
        <v>#N/A</v>
      </c>
      <c r="V33" s="708" t="s">
        <v>14</v>
      </c>
      <c r="W33" s="709" t="e">
        <f t="shared" si="14"/>
        <v>#N/A</v>
      </c>
      <c r="X33" s="710"/>
      <c r="Y33" s="371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1"/>
      <c r="Q34" s="1352" t="str">
        <f t="shared" si="11"/>
        <v>建筑结构</v>
      </c>
      <c r="R34" s="705" t="s">
        <v>14</v>
      </c>
      <c r="S34" s="706">
        <f t="shared" si="12"/>
        <v>100</v>
      </c>
      <c r="T34" s="705" t="s">
        <v>14</v>
      </c>
      <c r="U34" s="706">
        <f t="shared" si="13"/>
        <v>100</v>
      </c>
      <c r="V34" s="705" t="s">
        <v>14</v>
      </c>
      <c r="W34" s="706">
        <f t="shared" si="14"/>
        <v>100</v>
      </c>
      <c r="X34" s="1355"/>
      <c r="Y34" s="371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1"/>
      <c r="Q35" s="1352" t="str">
        <f t="shared" si="11"/>
        <v>公共部分装修</v>
      </c>
      <c r="R35" s="705" t="s">
        <v>14</v>
      </c>
      <c r="S35" s="706">
        <f t="shared" si="12"/>
        <v>100</v>
      </c>
      <c r="T35" s="705" t="s">
        <v>14</v>
      </c>
      <c r="U35" s="706">
        <f t="shared" si="13"/>
        <v>100</v>
      </c>
      <c r="V35" s="705" t="s">
        <v>14</v>
      </c>
      <c r="W35" s="706">
        <f t="shared" si="14"/>
        <v>100</v>
      </c>
      <c r="X35" s="1355"/>
      <c r="Y35" s="371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1"/>
      <c r="Q36" s="1352" t="str">
        <f t="shared" si="11"/>
        <v>成新度</v>
      </c>
      <c r="R36" s="705" t="s">
        <v>14</v>
      </c>
      <c r="S36" s="706" t="e">
        <f t="shared" si="12"/>
        <v>#N/A</v>
      </c>
      <c r="T36" s="705" t="s">
        <v>14</v>
      </c>
      <c r="U36" s="706" t="e">
        <f t="shared" si="13"/>
        <v>#N/A</v>
      </c>
      <c r="V36" s="705" t="s">
        <v>14</v>
      </c>
      <c r="W36" s="706" t="e">
        <f t="shared" si="14"/>
        <v>#N/A</v>
      </c>
      <c r="X36" s="1355"/>
      <c r="Y36" s="371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1"/>
      <c r="Q37" s="1343" t="str">
        <f t="shared" si="11"/>
        <v>市政基础设施</v>
      </c>
      <c r="R37" s="701" t="s">
        <v>14</v>
      </c>
      <c r="S37" s="702">
        <f t="shared" si="12"/>
        <v>100</v>
      </c>
      <c r="T37" s="701" t="s">
        <v>14</v>
      </c>
      <c r="U37" s="702">
        <f t="shared" si="13"/>
        <v>100</v>
      </c>
      <c r="V37" s="701" t="s">
        <v>14</v>
      </c>
      <c r="W37" s="702">
        <f t="shared" si="14"/>
        <v>100</v>
      </c>
      <c r="X37" s="703"/>
      <c r="Y37" s="371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1" t="s">
        <v>1696</v>
      </c>
      <c r="Q38" s="1352" t="str">
        <f t="shared" si="11"/>
        <v>业态</v>
      </c>
      <c r="R38" s="705" t="s">
        <v>14</v>
      </c>
      <c r="S38" s="706">
        <f t="shared" si="12"/>
        <v>100</v>
      </c>
      <c r="T38" s="705" t="s">
        <v>14</v>
      </c>
      <c r="U38" s="706">
        <f t="shared" si="13"/>
        <v>100</v>
      </c>
      <c r="V38" s="705" t="s">
        <v>14</v>
      </c>
      <c r="W38" s="706">
        <f t="shared" si="14"/>
        <v>100</v>
      </c>
      <c r="X38" s="1355"/>
      <c r="Y38" s="371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1"/>
      <c r="Q39" s="1352" t="str">
        <f t="shared" si="11"/>
        <v>层高</v>
      </c>
      <c r="R39" s="705" t="s">
        <v>14</v>
      </c>
      <c r="S39" s="706">
        <f t="shared" si="12"/>
        <v>100</v>
      </c>
      <c r="T39" s="705" t="s">
        <v>14</v>
      </c>
      <c r="U39" s="706">
        <f t="shared" si="13"/>
        <v>100</v>
      </c>
      <c r="V39" s="705" t="s">
        <v>14</v>
      </c>
      <c r="W39" s="706">
        <f t="shared" si="14"/>
        <v>100</v>
      </c>
      <c r="X39" s="1355"/>
      <c r="Y39" s="371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1"/>
      <c r="Q40" s="1352" t="str">
        <f t="shared" si="11"/>
        <v>单套建筑面积</v>
      </c>
      <c r="R40" s="705" t="s">
        <v>14</v>
      </c>
      <c r="S40" s="706">
        <f t="shared" si="12"/>
        <v>100</v>
      </c>
      <c r="T40" s="705" t="s">
        <v>14</v>
      </c>
      <c r="U40" s="706">
        <f t="shared" si="13"/>
        <v>100</v>
      </c>
      <c r="V40" s="705" t="s">
        <v>14</v>
      </c>
      <c r="W40" s="706">
        <f t="shared" si="14"/>
        <v>100</v>
      </c>
      <c r="X40" s="1355"/>
      <c r="Y40" s="371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1"/>
      <c r="Q41" s="707" t="str">
        <f t="shared" si="11"/>
        <v>进深比</v>
      </c>
      <c r="R41" s="708" t="s">
        <v>14</v>
      </c>
      <c r="S41" s="709">
        <f t="shared" si="12"/>
        <v>100</v>
      </c>
      <c r="T41" s="708" t="s">
        <v>14</v>
      </c>
      <c r="U41" s="709">
        <f t="shared" si="13"/>
        <v>100</v>
      </c>
      <c r="V41" s="708" t="s">
        <v>14</v>
      </c>
      <c r="W41" s="709">
        <f t="shared" si="14"/>
        <v>100</v>
      </c>
      <c r="X41" s="710"/>
      <c r="Y41" s="371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1"/>
      <c r="Q42" s="1352" t="str">
        <f t="shared" si="11"/>
        <v>内部装修</v>
      </c>
      <c r="R42" s="705" t="s">
        <v>14</v>
      </c>
      <c r="S42" s="706">
        <f t="shared" si="12"/>
        <v>100</v>
      </c>
      <c r="T42" s="705" t="s">
        <v>14</v>
      </c>
      <c r="U42" s="706">
        <f t="shared" si="13"/>
        <v>100</v>
      </c>
      <c r="V42" s="705" t="s">
        <v>14</v>
      </c>
      <c r="W42" s="706">
        <f t="shared" si="14"/>
        <v>100</v>
      </c>
      <c r="X42" s="1355"/>
      <c r="Y42" s="371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1"/>
      <c r="Q43" s="1352" t="str">
        <f t="shared" si="11"/>
        <v>内部装修维护情况</v>
      </c>
      <c r="R43" s="705" t="s">
        <v>14</v>
      </c>
      <c r="S43" s="706">
        <f t="shared" si="12"/>
        <v>100</v>
      </c>
      <c r="T43" s="705" t="s">
        <v>14</v>
      </c>
      <c r="U43" s="706">
        <f t="shared" si="13"/>
        <v>100</v>
      </c>
      <c r="V43" s="705" t="s">
        <v>14</v>
      </c>
      <c r="W43" s="706">
        <f t="shared" si="14"/>
        <v>100</v>
      </c>
      <c r="X43" s="1355"/>
      <c r="Y43" s="371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1"/>
      <c r="Q44" s="1343">
        <f t="shared" si="11"/>
        <v>111</v>
      </c>
      <c r="R44" s="701" t="s">
        <v>14</v>
      </c>
      <c r="S44" s="702">
        <f t="shared" si="12"/>
        <v>100</v>
      </c>
      <c r="T44" s="701" t="s">
        <v>14</v>
      </c>
      <c r="U44" s="702">
        <f t="shared" si="13"/>
        <v>100</v>
      </c>
      <c r="V44" s="701" t="s">
        <v>14</v>
      </c>
      <c r="W44" s="702">
        <f t="shared" si="14"/>
        <v>100</v>
      </c>
      <c r="X44" s="703"/>
      <c r="Y44" s="371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1"/>
      <c r="Q45" s="1352">
        <f t="shared" si="11"/>
        <v>111</v>
      </c>
      <c r="R45" s="705" t="s">
        <v>14</v>
      </c>
      <c r="S45" s="706">
        <f t="shared" si="12"/>
        <v>100</v>
      </c>
      <c r="T45" s="705" t="s">
        <v>14</v>
      </c>
      <c r="U45" s="706">
        <f t="shared" si="13"/>
        <v>100</v>
      </c>
      <c r="V45" s="705" t="s">
        <v>14</v>
      </c>
      <c r="W45" s="706">
        <f t="shared" si="14"/>
        <v>100</v>
      </c>
      <c r="X45" s="1355"/>
      <c r="Y45" s="371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6" t="str">
        <f>A47</f>
        <v>成交单价（元/平方米）</v>
      </c>
      <c r="Q47" s="3706"/>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172.33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725" t="s">
        <v>1775</v>
      </c>
      <c r="Q4" s="3726"/>
      <c r="R4" s="3720" t="s">
        <v>1771</v>
      </c>
      <c r="S4" s="3721"/>
      <c r="T4" s="3720" t="s">
        <v>1772</v>
      </c>
      <c r="U4" s="3721"/>
      <c r="V4" s="3729" t="s">
        <v>1773</v>
      </c>
      <c r="W4" s="3729"/>
      <c r="X4" s="1958"/>
      <c r="Y4" s="3720" t="s">
        <v>1775</v>
      </c>
      <c r="Z4" s="3721"/>
      <c r="AA4" s="3719" t="s">
        <v>1771</v>
      </c>
      <c r="AB4" s="3719" t="s">
        <v>1772</v>
      </c>
      <c r="AC4" s="3722" t="s">
        <v>1773</v>
      </c>
    </row>
    <row r="5" spans="1:29" ht="15">
      <c r="A5" s="358"/>
      <c r="B5" s="359"/>
      <c r="C5" s="3681" t="s">
        <v>1673</v>
      </c>
      <c r="D5" s="3682"/>
      <c r="E5" s="3679" t="s">
        <v>1674</v>
      </c>
      <c r="F5" s="3680"/>
      <c r="G5" s="3681" t="s">
        <v>1675</v>
      </c>
      <c r="H5" s="3682"/>
      <c r="I5" s="3681" t="s">
        <v>1676</v>
      </c>
      <c r="J5" s="3682"/>
      <c r="K5" s="559"/>
      <c r="L5" s="2714"/>
      <c r="M5" s="2715"/>
      <c r="N5" s="2715"/>
      <c r="O5" s="2715"/>
      <c r="P5" s="3727"/>
      <c r="Q5" s="3696"/>
      <c r="R5" s="3677"/>
      <c r="S5" s="3678"/>
      <c r="T5" s="3677"/>
      <c r="U5" s="3678"/>
      <c r="V5" s="3701"/>
      <c r="W5" s="3701"/>
      <c r="X5" s="1355"/>
      <c r="Y5" s="3677"/>
      <c r="Z5" s="3678"/>
      <c r="AA5" s="3671"/>
      <c r="AB5" s="3671"/>
      <c r="AC5" s="3723"/>
    </row>
    <row r="6" spans="1:29" ht="15.75" thickBot="1">
      <c r="A6" s="360"/>
      <c r="B6" s="361"/>
      <c r="C6" s="3717" t="s">
        <v>1677</v>
      </c>
      <c r="D6" s="3684"/>
      <c r="E6" s="3718" t="s">
        <v>1677</v>
      </c>
      <c r="F6" s="3686"/>
      <c r="G6" s="3717" t="s">
        <v>1677</v>
      </c>
      <c r="H6" s="3684"/>
      <c r="I6" s="3717" t="s">
        <v>1677</v>
      </c>
      <c r="J6" s="3684"/>
      <c r="K6" s="559" t="s">
        <v>1678</v>
      </c>
      <c r="L6" s="2714"/>
      <c r="M6" s="2715"/>
      <c r="N6" s="2715"/>
      <c r="O6" s="2715"/>
      <c r="P6" s="3728"/>
      <c r="Q6" s="3698"/>
      <c r="R6" s="3677"/>
      <c r="S6" s="3678"/>
      <c r="T6" s="3699"/>
      <c r="U6" s="3700"/>
      <c r="V6" s="3701"/>
      <c r="W6" s="3701"/>
      <c r="X6" s="1355"/>
      <c r="Y6" s="3699"/>
      <c r="Z6" s="3700"/>
      <c r="AA6" s="3672"/>
      <c r="AB6" s="3672"/>
      <c r="AC6" s="3724"/>
    </row>
    <row r="7" spans="1:29" s="108" customFormat="1" ht="15.75" thickBot="1">
      <c r="A7" s="362" t="s">
        <v>1679</v>
      </c>
      <c r="B7" s="363"/>
      <c r="C7" s="364">
        <f>'数据-取费表'!B2</f>
        <v>45014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0" t="s">
        <v>1680</v>
      </c>
      <c r="Q7" s="3702"/>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0" t="s">
        <v>1683</v>
      </c>
      <c r="Q8" s="3674"/>
      <c r="R8" s="701" t="s">
        <v>14</v>
      </c>
      <c r="S8" s="702">
        <f t="shared" si="0"/>
        <v>100</v>
      </c>
      <c r="T8" s="701" t="s">
        <v>14</v>
      </c>
      <c r="U8" s="702">
        <f t="shared" si="1"/>
        <v>100</v>
      </c>
      <c r="V8" s="701" t="s">
        <v>14</v>
      </c>
      <c r="W8" s="702">
        <f t="shared" si="2"/>
        <v>100</v>
      </c>
      <c r="X8" s="703"/>
      <c r="Y8" s="3673" t="s">
        <v>1683</v>
      </c>
      <c r="Z8" s="367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8"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8"/>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8"/>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8"/>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8"/>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8"/>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5" t="s">
        <v>1691</v>
      </c>
      <c r="Q15" s="1352" t="str">
        <f t="shared" si="6"/>
        <v>办公集聚程度</v>
      </c>
      <c r="R15" s="705" t="s">
        <v>14</v>
      </c>
      <c r="S15" s="706">
        <f t="shared" si="0"/>
        <v>100</v>
      </c>
      <c r="T15" s="705" t="s">
        <v>14</v>
      </c>
      <c r="U15" s="706">
        <f t="shared" si="1"/>
        <v>100</v>
      </c>
      <c r="V15" s="705" t="s">
        <v>14</v>
      </c>
      <c r="W15" s="706">
        <f t="shared" si="2"/>
        <v>100</v>
      </c>
      <c r="X15" s="1355"/>
      <c r="Y15" s="370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16"/>
      <c r="Q16" s="1352"/>
      <c r="R16" s="705"/>
      <c r="S16" s="706"/>
      <c r="T16" s="705"/>
      <c r="U16" s="706"/>
      <c r="V16" s="705"/>
      <c r="W16" s="706"/>
      <c r="X16" s="1355"/>
      <c r="Y16" s="370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16"/>
      <c r="Q18" s="1352"/>
      <c r="R18" s="705"/>
      <c r="S18" s="706"/>
      <c r="T18" s="705"/>
      <c r="U18" s="706"/>
      <c r="V18" s="705"/>
      <c r="W18" s="706"/>
      <c r="X18" s="1355"/>
      <c r="Y18" s="370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16"/>
      <c r="Q20" s="1352"/>
      <c r="R20" s="705"/>
      <c r="S20" s="706"/>
      <c r="T20" s="705"/>
      <c r="U20" s="706"/>
      <c r="V20" s="705"/>
      <c r="W20" s="706"/>
      <c r="X20" s="1355"/>
      <c r="Y20" s="370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16"/>
      <c r="Q22" s="1352"/>
      <c r="R22" s="705"/>
      <c r="S22" s="706"/>
      <c r="T22" s="705"/>
      <c r="U22" s="706"/>
      <c r="V22" s="705"/>
      <c r="W22" s="706"/>
      <c r="X22" s="1355"/>
      <c r="Y22" s="370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6"/>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16"/>
      <c r="Q24" s="1352"/>
      <c r="R24" s="705"/>
      <c r="S24" s="706"/>
      <c r="T24" s="705"/>
      <c r="U24" s="706"/>
      <c r="V24" s="705"/>
      <c r="W24" s="706"/>
      <c r="X24" s="1355"/>
      <c r="Y24" s="370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6"/>
      <c r="Q25" s="1352" t="str">
        <f>B25</f>
        <v>毗邻道路的类型与等级</v>
      </c>
      <c r="R25" s="705" t="s">
        <v>14</v>
      </c>
      <c r="S25" s="706">
        <f>F25</f>
        <v>100</v>
      </c>
      <c r="T25" s="705" t="s">
        <v>14</v>
      </c>
      <c r="U25" s="706">
        <f>H25</f>
        <v>100</v>
      </c>
      <c r="V25" s="705" t="s">
        <v>14</v>
      </c>
      <c r="W25" s="706">
        <f>J25</f>
        <v>100</v>
      </c>
      <c r="X25" s="1355"/>
      <c r="Y25" s="370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6"/>
      <c r="Q26" s="1352"/>
      <c r="R26" s="705"/>
      <c r="S26" s="706"/>
      <c r="T26" s="705"/>
      <c r="U26" s="706"/>
      <c r="V26" s="705"/>
      <c r="W26" s="706"/>
      <c r="X26" s="1355"/>
      <c r="Y26" s="370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6"/>
      <c r="Q27" s="1352" t="str">
        <f t="shared" ref="Q27:Q47" si="11">B27</f>
        <v>楼层</v>
      </c>
      <c r="R27" s="705" t="s">
        <v>14</v>
      </c>
      <c r="S27" s="706">
        <f>F27</f>
        <v>100</v>
      </c>
      <c r="T27" s="705" t="s">
        <v>14</v>
      </c>
      <c r="U27" s="706">
        <f>H27</f>
        <v>100</v>
      </c>
      <c r="V27" s="705" t="s">
        <v>14</v>
      </c>
      <c r="W27" s="706">
        <f>J27</f>
        <v>100</v>
      </c>
      <c r="X27" s="1355"/>
      <c r="Y27" s="370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16"/>
      <c r="Q28" s="1343" t="str">
        <f t="shared" si="11"/>
        <v>朝向</v>
      </c>
      <c r="R28" s="701" t="s">
        <v>14</v>
      </c>
      <c r="S28" s="702">
        <f>F28</f>
        <v>100</v>
      </c>
      <c r="T28" s="701" t="s">
        <v>14</v>
      </c>
      <c r="U28" s="702">
        <f>H28</f>
        <v>100</v>
      </c>
      <c r="V28" s="701" t="s">
        <v>14</v>
      </c>
      <c r="W28" s="702">
        <f>J28</f>
        <v>100</v>
      </c>
      <c r="X28" s="703"/>
      <c r="Y28" s="370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16"/>
      <c r="Q29" s="1352">
        <f t="shared" si="11"/>
        <v>111</v>
      </c>
      <c r="R29" s="705" t="s">
        <v>14</v>
      </c>
      <c r="S29" s="706">
        <f t="shared" ref="S29:S47" si="12">F29</f>
        <v>100</v>
      </c>
      <c r="T29" s="705" t="s">
        <v>14</v>
      </c>
      <c r="U29" s="706">
        <f t="shared" ref="U29:U47" si="13">H29</f>
        <v>100</v>
      </c>
      <c r="V29" s="705" t="s">
        <v>14</v>
      </c>
      <c r="W29" s="706">
        <f t="shared" ref="W29:W47" si="14">J29</f>
        <v>100</v>
      </c>
      <c r="X29" s="1355"/>
      <c r="Y29" s="370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6"/>
      <c r="Q32" s="1352">
        <f t="shared" si="11"/>
        <v>111</v>
      </c>
      <c r="R32" s="705" t="s">
        <v>14</v>
      </c>
      <c r="S32" s="706">
        <f t="shared" si="12"/>
        <v>100</v>
      </c>
      <c r="T32" s="705" t="s">
        <v>14</v>
      </c>
      <c r="U32" s="706">
        <f t="shared" si="13"/>
        <v>100</v>
      </c>
      <c r="V32" s="705" t="s">
        <v>14</v>
      </c>
      <c r="W32" s="706">
        <f t="shared" si="14"/>
        <v>100</v>
      </c>
      <c r="X32" s="1355"/>
      <c r="Y32" s="370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10" t="s">
        <v>1696</v>
      </c>
      <c r="Q33" s="1352" t="str">
        <f t="shared" si="11"/>
        <v>建筑类型</v>
      </c>
      <c r="R33" s="705" t="s">
        <v>14</v>
      </c>
      <c r="S33" s="706">
        <f t="shared" si="12"/>
        <v>100</v>
      </c>
      <c r="T33" s="705" t="s">
        <v>14</v>
      </c>
      <c r="U33" s="706">
        <f t="shared" si="13"/>
        <v>100</v>
      </c>
      <c r="V33" s="705" t="s">
        <v>14</v>
      </c>
      <c r="W33" s="706">
        <f t="shared" si="14"/>
        <v>100</v>
      </c>
      <c r="X33" s="1355"/>
      <c r="Y33" s="371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1"/>
      <c r="Q34" s="707" t="str">
        <f t="shared" si="11"/>
        <v>项目建筑规模</v>
      </c>
      <c r="R34" s="708" t="s">
        <v>14</v>
      </c>
      <c r="S34" s="709" t="e">
        <f t="shared" si="12"/>
        <v>#N/A</v>
      </c>
      <c r="T34" s="708" t="s">
        <v>14</v>
      </c>
      <c r="U34" s="709" t="e">
        <f t="shared" si="13"/>
        <v>#N/A</v>
      </c>
      <c r="V34" s="708" t="s">
        <v>14</v>
      </c>
      <c r="W34" s="709" t="e">
        <f t="shared" si="14"/>
        <v>#N/A</v>
      </c>
      <c r="X34" s="710"/>
      <c r="Y34" s="371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1"/>
      <c r="Q35" s="1352" t="str">
        <f t="shared" si="11"/>
        <v>建筑结构</v>
      </c>
      <c r="R35" s="705" t="s">
        <v>14</v>
      </c>
      <c r="S35" s="706">
        <f t="shared" si="12"/>
        <v>100</v>
      </c>
      <c r="T35" s="705" t="s">
        <v>14</v>
      </c>
      <c r="U35" s="706">
        <f t="shared" si="13"/>
        <v>100</v>
      </c>
      <c r="V35" s="705" t="s">
        <v>14</v>
      </c>
      <c r="W35" s="706">
        <f t="shared" si="14"/>
        <v>100</v>
      </c>
      <c r="X35" s="1355"/>
      <c r="Y35" s="371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1"/>
      <c r="Q36" s="1352" t="str">
        <f t="shared" si="11"/>
        <v>公共部分装修</v>
      </c>
      <c r="R36" s="705" t="s">
        <v>14</v>
      </c>
      <c r="S36" s="706">
        <f t="shared" si="12"/>
        <v>100</v>
      </c>
      <c r="T36" s="705" t="s">
        <v>14</v>
      </c>
      <c r="U36" s="706">
        <f t="shared" si="13"/>
        <v>100</v>
      </c>
      <c r="V36" s="705" t="s">
        <v>14</v>
      </c>
      <c r="W36" s="706">
        <f t="shared" si="14"/>
        <v>100</v>
      </c>
      <c r="X36" s="1355"/>
      <c r="Y36" s="371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1"/>
      <c r="Q37" s="1352" t="str">
        <f t="shared" si="11"/>
        <v>成新度</v>
      </c>
      <c r="R37" s="705" t="s">
        <v>14</v>
      </c>
      <c r="S37" s="706" t="e">
        <f t="shared" si="12"/>
        <v>#N/A</v>
      </c>
      <c r="T37" s="705" t="s">
        <v>14</v>
      </c>
      <c r="U37" s="706" t="e">
        <f t="shared" si="13"/>
        <v>#N/A</v>
      </c>
      <c r="V37" s="705" t="s">
        <v>14</v>
      </c>
      <c r="W37" s="706" t="e">
        <f t="shared" si="14"/>
        <v>#N/A</v>
      </c>
      <c r="X37" s="1355"/>
      <c r="Y37" s="371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1"/>
      <c r="Q38" s="1343" t="str">
        <f t="shared" si="11"/>
        <v>写字楼等级</v>
      </c>
      <c r="R38" s="701" t="s">
        <v>14</v>
      </c>
      <c r="S38" s="702">
        <f t="shared" si="12"/>
        <v>100</v>
      </c>
      <c r="T38" s="701" t="s">
        <v>14</v>
      </c>
      <c r="U38" s="702">
        <f t="shared" si="13"/>
        <v>100</v>
      </c>
      <c r="V38" s="701" t="s">
        <v>14</v>
      </c>
      <c r="W38" s="702">
        <f t="shared" si="14"/>
        <v>100</v>
      </c>
      <c r="X38" s="703"/>
      <c r="Y38" s="371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1" t="s">
        <v>1696</v>
      </c>
      <c r="Q39" s="1352" t="str">
        <f t="shared" si="11"/>
        <v>物业管理</v>
      </c>
      <c r="R39" s="705" t="s">
        <v>14</v>
      </c>
      <c r="S39" s="706">
        <f t="shared" si="12"/>
        <v>100</v>
      </c>
      <c r="T39" s="705" t="s">
        <v>14</v>
      </c>
      <c r="U39" s="706">
        <f t="shared" si="13"/>
        <v>100</v>
      </c>
      <c r="V39" s="705" t="s">
        <v>14</v>
      </c>
      <c r="W39" s="706">
        <f t="shared" si="14"/>
        <v>100</v>
      </c>
      <c r="X39" s="1355"/>
      <c r="Y39" s="371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1"/>
      <c r="Q40" s="1352" t="str">
        <f t="shared" si="11"/>
        <v>市政基础设施</v>
      </c>
      <c r="R40" s="705" t="s">
        <v>14</v>
      </c>
      <c r="S40" s="706">
        <f t="shared" si="12"/>
        <v>100</v>
      </c>
      <c r="T40" s="705" t="s">
        <v>14</v>
      </c>
      <c r="U40" s="706">
        <f t="shared" si="13"/>
        <v>100</v>
      </c>
      <c r="V40" s="705" t="s">
        <v>14</v>
      </c>
      <c r="W40" s="706">
        <f t="shared" si="14"/>
        <v>100</v>
      </c>
      <c r="X40" s="1355"/>
      <c r="Y40" s="371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1"/>
      <c r="Q41" s="1352" t="str">
        <f t="shared" si="11"/>
        <v>层高</v>
      </c>
      <c r="R41" s="705" t="s">
        <v>14</v>
      </c>
      <c r="S41" s="706">
        <f t="shared" si="12"/>
        <v>100</v>
      </c>
      <c r="T41" s="705" t="s">
        <v>14</v>
      </c>
      <c r="U41" s="706">
        <f t="shared" si="13"/>
        <v>100</v>
      </c>
      <c r="V41" s="705" t="s">
        <v>14</v>
      </c>
      <c r="W41" s="706">
        <f t="shared" si="14"/>
        <v>100</v>
      </c>
      <c r="X41" s="1355"/>
      <c r="Y41" s="371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1"/>
      <c r="Q42" s="707" t="str">
        <f t="shared" si="11"/>
        <v>单套建筑面积</v>
      </c>
      <c r="R42" s="708" t="s">
        <v>14</v>
      </c>
      <c r="S42" s="709">
        <f t="shared" si="12"/>
        <v>100</v>
      </c>
      <c r="T42" s="708" t="s">
        <v>14</v>
      </c>
      <c r="U42" s="709">
        <f t="shared" si="13"/>
        <v>100</v>
      </c>
      <c r="V42" s="708" t="s">
        <v>14</v>
      </c>
      <c r="W42" s="709">
        <f t="shared" si="14"/>
        <v>100</v>
      </c>
      <c r="X42" s="710"/>
      <c r="Y42" s="371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1"/>
      <c r="Q43" s="1352" t="str">
        <f t="shared" si="11"/>
        <v>内部装修</v>
      </c>
      <c r="R43" s="705" t="s">
        <v>14</v>
      </c>
      <c r="S43" s="706">
        <f t="shared" si="12"/>
        <v>100</v>
      </c>
      <c r="T43" s="705" t="s">
        <v>14</v>
      </c>
      <c r="U43" s="706">
        <f t="shared" si="13"/>
        <v>100</v>
      </c>
      <c r="V43" s="705" t="s">
        <v>14</v>
      </c>
      <c r="W43" s="706">
        <f t="shared" si="14"/>
        <v>100</v>
      </c>
      <c r="X43" s="1355"/>
      <c r="Y43" s="371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1"/>
      <c r="Q44" s="1352" t="str">
        <f t="shared" si="11"/>
        <v>内部装修维护情况</v>
      </c>
      <c r="R44" s="705" t="s">
        <v>14</v>
      </c>
      <c r="S44" s="706">
        <f t="shared" si="12"/>
        <v>100</v>
      </c>
      <c r="T44" s="705" t="s">
        <v>14</v>
      </c>
      <c r="U44" s="706">
        <f t="shared" si="13"/>
        <v>100</v>
      </c>
      <c r="V44" s="705" t="s">
        <v>14</v>
      </c>
      <c r="W44" s="706">
        <f t="shared" si="14"/>
        <v>100</v>
      </c>
      <c r="X44" s="1355"/>
      <c r="Y44" s="371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1"/>
      <c r="Q45" s="1343">
        <f t="shared" si="11"/>
        <v>111</v>
      </c>
      <c r="R45" s="701" t="s">
        <v>14</v>
      </c>
      <c r="S45" s="702">
        <f t="shared" si="12"/>
        <v>100</v>
      </c>
      <c r="T45" s="701" t="s">
        <v>14</v>
      </c>
      <c r="U45" s="702">
        <f t="shared" si="13"/>
        <v>100</v>
      </c>
      <c r="V45" s="701" t="s">
        <v>14</v>
      </c>
      <c r="W45" s="702">
        <f t="shared" si="14"/>
        <v>100</v>
      </c>
      <c r="X45" s="703"/>
      <c r="Y45" s="371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2"/>
      <c r="Q47" s="1352">
        <f t="shared" si="11"/>
        <v>111</v>
      </c>
      <c r="R47" s="705" t="s">
        <v>14</v>
      </c>
      <c r="S47" s="706">
        <f t="shared" si="12"/>
        <v>100</v>
      </c>
      <c r="T47" s="705" t="s">
        <v>14</v>
      </c>
      <c r="U47" s="706">
        <f t="shared" si="13"/>
        <v>100</v>
      </c>
      <c r="V47" s="705" t="s">
        <v>14</v>
      </c>
      <c r="W47" s="706">
        <f t="shared" si="14"/>
        <v>100</v>
      </c>
      <c r="X47" s="1355"/>
      <c r="Y47" s="371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88" t="str">
        <f>A48</f>
        <v>成交单价（元/平方米）</v>
      </c>
      <c r="Q48" s="3706"/>
      <c r="R48" s="3707">
        <f>E48</f>
        <v>0</v>
      </c>
      <c r="S48" s="3707"/>
      <c r="T48" s="3707">
        <f>G48</f>
        <v>0</v>
      </c>
      <c r="U48" s="3707"/>
      <c r="V48" s="3707">
        <f>I48</f>
        <v>0</v>
      </c>
      <c r="W48" s="370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88"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1" t="str">
        <f>A50</f>
        <v>估价对象XX用房的比较价值（楼面单价，元/平方米）</v>
      </c>
      <c r="Q50" s="3732"/>
      <c r="R50" s="3733" t="e">
        <f>IF(F1="售价",ROUND(IF(D49="简单平均",AVERAGE(R49:V49),R49*F49+T49*H49+V49*J49),0),ROUND(IF(D49="简单平均",AVERAGE(R49:V49),R49*F49+T49*H49+V49*J49),1))</f>
        <v>#DIV/0!</v>
      </c>
      <c r="S50" s="3733"/>
      <c r="T50" s="3733"/>
      <c r="U50" s="3733"/>
      <c r="V50" s="3733"/>
      <c r="W50" s="3733"/>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172.33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75" t="s">
        <v>1771</v>
      </c>
      <c r="S4" s="3676"/>
      <c r="T4" s="3675" t="s">
        <v>1772</v>
      </c>
      <c r="U4" s="3676"/>
      <c r="V4" s="3701" t="s">
        <v>1773</v>
      </c>
      <c r="W4" s="3701"/>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913"/>
      <c r="M5" s="914"/>
      <c r="N5" s="914"/>
      <c r="O5" s="914"/>
      <c r="P5" s="3695"/>
      <c r="Q5" s="3696"/>
      <c r="R5" s="3677"/>
      <c r="S5" s="3678"/>
      <c r="T5" s="3677"/>
      <c r="U5" s="3678"/>
      <c r="V5" s="3701"/>
      <c r="W5" s="3701"/>
      <c r="X5" s="1355"/>
      <c r="Y5" s="3677"/>
      <c r="Z5" s="3678"/>
      <c r="AA5" s="3671"/>
      <c r="AB5" s="3671"/>
      <c r="AC5" s="3671"/>
    </row>
    <row r="6" spans="1:29" ht="15.75" thickBot="1">
      <c r="A6" s="360"/>
      <c r="B6" s="361"/>
      <c r="C6" s="3717" t="s">
        <v>1677</v>
      </c>
      <c r="D6" s="3684"/>
      <c r="E6" s="3718" t="s">
        <v>1677</v>
      </c>
      <c r="F6" s="3686"/>
      <c r="G6" s="3717" t="s">
        <v>1677</v>
      </c>
      <c r="H6" s="3684"/>
      <c r="I6" s="3717" t="s">
        <v>1677</v>
      </c>
      <c r="J6" s="3684"/>
      <c r="K6" s="559" t="s">
        <v>1678</v>
      </c>
      <c r="L6" s="913"/>
      <c r="M6" s="914"/>
      <c r="N6" s="914"/>
      <c r="O6" s="914"/>
      <c r="P6" s="3697"/>
      <c r="Q6" s="3698"/>
      <c r="R6" s="3677"/>
      <c r="S6" s="3678"/>
      <c r="T6" s="3699"/>
      <c r="U6" s="3700"/>
      <c r="V6" s="3701"/>
      <c r="W6" s="3701"/>
      <c r="X6" s="1355"/>
      <c r="Y6" s="3699"/>
      <c r="Z6" s="3700"/>
      <c r="AA6" s="3672"/>
      <c r="AB6" s="3672"/>
      <c r="AC6" s="3672"/>
    </row>
    <row r="7" spans="1:29" s="108" customFormat="1" ht="15.75" thickBot="1">
      <c r="A7" s="362" t="s">
        <v>1679</v>
      </c>
      <c r="B7" s="363"/>
      <c r="C7" s="364">
        <f>'数据-取费表'!B2</f>
        <v>45014</v>
      </c>
      <c r="D7" s="365">
        <v>100</v>
      </c>
      <c r="E7" s="366"/>
      <c r="F7" s="367">
        <f>SUMIF(52:52,YEAR(E7)&amp;"-"&amp;MONTH(E7),53:53)</f>
        <v>0</v>
      </c>
      <c r="G7" s="366"/>
      <c r="H7" s="365">
        <f>SUMIF(52:52,YEAR(G7)&amp;"-"&amp;MONTH(G7),53:53)</f>
        <v>0</v>
      </c>
      <c r="I7" s="366"/>
      <c r="J7" s="365">
        <f>SUMIF(52:52,YEAR(I7)&amp;"-"&amp;MONTH(I7),53:53)</f>
        <v>0</v>
      </c>
      <c r="K7" s="560"/>
      <c r="L7" s="915"/>
      <c r="M7" s="916"/>
      <c r="N7" s="916"/>
      <c r="O7" s="916"/>
      <c r="P7" s="3673" t="s">
        <v>1680</v>
      </c>
      <c r="Q7" s="3702"/>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3" t="s">
        <v>1683</v>
      </c>
      <c r="Q8" s="3674"/>
      <c r="R8" s="701" t="s">
        <v>14</v>
      </c>
      <c r="S8" s="702">
        <f t="shared" si="0"/>
        <v>100</v>
      </c>
      <c r="T8" s="701" t="s">
        <v>14</v>
      </c>
      <c r="U8" s="702">
        <f t="shared" si="1"/>
        <v>100</v>
      </c>
      <c r="V8" s="701" t="s">
        <v>14</v>
      </c>
      <c r="W8" s="702">
        <f t="shared" si="2"/>
        <v>100</v>
      </c>
      <c r="X8" s="703"/>
      <c r="Y8" s="3673" t="s">
        <v>1683</v>
      </c>
      <c r="Z8" s="367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6"/>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6"/>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6"/>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6"/>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9"/>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9"/>
      <c r="Q18" s="1352"/>
      <c r="R18" s="705"/>
      <c r="S18" s="706"/>
      <c r="T18" s="705"/>
      <c r="U18" s="706"/>
      <c r="V18" s="705"/>
      <c r="W18" s="706"/>
      <c r="X18" s="1355"/>
      <c r="Y18" s="370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9"/>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9"/>
      <c r="Q20" s="1352"/>
      <c r="R20" s="705"/>
      <c r="S20" s="706"/>
      <c r="T20" s="705"/>
      <c r="U20" s="706"/>
      <c r="V20" s="705"/>
      <c r="W20" s="706"/>
      <c r="X20" s="1355"/>
      <c r="Y20" s="370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9"/>
      <c r="Q22" s="1352"/>
      <c r="R22" s="705"/>
      <c r="S22" s="706"/>
      <c r="T22" s="705"/>
      <c r="U22" s="706"/>
      <c r="V22" s="705"/>
      <c r="W22" s="706"/>
      <c r="X22" s="1355"/>
      <c r="Y22" s="370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9"/>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9"/>
      <c r="Q24" s="1352"/>
      <c r="R24" s="705"/>
      <c r="S24" s="706"/>
      <c r="T24" s="705"/>
      <c r="U24" s="706"/>
      <c r="V24" s="705"/>
      <c r="W24" s="706"/>
      <c r="X24" s="1355"/>
      <c r="Y24" s="370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9"/>
      <c r="Q25" s="1352">
        <f>B25</f>
        <v>111</v>
      </c>
      <c r="R25" s="705" t="s">
        <v>14</v>
      </c>
      <c r="S25" s="706">
        <f>F25</f>
        <v>100</v>
      </c>
      <c r="T25" s="705" t="s">
        <v>14</v>
      </c>
      <c r="U25" s="706">
        <f>H25</f>
        <v>100</v>
      </c>
      <c r="V25" s="705" t="s">
        <v>14</v>
      </c>
      <c r="W25" s="706">
        <f>J25</f>
        <v>100</v>
      </c>
      <c r="X25" s="1355"/>
      <c r="Y25" s="370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9"/>
      <c r="Q26" s="1352">
        <f t="shared" ref="Q26:Q40" si="11">B26</f>
        <v>111</v>
      </c>
      <c r="R26" s="705" t="s">
        <v>14</v>
      </c>
      <c r="S26" s="706">
        <f>F26</f>
        <v>100</v>
      </c>
      <c r="T26" s="705" t="s">
        <v>14</v>
      </c>
      <c r="U26" s="706">
        <f>H26</f>
        <v>100</v>
      </c>
      <c r="V26" s="705" t="s">
        <v>14</v>
      </c>
      <c r="W26" s="706">
        <f>J26</f>
        <v>100</v>
      </c>
      <c r="X26" s="1355"/>
      <c r="Y26" s="370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9"/>
      <c r="Q27" s="1343">
        <f t="shared" si="11"/>
        <v>111</v>
      </c>
      <c r="R27" s="701" t="s">
        <v>14</v>
      </c>
      <c r="S27" s="702">
        <f>F27</f>
        <v>100</v>
      </c>
      <c r="T27" s="701" t="s">
        <v>14</v>
      </c>
      <c r="U27" s="702">
        <f>H27</f>
        <v>100</v>
      </c>
      <c r="V27" s="701" t="s">
        <v>14</v>
      </c>
      <c r="W27" s="702">
        <f>J27</f>
        <v>100</v>
      </c>
      <c r="X27" s="703"/>
      <c r="Y27" s="370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9"/>
      <c r="Q28" s="1352">
        <f t="shared" si="11"/>
        <v>111</v>
      </c>
      <c r="R28" s="705" t="s">
        <v>14</v>
      </c>
      <c r="S28" s="706">
        <f t="shared" ref="S28:S40" si="12">F28</f>
        <v>100</v>
      </c>
      <c r="T28" s="705" t="s">
        <v>14</v>
      </c>
      <c r="U28" s="706">
        <f t="shared" ref="U28:U40" si="13">H28</f>
        <v>100</v>
      </c>
      <c r="V28" s="705" t="s">
        <v>14</v>
      </c>
      <c r="W28" s="706">
        <f t="shared" ref="W28:W40" si="14">J28</f>
        <v>100</v>
      </c>
      <c r="X28" s="1355"/>
      <c r="Y28" s="3709"/>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4" t="s">
        <v>1696</v>
      </c>
      <c r="Q29" s="1352" t="str">
        <f t="shared" si="11"/>
        <v>建筑类型</v>
      </c>
      <c r="R29" s="705" t="s">
        <v>14</v>
      </c>
      <c r="S29" s="706">
        <f t="shared" si="12"/>
        <v>100</v>
      </c>
      <c r="T29" s="705" t="s">
        <v>14</v>
      </c>
      <c r="U29" s="706">
        <f t="shared" si="13"/>
        <v>100</v>
      </c>
      <c r="V29" s="705" t="s">
        <v>14</v>
      </c>
      <c r="W29" s="706">
        <f t="shared" si="14"/>
        <v>100</v>
      </c>
      <c r="X29" s="1355"/>
      <c r="Y29" s="371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3"/>
      <c r="Q30" s="707" t="str">
        <f t="shared" si="11"/>
        <v>项目建筑规模</v>
      </c>
      <c r="R30" s="708" t="s">
        <v>14</v>
      </c>
      <c r="S30" s="709" t="e">
        <f t="shared" si="12"/>
        <v>#N/A</v>
      </c>
      <c r="T30" s="708" t="s">
        <v>14</v>
      </c>
      <c r="U30" s="709" t="e">
        <f t="shared" si="13"/>
        <v>#N/A</v>
      </c>
      <c r="V30" s="708" t="s">
        <v>14</v>
      </c>
      <c r="W30" s="709" t="e">
        <f t="shared" si="14"/>
        <v>#N/A</v>
      </c>
      <c r="X30" s="710"/>
      <c r="Y30" s="371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3"/>
      <c r="Q31" s="1352" t="str">
        <f t="shared" si="11"/>
        <v>建筑结构</v>
      </c>
      <c r="R31" s="705" t="s">
        <v>14</v>
      </c>
      <c r="S31" s="706">
        <f t="shared" si="12"/>
        <v>100</v>
      </c>
      <c r="T31" s="705" t="s">
        <v>14</v>
      </c>
      <c r="U31" s="706">
        <f t="shared" si="13"/>
        <v>100</v>
      </c>
      <c r="V31" s="705" t="s">
        <v>14</v>
      </c>
      <c r="W31" s="706">
        <f t="shared" si="14"/>
        <v>100</v>
      </c>
      <c r="X31" s="1355"/>
      <c r="Y31" s="371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3"/>
      <c r="Q32" s="1352" t="str">
        <f t="shared" si="11"/>
        <v>公共部分装修</v>
      </c>
      <c r="R32" s="705" t="s">
        <v>14</v>
      </c>
      <c r="S32" s="706">
        <f t="shared" si="12"/>
        <v>100</v>
      </c>
      <c r="T32" s="705" t="s">
        <v>14</v>
      </c>
      <c r="U32" s="706">
        <f t="shared" si="13"/>
        <v>100</v>
      </c>
      <c r="V32" s="705" t="s">
        <v>14</v>
      </c>
      <c r="W32" s="706">
        <f t="shared" si="14"/>
        <v>100</v>
      </c>
      <c r="X32" s="1355"/>
      <c r="Y32" s="371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3"/>
      <c r="Q33" s="1352" t="str">
        <f t="shared" si="11"/>
        <v>成新度</v>
      </c>
      <c r="R33" s="705" t="s">
        <v>14</v>
      </c>
      <c r="S33" s="706" t="e">
        <f t="shared" si="12"/>
        <v>#N/A</v>
      </c>
      <c r="T33" s="705" t="s">
        <v>14</v>
      </c>
      <c r="U33" s="706" t="e">
        <f t="shared" si="13"/>
        <v>#N/A</v>
      </c>
      <c r="V33" s="705" t="s">
        <v>14</v>
      </c>
      <c r="W33" s="706" t="e">
        <f t="shared" si="14"/>
        <v>#N/A</v>
      </c>
      <c r="X33" s="1355"/>
      <c r="Y33" s="371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3"/>
      <c r="Q34" s="1343" t="str">
        <f t="shared" si="11"/>
        <v>物业管理</v>
      </c>
      <c r="R34" s="701" t="s">
        <v>14</v>
      </c>
      <c r="S34" s="702">
        <f t="shared" si="12"/>
        <v>100</v>
      </c>
      <c r="T34" s="701" t="s">
        <v>14</v>
      </c>
      <c r="U34" s="702">
        <f t="shared" si="13"/>
        <v>100</v>
      </c>
      <c r="V34" s="701" t="s">
        <v>14</v>
      </c>
      <c r="W34" s="702">
        <f t="shared" si="14"/>
        <v>100</v>
      </c>
      <c r="X34" s="703"/>
      <c r="Y34" s="371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3" t="s">
        <v>1696</v>
      </c>
      <c r="Q35" s="1352" t="str">
        <f t="shared" si="11"/>
        <v>市政基础设施</v>
      </c>
      <c r="R35" s="705" t="s">
        <v>14</v>
      </c>
      <c r="S35" s="706">
        <f t="shared" si="12"/>
        <v>100</v>
      </c>
      <c r="T35" s="705" t="s">
        <v>14</v>
      </c>
      <c r="U35" s="706">
        <f t="shared" si="13"/>
        <v>100</v>
      </c>
      <c r="V35" s="705" t="s">
        <v>14</v>
      </c>
      <c r="W35" s="706">
        <f t="shared" si="14"/>
        <v>100</v>
      </c>
      <c r="X35" s="1355"/>
      <c r="Y35" s="371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3"/>
      <c r="Q36" s="1352" t="str">
        <f t="shared" si="11"/>
        <v>内部装修</v>
      </c>
      <c r="R36" s="705" t="s">
        <v>14</v>
      </c>
      <c r="S36" s="706">
        <f t="shared" si="12"/>
        <v>100</v>
      </c>
      <c r="T36" s="705" t="s">
        <v>14</v>
      </c>
      <c r="U36" s="706">
        <f t="shared" si="13"/>
        <v>100</v>
      </c>
      <c r="V36" s="705" t="s">
        <v>14</v>
      </c>
      <c r="W36" s="706">
        <f t="shared" si="14"/>
        <v>100</v>
      </c>
      <c r="X36" s="1355"/>
      <c r="Y36" s="371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3"/>
      <c r="Q37" s="1352" t="str">
        <f t="shared" si="11"/>
        <v>内部装修状况</v>
      </c>
      <c r="R37" s="705" t="s">
        <v>14</v>
      </c>
      <c r="S37" s="706">
        <f t="shared" si="12"/>
        <v>100</v>
      </c>
      <c r="T37" s="705" t="s">
        <v>14</v>
      </c>
      <c r="U37" s="706">
        <f t="shared" si="13"/>
        <v>100</v>
      </c>
      <c r="V37" s="705" t="s">
        <v>14</v>
      </c>
      <c r="W37" s="706">
        <f t="shared" si="14"/>
        <v>100</v>
      </c>
      <c r="X37" s="1355"/>
      <c r="Y37" s="371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3"/>
      <c r="Q38" s="707">
        <f t="shared" si="11"/>
        <v>111</v>
      </c>
      <c r="R38" s="708" t="s">
        <v>14</v>
      </c>
      <c r="S38" s="709">
        <f t="shared" si="12"/>
        <v>100</v>
      </c>
      <c r="T38" s="708" t="s">
        <v>14</v>
      </c>
      <c r="U38" s="709">
        <f t="shared" si="13"/>
        <v>100</v>
      </c>
      <c r="V38" s="708" t="s">
        <v>14</v>
      </c>
      <c r="W38" s="709">
        <f t="shared" si="14"/>
        <v>100</v>
      </c>
      <c r="X38" s="710"/>
      <c r="Y38" s="371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3"/>
      <c r="Q39" s="1352">
        <f t="shared" si="11"/>
        <v>111</v>
      </c>
      <c r="R39" s="705" t="s">
        <v>14</v>
      </c>
      <c r="S39" s="706">
        <f t="shared" si="12"/>
        <v>100</v>
      </c>
      <c r="T39" s="705" t="s">
        <v>14</v>
      </c>
      <c r="U39" s="706">
        <f t="shared" si="13"/>
        <v>100</v>
      </c>
      <c r="V39" s="705" t="s">
        <v>14</v>
      </c>
      <c r="W39" s="706">
        <f t="shared" si="14"/>
        <v>100</v>
      </c>
      <c r="X39" s="1355"/>
      <c r="Y39" s="371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2">
        <f t="shared" si="11"/>
        <v>111</v>
      </c>
      <c r="R40" s="705" t="s">
        <v>14</v>
      </c>
      <c r="S40" s="706">
        <f t="shared" si="12"/>
        <v>100</v>
      </c>
      <c r="T40" s="705" t="s">
        <v>14</v>
      </c>
      <c r="U40" s="706">
        <f t="shared" si="13"/>
        <v>100</v>
      </c>
      <c r="V40" s="705" t="s">
        <v>14</v>
      </c>
      <c r="W40" s="706">
        <f t="shared" si="14"/>
        <v>100</v>
      </c>
      <c r="X40" s="1355"/>
      <c r="Y40" s="371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6" t="str">
        <f>A41</f>
        <v>成交单价（元/平方米）</v>
      </c>
      <c r="Q41" s="3706"/>
      <c r="R41" s="3707">
        <f>E41</f>
        <v>0</v>
      </c>
      <c r="S41" s="3707"/>
      <c r="T41" s="3707">
        <f>G41</f>
        <v>0</v>
      </c>
      <c r="U41" s="3707"/>
      <c r="V41" s="3707">
        <f>I41</f>
        <v>0</v>
      </c>
      <c r="W41" s="370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受贵公司委托，我公司对北京市昌平区北七家镇美树假日嘉园17号楼3至4层4单元202房地产市场价值进行了预评估。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估价对象为北京市昌平区北七家镇美树假日嘉园17号楼3至4层4单元202房地产，为所有。根据《国有土地使用证》[]，估价对象（分摊）出让国有建设用地使用权面积为0平方米，建筑面积为172.33平方米。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美树假日嘉园17号楼3至4层4单元202房地产,属开发建设的，该项目尚在开发建设中。根据《国有土地使用证》[]，估价对象（分摊）出让国有建设用地使用权面积为0平方米，规划建筑面积为172.33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5" t="s">
        <v>1771</v>
      </c>
      <c r="S4" s="3676"/>
      <c r="T4" s="3675" t="s">
        <v>1772</v>
      </c>
      <c r="U4" s="3676"/>
      <c r="V4" s="3701" t="s">
        <v>1773</v>
      </c>
      <c r="W4" s="3701"/>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5"/>
      <c r="Q5" s="3696"/>
      <c r="R5" s="3677"/>
      <c r="S5" s="3678"/>
      <c r="T5" s="3677"/>
      <c r="U5" s="3678"/>
      <c r="V5" s="3701"/>
      <c r="W5" s="3701"/>
      <c r="X5" s="1355"/>
      <c r="Y5" s="3677"/>
      <c r="Z5" s="3678"/>
      <c r="AA5" s="3671"/>
      <c r="AB5" s="3671"/>
      <c r="AC5" s="3671"/>
    </row>
    <row r="6" spans="1:29" ht="15.75" thickBot="1">
      <c r="A6" s="360"/>
      <c r="B6" s="361"/>
      <c r="C6" s="3717" t="s">
        <v>1677</v>
      </c>
      <c r="D6" s="3684"/>
      <c r="E6" s="3718" t="s">
        <v>1677</v>
      </c>
      <c r="F6" s="3686"/>
      <c r="G6" s="3717" t="s">
        <v>1677</v>
      </c>
      <c r="H6" s="3684"/>
      <c r="I6" s="3717" t="s">
        <v>1677</v>
      </c>
      <c r="J6" s="3684"/>
      <c r="K6" s="559" t="s">
        <v>1678</v>
      </c>
      <c r="L6" s="2714"/>
      <c r="M6" s="2715"/>
      <c r="N6" s="2715"/>
      <c r="O6" s="2715"/>
      <c r="P6" s="3697"/>
      <c r="Q6" s="3698"/>
      <c r="R6" s="3677"/>
      <c r="S6" s="3678"/>
      <c r="T6" s="3699"/>
      <c r="U6" s="3700"/>
      <c r="V6" s="3701"/>
      <c r="W6" s="3701"/>
      <c r="X6" s="1355"/>
      <c r="Y6" s="3699"/>
      <c r="Z6" s="3700"/>
      <c r="AA6" s="3672"/>
      <c r="AB6" s="3672"/>
      <c r="AC6" s="3672"/>
    </row>
    <row r="7" spans="1:29" s="108" customFormat="1" ht="15.75" thickBot="1">
      <c r="A7" s="362" t="s">
        <v>1679</v>
      </c>
      <c r="B7" s="363"/>
      <c r="C7" s="364">
        <f>'数据-取费表'!B2</f>
        <v>45014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3" t="s">
        <v>1680</v>
      </c>
      <c r="Q7" s="3702"/>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6"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6"/>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6"/>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6"/>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6"/>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9"/>
      <c r="Q15" s="1352"/>
      <c r="R15" s="705"/>
      <c r="S15" s="706"/>
      <c r="T15" s="705"/>
      <c r="U15" s="706"/>
      <c r="V15" s="705"/>
      <c r="W15" s="706"/>
      <c r="X15" s="1355"/>
      <c r="Y15" s="370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9"/>
      <c r="Q17" s="1352"/>
      <c r="R17" s="705"/>
      <c r="S17" s="706"/>
      <c r="T17" s="705"/>
      <c r="U17" s="706"/>
      <c r="V17" s="705"/>
      <c r="W17" s="706"/>
      <c r="X17" s="1355"/>
      <c r="Y17" s="370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9"/>
      <c r="Q19" s="1352"/>
      <c r="R19" s="705"/>
      <c r="S19" s="706"/>
      <c r="T19" s="705"/>
      <c r="U19" s="706"/>
      <c r="V19" s="705"/>
      <c r="W19" s="706"/>
      <c r="X19" s="1355"/>
      <c r="Y19" s="370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9"/>
      <c r="Q21" s="1352"/>
      <c r="R21" s="705"/>
      <c r="S21" s="706"/>
      <c r="T21" s="705"/>
      <c r="U21" s="706"/>
      <c r="V21" s="705"/>
      <c r="W21" s="706"/>
      <c r="X21" s="1355"/>
      <c r="Y21" s="370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9"/>
      <c r="Q24" s="1352">
        <f t="shared" ref="Q24:Q36"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3"/>
      <c r="Q27" s="707" t="str">
        <f t="shared" si="11"/>
        <v>项目停车位配比</v>
      </c>
      <c r="R27" s="708" t="s">
        <v>14</v>
      </c>
      <c r="S27" s="709">
        <f t="shared" si="12"/>
        <v>100</v>
      </c>
      <c r="T27" s="708" t="s">
        <v>14</v>
      </c>
      <c r="U27" s="709">
        <f t="shared" si="13"/>
        <v>100</v>
      </c>
      <c r="V27" s="708" t="s">
        <v>14</v>
      </c>
      <c r="W27" s="709">
        <f t="shared" si="14"/>
        <v>100</v>
      </c>
      <c r="X27" s="710"/>
      <c r="Y27" s="371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3"/>
      <c r="Q28" s="1352" t="str">
        <f t="shared" si="11"/>
        <v>公共部分装修</v>
      </c>
      <c r="R28" s="705" t="s">
        <v>14</v>
      </c>
      <c r="S28" s="706">
        <f t="shared" si="12"/>
        <v>100</v>
      </c>
      <c r="T28" s="705" t="s">
        <v>14</v>
      </c>
      <c r="U28" s="706">
        <f t="shared" si="13"/>
        <v>100</v>
      </c>
      <c r="V28" s="705" t="s">
        <v>14</v>
      </c>
      <c r="W28" s="706">
        <f t="shared" si="14"/>
        <v>100</v>
      </c>
      <c r="X28" s="1355"/>
      <c r="Y28" s="371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3"/>
      <c r="Q29" s="1352" t="str">
        <f t="shared" si="11"/>
        <v>成新率</v>
      </c>
      <c r="R29" s="705" t="s">
        <v>14</v>
      </c>
      <c r="S29" s="706" t="e">
        <f t="shared" si="12"/>
        <v>#N/A</v>
      </c>
      <c r="T29" s="705" t="s">
        <v>14</v>
      </c>
      <c r="U29" s="706" t="e">
        <f t="shared" si="13"/>
        <v>#N/A</v>
      </c>
      <c r="V29" s="705" t="s">
        <v>14</v>
      </c>
      <c r="W29" s="706" t="e">
        <f t="shared" si="14"/>
        <v>#N/A</v>
      </c>
      <c r="X29" s="1355"/>
      <c r="Y29" s="371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3"/>
      <c r="Q30" s="1352" t="str">
        <f t="shared" si="11"/>
        <v>物业等级</v>
      </c>
      <c r="R30" s="705" t="s">
        <v>14</v>
      </c>
      <c r="S30" s="706">
        <f t="shared" si="12"/>
        <v>100</v>
      </c>
      <c r="T30" s="705" t="s">
        <v>14</v>
      </c>
      <c r="U30" s="706">
        <f t="shared" si="13"/>
        <v>100</v>
      </c>
      <c r="V30" s="705" t="s">
        <v>14</v>
      </c>
      <c r="W30" s="706">
        <f t="shared" si="14"/>
        <v>100</v>
      </c>
      <c r="X30" s="1355"/>
      <c r="Y30" s="371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3"/>
      <c r="Q31" s="1343" t="str">
        <f t="shared" si="11"/>
        <v>停车位面积</v>
      </c>
      <c r="R31" s="701" t="s">
        <v>14</v>
      </c>
      <c r="S31" s="702" t="e">
        <f t="shared" si="12"/>
        <v>#N/A</v>
      </c>
      <c r="T31" s="701" t="s">
        <v>14</v>
      </c>
      <c r="U31" s="702" t="e">
        <f t="shared" si="13"/>
        <v>#N/A</v>
      </c>
      <c r="V31" s="701" t="s">
        <v>14</v>
      </c>
      <c r="W31" s="702" t="e">
        <f t="shared" si="14"/>
        <v>#N/A</v>
      </c>
      <c r="X31" s="703"/>
      <c r="Y31" s="371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3" t="s">
        <v>1696</v>
      </c>
      <c r="Q32" s="1352" t="str">
        <f t="shared" si="11"/>
        <v>车位类型</v>
      </c>
      <c r="R32" s="705" t="s">
        <v>14</v>
      </c>
      <c r="S32" s="706">
        <f t="shared" si="12"/>
        <v>100</v>
      </c>
      <c r="T32" s="705" t="s">
        <v>14</v>
      </c>
      <c r="U32" s="706">
        <f t="shared" si="13"/>
        <v>100</v>
      </c>
      <c r="V32" s="705" t="s">
        <v>14</v>
      </c>
      <c r="W32" s="706">
        <f t="shared" si="14"/>
        <v>100</v>
      </c>
      <c r="X32" s="1355"/>
      <c r="Y32" s="371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3"/>
      <c r="Q33" s="1352" t="str">
        <f t="shared" si="11"/>
        <v>是否直接入户</v>
      </c>
      <c r="R33" s="705" t="s">
        <v>14</v>
      </c>
      <c r="S33" s="706">
        <f t="shared" si="12"/>
        <v>100</v>
      </c>
      <c r="T33" s="705" t="s">
        <v>14</v>
      </c>
      <c r="U33" s="706">
        <f t="shared" si="13"/>
        <v>100</v>
      </c>
      <c r="V33" s="705" t="s">
        <v>14</v>
      </c>
      <c r="W33" s="706">
        <f t="shared" si="14"/>
        <v>100</v>
      </c>
      <c r="X33" s="1355"/>
      <c r="Y33" s="371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3"/>
      <c r="Q35" s="707">
        <f t="shared" si="11"/>
        <v>111</v>
      </c>
      <c r="R35" s="708" t="s">
        <v>14</v>
      </c>
      <c r="S35" s="709">
        <f t="shared" si="12"/>
        <v>100</v>
      </c>
      <c r="T35" s="708" t="s">
        <v>14</v>
      </c>
      <c r="U35" s="709">
        <f t="shared" si="13"/>
        <v>100</v>
      </c>
      <c r="V35" s="708" t="s">
        <v>14</v>
      </c>
      <c r="W35" s="709">
        <f t="shared" si="14"/>
        <v>100</v>
      </c>
      <c r="X35" s="710"/>
      <c r="Y35" s="371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3"/>
      <c r="Q36" s="1352">
        <f t="shared" si="11"/>
        <v>111</v>
      </c>
      <c r="R36" s="705" t="s">
        <v>14</v>
      </c>
      <c r="S36" s="706">
        <f t="shared" si="12"/>
        <v>100</v>
      </c>
      <c r="T36" s="705" t="s">
        <v>14</v>
      </c>
      <c r="U36" s="706">
        <f t="shared" si="13"/>
        <v>100</v>
      </c>
      <c r="V36" s="705" t="s">
        <v>14</v>
      </c>
      <c r="W36" s="706">
        <f t="shared" si="14"/>
        <v>100</v>
      </c>
      <c r="X36" s="1355"/>
      <c r="Y36" s="3713"/>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706" t="str">
        <f>A37</f>
        <v>成交单价</v>
      </c>
      <c r="Q37" s="3706"/>
      <c r="R37" s="3707">
        <f>E37</f>
        <v>0</v>
      </c>
      <c r="S37" s="3707"/>
      <c r="T37" s="3707">
        <f>G37</f>
        <v>0</v>
      </c>
      <c r="U37" s="3707"/>
      <c r="V37" s="3707">
        <f>I37</f>
        <v>0</v>
      </c>
      <c r="W37" s="370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3" t="str">
        <f>A39</f>
        <v>估价对象XX用房的比较价值（楼面单价，元/平方米）</v>
      </c>
      <c r="Q39" s="3704"/>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5" t="s">
        <v>1771</v>
      </c>
      <c r="S4" s="3676"/>
      <c r="T4" s="3675" t="s">
        <v>1772</v>
      </c>
      <c r="U4" s="3676"/>
      <c r="V4" s="3701" t="s">
        <v>1773</v>
      </c>
      <c r="W4" s="3701"/>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5"/>
      <c r="Q5" s="3696"/>
      <c r="R5" s="3677"/>
      <c r="S5" s="3678"/>
      <c r="T5" s="3677"/>
      <c r="U5" s="3678"/>
      <c r="V5" s="3701"/>
      <c r="W5" s="3701"/>
      <c r="X5" s="1355"/>
      <c r="Y5" s="3677"/>
      <c r="Z5" s="3678"/>
      <c r="AA5" s="3671"/>
      <c r="AB5" s="3671"/>
      <c r="AC5" s="3671"/>
    </row>
    <row r="6" spans="1:29" ht="15.75" thickBot="1">
      <c r="A6" s="360"/>
      <c r="B6" s="361"/>
      <c r="C6" s="3717" t="s">
        <v>1677</v>
      </c>
      <c r="D6" s="3684"/>
      <c r="E6" s="3718" t="s">
        <v>1677</v>
      </c>
      <c r="F6" s="3686"/>
      <c r="G6" s="3717" t="s">
        <v>1677</v>
      </c>
      <c r="H6" s="3684"/>
      <c r="I6" s="3717" t="s">
        <v>1677</v>
      </c>
      <c r="J6" s="3684"/>
      <c r="K6" s="559" t="s">
        <v>1678</v>
      </c>
      <c r="L6" s="2714"/>
      <c r="M6" s="2715"/>
      <c r="N6" s="2715"/>
      <c r="O6" s="2715"/>
      <c r="P6" s="3697"/>
      <c r="Q6" s="3698"/>
      <c r="R6" s="3677"/>
      <c r="S6" s="3678"/>
      <c r="T6" s="3699"/>
      <c r="U6" s="3700"/>
      <c r="V6" s="3701"/>
      <c r="W6" s="3701"/>
      <c r="X6" s="1355"/>
      <c r="Y6" s="3699"/>
      <c r="Z6" s="3700"/>
      <c r="AA6" s="3672"/>
      <c r="AB6" s="3672"/>
      <c r="AC6" s="3672"/>
    </row>
    <row r="7" spans="1:29" s="108" customFormat="1" ht="15.75" thickBot="1">
      <c r="A7" s="362" t="s">
        <v>1679</v>
      </c>
      <c r="B7" s="363"/>
      <c r="C7" s="364">
        <f>'数据-取费表'!B2</f>
        <v>45014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3" t="s">
        <v>1680</v>
      </c>
      <c r="Q7" s="3702"/>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6"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6"/>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6"/>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6"/>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6"/>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9"/>
      <c r="Q15" s="1352"/>
      <c r="R15" s="705"/>
      <c r="S15" s="706"/>
      <c r="T15" s="705"/>
      <c r="U15" s="706"/>
      <c r="V15" s="705"/>
      <c r="W15" s="706"/>
      <c r="X15" s="1355"/>
      <c r="Y15" s="370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9"/>
      <c r="Q17" s="1352"/>
      <c r="R17" s="705"/>
      <c r="S17" s="706"/>
      <c r="T17" s="705"/>
      <c r="U17" s="706"/>
      <c r="V17" s="705"/>
      <c r="W17" s="706"/>
      <c r="X17" s="1355"/>
      <c r="Y17" s="370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9"/>
      <c r="Q19" s="1352"/>
      <c r="R19" s="705"/>
      <c r="S19" s="706"/>
      <c r="T19" s="705"/>
      <c r="U19" s="706"/>
      <c r="V19" s="705"/>
      <c r="W19" s="706"/>
      <c r="X19" s="1355"/>
      <c r="Y19" s="370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9"/>
      <c r="Q21" s="1352"/>
      <c r="R21" s="705"/>
      <c r="S21" s="706"/>
      <c r="T21" s="705"/>
      <c r="U21" s="706"/>
      <c r="V21" s="705"/>
      <c r="W21" s="706"/>
      <c r="X21" s="1355"/>
      <c r="Y21" s="370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9"/>
      <c r="Q24" s="1352">
        <f t="shared" ref="Q24:Q34"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3"/>
      <c r="Q27" s="707" t="str">
        <f t="shared" si="11"/>
        <v>成新率</v>
      </c>
      <c r="R27" s="708" t="s">
        <v>14</v>
      </c>
      <c r="S27" s="709" t="e">
        <f t="shared" si="12"/>
        <v>#N/A</v>
      </c>
      <c r="T27" s="708" t="s">
        <v>14</v>
      </c>
      <c r="U27" s="709" t="e">
        <f t="shared" si="13"/>
        <v>#N/A</v>
      </c>
      <c r="V27" s="708" t="s">
        <v>14</v>
      </c>
      <c r="W27" s="709" t="e">
        <f t="shared" si="14"/>
        <v>#N/A</v>
      </c>
      <c r="X27" s="710"/>
      <c r="Y27" s="371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3"/>
      <c r="Q28" s="1352" t="str">
        <f t="shared" si="11"/>
        <v>物业等级</v>
      </c>
      <c r="R28" s="705" t="s">
        <v>14</v>
      </c>
      <c r="S28" s="706">
        <f t="shared" si="12"/>
        <v>100</v>
      </c>
      <c r="T28" s="705" t="s">
        <v>14</v>
      </c>
      <c r="U28" s="706">
        <f t="shared" si="13"/>
        <v>100</v>
      </c>
      <c r="V28" s="705" t="s">
        <v>14</v>
      </c>
      <c r="W28" s="706">
        <f t="shared" si="14"/>
        <v>100</v>
      </c>
      <c r="X28" s="1355"/>
      <c r="Y28" s="371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3"/>
      <c r="Q29" s="1352" t="str">
        <f t="shared" si="11"/>
        <v>有无电梯</v>
      </c>
      <c r="R29" s="705" t="s">
        <v>14</v>
      </c>
      <c r="S29" s="706">
        <f t="shared" si="12"/>
        <v>100</v>
      </c>
      <c r="T29" s="705" t="s">
        <v>14</v>
      </c>
      <c r="U29" s="706">
        <f t="shared" si="13"/>
        <v>100</v>
      </c>
      <c r="V29" s="705" t="s">
        <v>14</v>
      </c>
      <c r="W29" s="706">
        <f t="shared" si="14"/>
        <v>100</v>
      </c>
      <c r="X29" s="1355"/>
      <c r="Y29" s="371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3"/>
      <c r="Q30" s="1352" t="str">
        <f t="shared" si="11"/>
        <v>建筑面积</v>
      </c>
      <c r="R30" s="705" t="s">
        <v>14</v>
      </c>
      <c r="S30" s="706" t="e">
        <f t="shared" si="12"/>
        <v>#N/A</v>
      </c>
      <c r="T30" s="705" t="s">
        <v>14</v>
      </c>
      <c r="U30" s="706" t="e">
        <f t="shared" si="13"/>
        <v>#N/A</v>
      </c>
      <c r="V30" s="705" t="s">
        <v>14</v>
      </c>
      <c r="W30" s="706" t="e">
        <f t="shared" si="14"/>
        <v>#N/A</v>
      </c>
      <c r="X30" s="1355"/>
      <c r="Y30" s="371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3"/>
      <c r="Q31" s="1343" t="str">
        <f t="shared" si="11"/>
        <v>是否封闭</v>
      </c>
      <c r="R31" s="701" t="s">
        <v>14</v>
      </c>
      <c r="S31" s="702">
        <f t="shared" si="12"/>
        <v>100</v>
      </c>
      <c r="T31" s="701" t="s">
        <v>14</v>
      </c>
      <c r="U31" s="702">
        <f t="shared" si="13"/>
        <v>100</v>
      </c>
      <c r="V31" s="701" t="s">
        <v>14</v>
      </c>
      <c r="W31" s="702">
        <f t="shared" si="14"/>
        <v>100</v>
      </c>
      <c r="X31" s="703"/>
      <c r="Y31" s="371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3" t="s">
        <v>1696</v>
      </c>
      <c r="Q32" s="1352">
        <f t="shared" si="11"/>
        <v>111</v>
      </c>
      <c r="R32" s="705" t="s">
        <v>14</v>
      </c>
      <c r="S32" s="706">
        <f t="shared" si="12"/>
        <v>100</v>
      </c>
      <c r="T32" s="705" t="s">
        <v>14</v>
      </c>
      <c r="U32" s="706">
        <f t="shared" si="13"/>
        <v>100</v>
      </c>
      <c r="V32" s="705" t="s">
        <v>14</v>
      </c>
      <c r="W32" s="706">
        <f t="shared" si="14"/>
        <v>100</v>
      </c>
      <c r="X32" s="1355"/>
      <c r="Y32" s="371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3"/>
      <c r="Q33" s="1352">
        <f t="shared" si="11"/>
        <v>111</v>
      </c>
      <c r="R33" s="705" t="s">
        <v>14</v>
      </c>
      <c r="S33" s="706">
        <f t="shared" si="12"/>
        <v>100</v>
      </c>
      <c r="T33" s="705" t="s">
        <v>14</v>
      </c>
      <c r="U33" s="706">
        <f t="shared" si="13"/>
        <v>100</v>
      </c>
      <c r="V33" s="705" t="s">
        <v>14</v>
      </c>
      <c r="W33" s="706">
        <f t="shared" si="14"/>
        <v>100</v>
      </c>
      <c r="X33" s="1355"/>
      <c r="Y33" s="371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6" t="str">
        <f>A35</f>
        <v>成交单价（元/平方米）</v>
      </c>
      <c r="Q35" s="3706"/>
      <c r="R35" s="3707">
        <f>E35</f>
        <v>0</v>
      </c>
      <c r="S35" s="3707"/>
      <c r="T35" s="3707">
        <f>G35</f>
        <v>0</v>
      </c>
      <c r="U35" s="3707"/>
      <c r="V35" s="3707">
        <f>I35</f>
        <v>0</v>
      </c>
      <c r="W35" s="370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3" t="str">
        <f>A37</f>
        <v>估价对象XX用房的比较价值（楼面单价，元/平方米）</v>
      </c>
      <c r="Q37" s="3704"/>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5" t="s">
        <v>1771</v>
      </c>
      <c r="S4" s="3676"/>
      <c r="T4" s="3675" t="s">
        <v>1772</v>
      </c>
      <c r="U4" s="3676"/>
      <c r="V4" s="3701" t="s">
        <v>1773</v>
      </c>
      <c r="W4" s="3701"/>
      <c r="X4" s="1355"/>
      <c r="Y4" s="3675" t="s">
        <v>1775</v>
      </c>
      <c r="Z4" s="3676"/>
      <c r="AA4" s="3670" t="s">
        <v>1771</v>
      </c>
      <c r="AB4" s="3671" t="s">
        <v>1772</v>
      </c>
      <c r="AC4" s="3670" t="s">
        <v>1773</v>
      </c>
    </row>
    <row r="5" spans="1:30" ht="15">
      <c r="A5" s="358"/>
      <c r="B5" s="359"/>
      <c r="C5" s="3681" t="s">
        <v>1673</v>
      </c>
      <c r="D5" s="3682"/>
      <c r="E5" s="3679" t="s">
        <v>1674</v>
      </c>
      <c r="F5" s="3680"/>
      <c r="G5" s="3681" t="s">
        <v>1675</v>
      </c>
      <c r="H5" s="3682"/>
      <c r="I5" s="3681" t="s">
        <v>1676</v>
      </c>
      <c r="J5" s="3682"/>
      <c r="K5" s="559"/>
      <c r="L5" s="2714"/>
      <c r="M5" s="2715"/>
      <c r="N5" s="2715"/>
      <c r="O5" s="2715"/>
      <c r="P5" s="3695"/>
      <c r="Q5" s="3696"/>
      <c r="R5" s="3677"/>
      <c r="S5" s="3678"/>
      <c r="T5" s="3677"/>
      <c r="U5" s="3678"/>
      <c r="V5" s="3701"/>
      <c r="W5" s="3701"/>
      <c r="X5" s="1355"/>
      <c r="Y5" s="3677"/>
      <c r="Z5" s="3678"/>
      <c r="AA5" s="3671"/>
      <c r="AB5" s="3671"/>
      <c r="AC5" s="3671"/>
    </row>
    <row r="6" spans="1:30" ht="15.75" thickBot="1">
      <c r="A6" s="360"/>
      <c r="B6" s="361"/>
      <c r="C6" s="3717" t="s">
        <v>1677</v>
      </c>
      <c r="D6" s="3684"/>
      <c r="E6" s="3718" t="s">
        <v>1677</v>
      </c>
      <c r="F6" s="3686"/>
      <c r="G6" s="3717" t="s">
        <v>1677</v>
      </c>
      <c r="H6" s="3684"/>
      <c r="I6" s="3717" t="s">
        <v>1677</v>
      </c>
      <c r="J6" s="3684"/>
      <c r="K6" s="559" t="s">
        <v>1678</v>
      </c>
      <c r="L6" s="2714"/>
      <c r="M6" s="2715"/>
      <c r="N6" s="2715"/>
      <c r="O6" s="2715"/>
      <c r="P6" s="3697"/>
      <c r="Q6" s="3698"/>
      <c r="R6" s="3677"/>
      <c r="S6" s="3678"/>
      <c r="T6" s="3699"/>
      <c r="U6" s="3700"/>
      <c r="V6" s="3701"/>
      <c r="W6" s="3701"/>
      <c r="X6" s="1355"/>
      <c r="Y6" s="3699"/>
      <c r="Z6" s="3700"/>
      <c r="AA6" s="3672"/>
      <c r="AB6" s="3672"/>
      <c r="AC6" s="3672"/>
    </row>
    <row r="7" spans="1:30" s="108" customFormat="1" ht="15.75" thickBot="1">
      <c r="A7" s="362" t="s">
        <v>1679</v>
      </c>
      <c r="B7" s="363"/>
      <c r="C7" s="364">
        <f>'数据-取费表'!B2</f>
        <v>45014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73" t="s">
        <v>1680</v>
      </c>
      <c r="Q7" s="3702"/>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3" t="s">
        <v>1683</v>
      </c>
      <c r="Q8" s="3674"/>
      <c r="R8" s="701" t="s">
        <v>14</v>
      </c>
      <c r="S8" s="702">
        <f t="shared" si="0"/>
        <v>0</v>
      </c>
      <c r="T8" s="701" t="s">
        <v>14</v>
      </c>
      <c r="U8" s="702">
        <f t="shared" si="1"/>
        <v>0</v>
      </c>
      <c r="V8" s="701" t="s">
        <v>14</v>
      </c>
      <c r="W8" s="702">
        <f t="shared" si="2"/>
        <v>0</v>
      </c>
      <c r="X8" s="703"/>
      <c r="Y8" s="3673" t="s">
        <v>1683</v>
      </c>
      <c r="Z8" s="367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6"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06"/>
      <c r="Q10" s="1343" t="str">
        <f t="shared" si="6"/>
        <v>土地使用年限（年）</v>
      </c>
      <c r="R10" s="701" t="s">
        <v>14</v>
      </c>
      <c r="S10" s="702" t="e">
        <f t="shared" si="0"/>
        <v>#DIV/0!</v>
      </c>
      <c r="T10" s="701" t="s">
        <v>14</v>
      </c>
      <c r="U10" s="702" t="e">
        <f t="shared" si="1"/>
        <v>#DIV/0!</v>
      </c>
      <c r="V10" s="701" t="s">
        <v>14</v>
      </c>
      <c r="W10" s="702" t="e">
        <f t="shared" si="2"/>
        <v>#DIV/0!</v>
      </c>
      <c r="X10" s="703"/>
      <c r="Y10" s="3617"/>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6"/>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6"/>
      <c r="Q12" s="1343" t="str">
        <f t="shared" si="6"/>
        <v>配建</v>
      </c>
      <c r="R12" s="701" t="s">
        <v>14</v>
      </c>
      <c r="S12" s="702">
        <f t="shared" si="0"/>
        <v>100</v>
      </c>
      <c r="T12" s="701" t="s">
        <v>14</v>
      </c>
      <c r="U12" s="702">
        <f t="shared" si="1"/>
        <v>100</v>
      </c>
      <c r="V12" s="701" t="s">
        <v>14</v>
      </c>
      <c r="W12" s="702">
        <f t="shared" si="2"/>
        <v>100</v>
      </c>
      <c r="X12" s="703"/>
      <c r="Y12" s="361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6"/>
      <c r="Q13" s="1343">
        <f t="shared" si="6"/>
        <v>111</v>
      </c>
      <c r="R13" s="701" t="s">
        <v>14</v>
      </c>
      <c r="S13" s="702">
        <f t="shared" si="0"/>
        <v>100</v>
      </c>
      <c r="T13" s="701" t="s">
        <v>14</v>
      </c>
      <c r="U13" s="702">
        <f t="shared" si="1"/>
        <v>100</v>
      </c>
      <c r="V13" s="701" t="s">
        <v>14</v>
      </c>
      <c r="W13" s="702">
        <f t="shared" si="2"/>
        <v>100</v>
      </c>
      <c r="X13" s="703"/>
      <c r="Y13" s="361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6"/>
      <c r="Q14" s="1343">
        <f t="shared" si="6"/>
        <v>111</v>
      </c>
      <c r="R14" s="701" t="s">
        <v>14</v>
      </c>
      <c r="S14" s="702">
        <f t="shared" si="0"/>
        <v>100</v>
      </c>
      <c r="T14" s="701" t="s">
        <v>14</v>
      </c>
      <c r="U14" s="702">
        <f t="shared" si="1"/>
        <v>100</v>
      </c>
      <c r="V14" s="701" t="s">
        <v>14</v>
      </c>
      <c r="W14" s="702">
        <f t="shared" si="2"/>
        <v>100</v>
      </c>
      <c r="X14" s="703"/>
      <c r="Y14" s="361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8" t="s">
        <v>1691</v>
      </c>
      <c r="Q15" s="1352" t="str">
        <f t="shared" si="6"/>
        <v>居住社区成熟度</v>
      </c>
      <c r="R15" s="705" t="s">
        <v>14</v>
      </c>
      <c r="S15" s="706">
        <f t="shared" si="0"/>
        <v>100</v>
      </c>
      <c r="T15" s="705" t="s">
        <v>14</v>
      </c>
      <c r="U15" s="706">
        <f t="shared" si="1"/>
        <v>100</v>
      </c>
      <c r="V15" s="705" t="s">
        <v>14</v>
      </c>
      <c r="W15" s="706">
        <f t="shared" si="2"/>
        <v>100</v>
      </c>
      <c r="X15" s="1355"/>
      <c r="Y15" s="370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9"/>
      <c r="Q16" s="1352"/>
      <c r="R16" s="705"/>
      <c r="S16" s="706"/>
      <c r="T16" s="705"/>
      <c r="U16" s="706"/>
      <c r="V16" s="705"/>
      <c r="W16" s="706"/>
      <c r="X16" s="1355"/>
      <c r="Y16" s="370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9"/>
      <c r="Q17" s="1352" t="str">
        <f>B17</f>
        <v>商业繁华度</v>
      </c>
      <c r="R17" s="705" t="s">
        <v>14</v>
      </c>
      <c r="S17" s="706">
        <f>F17</f>
        <v>100</v>
      </c>
      <c r="T17" s="705" t="s">
        <v>14</v>
      </c>
      <c r="U17" s="706">
        <f>H17</f>
        <v>100</v>
      </c>
      <c r="V17" s="705" t="s">
        <v>14</v>
      </c>
      <c r="W17" s="706">
        <f>J17</f>
        <v>100</v>
      </c>
      <c r="X17" s="1355"/>
      <c r="Y17" s="370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9"/>
      <c r="Q18" s="1352"/>
      <c r="R18" s="705"/>
      <c r="S18" s="706"/>
      <c r="T18" s="705"/>
      <c r="U18" s="706"/>
      <c r="V18" s="705"/>
      <c r="W18" s="706"/>
      <c r="X18" s="1355"/>
      <c r="Y18" s="370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9"/>
      <c r="Q19" s="1352" t="str">
        <f>B19</f>
        <v>办公集聚程度</v>
      </c>
      <c r="R19" s="705" t="s">
        <v>14</v>
      </c>
      <c r="S19" s="706">
        <f>F19</f>
        <v>100</v>
      </c>
      <c r="T19" s="705" t="s">
        <v>14</v>
      </c>
      <c r="U19" s="706">
        <f>H19</f>
        <v>100</v>
      </c>
      <c r="V19" s="705" t="s">
        <v>14</v>
      </c>
      <c r="W19" s="706">
        <f>J19</f>
        <v>100</v>
      </c>
      <c r="X19" s="1355"/>
      <c r="Y19" s="370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9"/>
      <c r="Q20" s="1352"/>
      <c r="R20" s="705"/>
      <c r="S20" s="706"/>
      <c r="T20" s="705"/>
      <c r="U20" s="706"/>
      <c r="V20" s="705"/>
      <c r="W20" s="706"/>
      <c r="X20" s="1355"/>
      <c r="Y20" s="370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9"/>
      <c r="Q21" s="1352" t="str">
        <f>B21</f>
        <v>交通便捷度</v>
      </c>
      <c r="R21" s="705" t="s">
        <v>14</v>
      </c>
      <c r="S21" s="706">
        <f>F21</f>
        <v>100</v>
      </c>
      <c r="T21" s="705" t="s">
        <v>14</v>
      </c>
      <c r="U21" s="706">
        <f>H21</f>
        <v>100</v>
      </c>
      <c r="V21" s="705" t="s">
        <v>14</v>
      </c>
      <c r="W21" s="706">
        <f>J21</f>
        <v>100</v>
      </c>
      <c r="X21" s="1355"/>
      <c r="Y21" s="370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9"/>
      <c r="Q22" s="1352"/>
      <c r="R22" s="705"/>
      <c r="S22" s="706"/>
      <c r="T22" s="705"/>
      <c r="U22" s="706"/>
      <c r="V22" s="705"/>
      <c r="W22" s="706"/>
      <c r="X22" s="1355"/>
      <c r="Y22" s="370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9"/>
      <c r="Q23" s="1352" t="str">
        <f t="shared" ref="Q23:Q37" si="8">B23</f>
        <v>区域土地利用方向</v>
      </c>
      <c r="R23" s="705" t="s">
        <v>14</v>
      </c>
      <c r="S23" s="706">
        <f>F23</f>
        <v>100</v>
      </c>
      <c r="T23" s="705" t="s">
        <v>14</v>
      </c>
      <c r="U23" s="706">
        <f>H23</f>
        <v>100</v>
      </c>
      <c r="V23" s="705" t="s">
        <v>14</v>
      </c>
      <c r="W23" s="706">
        <f>J23</f>
        <v>100</v>
      </c>
      <c r="X23" s="1355"/>
      <c r="Y23" s="370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9"/>
      <c r="Q24" s="1352"/>
      <c r="R24" s="705"/>
      <c r="S24" s="706"/>
      <c r="T24" s="705"/>
      <c r="U24" s="706"/>
      <c r="V24" s="705"/>
      <c r="W24" s="706"/>
      <c r="X24" s="1355"/>
      <c r="Y24" s="370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9"/>
      <c r="Q25" s="1352" t="str">
        <f t="shared" si="8"/>
        <v>自然及人文环境状况</v>
      </c>
      <c r="R25" s="705" t="s">
        <v>14</v>
      </c>
      <c r="S25" s="706">
        <f>F25</f>
        <v>100</v>
      </c>
      <c r="T25" s="705" t="s">
        <v>14</v>
      </c>
      <c r="U25" s="706">
        <f>H25</f>
        <v>100</v>
      </c>
      <c r="V25" s="705" t="s">
        <v>14</v>
      </c>
      <c r="W25" s="706">
        <f>J25</f>
        <v>100</v>
      </c>
      <c r="X25" s="1355"/>
      <c r="Y25" s="370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9"/>
      <c r="Q26" s="1352"/>
      <c r="R26" s="705"/>
      <c r="S26" s="706"/>
      <c r="T26" s="705"/>
      <c r="U26" s="706"/>
      <c r="V26" s="705"/>
      <c r="W26" s="706"/>
      <c r="X26" s="1355"/>
      <c r="Y26" s="370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9"/>
      <c r="Q27" s="1343" t="str">
        <f t="shared" si="8"/>
        <v>公共配套设施</v>
      </c>
      <c r="R27" s="701" t="s">
        <v>14</v>
      </c>
      <c r="S27" s="702">
        <f>F27</f>
        <v>100</v>
      </c>
      <c r="T27" s="701" t="s">
        <v>14</v>
      </c>
      <c r="U27" s="702">
        <f>H27</f>
        <v>100</v>
      </c>
      <c r="V27" s="701" t="s">
        <v>14</v>
      </c>
      <c r="W27" s="702">
        <f>J27</f>
        <v>100</v>
      </c>
      <c r="X27" s="703"/>
      <c r="Y27" s="370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9"/>
      <c r="Q28" s="1343"/>
      <c r="R28" s="701"/>
      <c r="S28" s="702"/>
      <c r="T28" s="701"/>
      <c r="U28" s="702"/>
      <c r="V28" s="701"/>
      <c r="W28" s="702"/>
      <c r="X28" s="703"/>
      <c r="Y28" s="370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9"/>
      <c r="Q29" s="1343" t="str">
        <f t="shared" ref="Q29" si="9">B29</f>
        <v>基础设施水平</v>
      </c>
      <c r="R29" s="701" t="s">
        <v>14</v>
      </c>
      <c r="S29" s="702">
        <f>F29</f>
        <v>100</v>
      </c>
      <c r="T29" s="701" t="s">
        <v>14</v>
      </c>
      <c r="U29" s="702">
        <f>H29</f>
        <v>100</v>
      </c>
      <c r="V29" s="701" t="s">
        <v>14</v>
      </c>
      <c r="W29" s="702">
        <f>J29</f>
        <v>100</v>
      </c>
      <c r="X29" s="703"/>
      <c r="Y29" s="370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9"/>
      <c r="Q30" s="1343"/>
      <c r="R30" s="701"/>
      <c r="S30" s="702"/>
      <c r="T30" s="701"/>
      <c r="U30" s="702"/>
      <c r="V30" s="701"/>
      <c r="W30" s="702"/>
      <c r="X30" s="703"/>
      <c r="Y30" s="370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9"/>
      <c r="Q32" s="1352" t="str">
        <f t="shared" si="8"/>
        <v>毗邻道路的类型与等级</v>
      </c>
      <c r="R32" s="705" t="s">
        <v>14</v>
      </c>
      <c r="S32" s="706">
        <f t="shared" si="10"/>
        <v>100</v>
      </c>
      <c r="T32" s="705" t="s">
        <v>14</v>
      </c>
      <c r="U32" s="706">
        <f t="shared" si="11"/>
        <v>100</v>
      </c>
      <c r="V32" s="705" t="s">
        <v>14</v>
      </c>
      <c r="W32" s="706">
        <f t="shared" si="12"/>
        <v>100</v>
      </c>
      <c r="X32" s="1355"/>
      <c r="Y32" s="370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9"/>
      <c r="Q33" s="1352"/>
      <c r="R33" s="705"/>
      <c r="S33" s="706"/>
      <c r="T33" s="705"/>
      <c r="U33" s="706"/>
      <c r="V33" s="705"/>
      <c r="W33" s="706"/>
      <c r="X33" s="1355"/>
      <c r="Y33" s="370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9"/>
      <c r="Q34" s="1352" t="str">
        <f t="shared" si="8"/>
        <v>土地级别</v>
      </c>
      <c r="R34" s="705" t="s">
        <v>14</v>
      </c>
      <c r="S34" s="706">
        <f t="shared" si="10"/>
        <v>100</v>
      </c>
      <c r="T34" s="705" t="s">
        <v>14</v>
      </c>
      <c r="U34" s="706">
        <f t="shared" si="11"/>
        <v>100</v>
      </c>
      <c r="V34" s="705" t="s">
        <v>14</v>
      </c>
      <c r="W34" s="706">
        <f t="shared" si="12"/>
        <v>100</v>
      </c>
      <c r="X34" s="1355"/>
      <c r="Y34" s="370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9"/>
      <c r="Q35" s="1352">
        <f t="shared" si="8"/>
        <v>111</v>
      </c>
      <c r="R35" s="705" t="s">
        <v>14</v>
      </c>
      <c r="S35" s="706">
        <f t="shared" si="10"/>
        <v>100</v>
      </c>
      <c r="T35" s="705" t="s">
        <v>14</v>
      </c>
      <c r="U35" s="706">
        <f t="shared" si="11"/>
        <v>100</v>
      </c>
      <c r="V35" s="705" t="s">
        <v>14</v>
      </c>
      <c r="W35" s="706">
        <f t="shared" si="12"/>
        <v>100</v>
      </c>
      <c r="X35" s="1355"/>
      <c r="Y35" s="370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4" t="s">
        <v>1696</v>
      </c>
      <c r="Q36" s="1352">
        <f t="shared" si="8"/>
        <v>111</v>
      </c>
      <c r="R36" s="705" t="s">
        <v>14</v>
      </c>
      <c r="S36" s="706">
        <f t="shared" si="10"/>
        <v>100</v>
      </c>
      <c r="T36" s="705" t="s">
        <v>14</v>
      </c>
      <c r="U36" s="706">
        <f t="shared" si="11"/>
        <v>100</v>
      </c>
      <c r="V36" s="705" t="s">
        <v>14</v>
      </c>
      <c r="W36" s="706">
        <f t="shared" si="12"/>
        <v>100</v>
      </c>
      <c r="X36" s="1355"/>
      <c r="Y36" s="371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3"/>
      <c r="Q37" s="1352">
        <f t="shared" si="8"/>
        <v>111</v>
      </c>
      <c r="R37" s="708" t="s">
        <v>14</v>
      </c>
      <c r="S37" s="709">
        <f t="shared" si="10"/>
        <v>100</v>
      </c>
      <c r="T37" s="708" t="s">
        <v>14</v>
      </c>
      <c r="U37" s="709">
        <f t="shared" si="11"/>
        <v>100</v>
      </c>
      <c r="V37" s="708" t="s">
        <v>14</v>
      </c>
      <c r="W37" s="709">
        <f t="shared" si="12"/>
        <v>100</v>
      </c>
      <c r="X37" s="710"/>
      <c r="Y37" s="371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3"/>
      <c r="Q38" s="1352" t="str">
        <f>B38</f>
        <v>宗地面积</v>
      </c>
      <c r="R38" s="705" t="s">
        <v>14</v>
      </c>
      <c r="S38" s="706" t="e">
        <f t="shared" si="10"/>
        <v>#N/A</v>
      </c>
      <c r="T38" s="705" t="s">
        <v>14</v>
      </c>
      <c r="U38" s="706" t="e">
        <f t="shared" si="11"/>
        <v>#N/A</v>
      </c>
      <c r="V38" s="705" t="s">
        <v>14</v>
      </c>
      <c r="W38" s="706" t="e">
        <f t="shared" si="12"/>
        <v>#N/A</v>
      </c>
      <c r="X38" s="1355"/>
      <c r="Y38" s="371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3"/>
      <c r="Q39" s="1352" t="str">
        <f t="shared" ref="Q39:Q45" si="14">B39</f>
        <v>宗地形状</v>
      </c>
      <c r="R39" s="705" t="s">
        <v>14</v>
      </c>
      <c r="S39" s="706">
        <f t="shared" si="10"/>
        <v>100</v>
      </c>
      <c r="T39" s="705" t="s">
        <v>14</v>
      </c>
      <c r="U39" s="706">
        <f t="shared" si="11"/>
        <v>100</v>
      </c>
      <c r="V39" s="705" t="s">
        <v>14</v>
      </c>
      <c r="W39" s="706">
        <f t="shared" si="12"/>
        <v>100</v>
      </c>
      <c r="X39" s="1355"/>
      <c r="Y39" s="371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3"/>
      <c r="Q40" s="1352" t="str">
        <f t="shared" si="14"/>
        <v>临街宽度及深度</v>
      </c>
      <c r="R40" s="705" t="s">
        <v>14</v>
      </c>
      <c r="S40" s="706">
        <f t="shared" si="10"/>
        <v>100</v>
      </c>
      <c r="T40" s="705" t="s">
        <v>14</v>
      </c>
      <c r="U40" s="706">
        <f t="shared" si="11"/>
        <v>100</v>
      </c>
      <c r="V40" s="705" t="s">
        <v>14</v>
      </c>
      <c r="W40" s="706">
        <f t="shared" si="12"/>
        <v>100</v>
      </c>
      <c r="X40" s="1355"/>
      <c r="Y40" s="371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3"/>
      <c r="Q41" s="1352" t="str">
        <f t="shared" si="14"/>
        <v>宗地开发程度</v>
      </c>
      <c r="R41" s="701" t="s">
        <v>14</v>
      </c>
      <c r="S41" s="702">
        <f t="shared" si="10"/>
        <v>100</v>
      </c>
      <c r="T41" s="701" t="s">
        <v>14</v>
      </c>
      <c r="U41" s="702">
        <f t="shared" si="11"/>
        <v>100</v>
      </c>
      <c r="V41" s="701" t="s">
        <v>14</v>
      </c>
      <c r="W41" s="702">
        <f t="shared" si="12"/>
        <v>100</v>
      </c>
      <c r="X41" s="703"/>
      <c r="Y41" s="371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3" t="s">
        <v>1696</v>
      </c>
      <c r="Q42" s="1352" t="str">
        <f t="shared" si="14"/>
        <v>工程地质条件</v>
      </c>
      <c r="R42" s="705" t="s">
        <v>14</v>
      </c>
      <c r="S42" s="706">
        <f t="shared" si="10"/>
        <v>100</v>
      </c>
      <c r="T42" s="705" t="s">
        <v>14</v>
      </c>
      <c r="U42" s="706">
        <f t="shared" si="11"/>
        <v>100</v>
      </c>
      <c r="V42" s="705" t="s">
        <v>14</v>
      </c>
      <c r="W42" s="706">
        <f t="shared" si="12"/>
        <v>100</v>
      </c>
      <c r="X42" s="1355"/>
      <c r="Y42" s="371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3"/>
      <c r="Q43" s="1352">
        <f t="shared" si="14"/>
        <v>111</v>
      </c>
      <c r="R43" s="705" t="s">
        <v>14</v>
      </c>
      <c r="S43" s="706">
        <f t="shared" si="10"/>
        <v>100</v>
      </c>
      <c r="T43" s="705" t="s">
        <v>14</v>
      </c>
      <c r="U43" s="706">
        <f t="shared" si="11"/>
        <v>100</v>
      </c>
      <c r="V43" s="705" t="s">
        <v>14</v>
      </c>
      <c r="W43" s="706">
        <f t="shared" si="12"/>
        <v>100</v>
      </c>
      <c r="X43" s="1355"/>
      <c r="Y43" s="371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3"/>
      <c r="Q44" s="1352">
        <f t="shared" si="14"/>
        <v>111</v>
      </c>
      <c r="R44" s="705" t="s">
        <v>14</v>
      </c>
      <c r="S44" s="706">
        <f t="shared" si="10"/>
        <v>100</v>
      </c>
      <c r="T44" s="705" t="s">
        <v>14</v>
      </c>
      <c r="U44" s="706">
        <f t="shared" si="11"/>
        <v>100</v>
      </c>
      <c r="V44" s="705" t="s">
        <v>14</v>
      </c>
      <c r="W44" s="706">
        <f t="shared" si="12"/>
        <v>100</v>
      </c>
      <c r="X44" s="1355"/>
      <c r="Y44" s="371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3"/>
      <c r="Q45" s="1352">
        <f t="shared" si="14"/>
        <v>111</v>
      </c>
      <c r="R45" s="708" t="s">
        <v>14</v>
      </c>
      <c r="S45" s="709">
        <f t="shared" si="10"/>
        <v>100</v>
      </c>
      <c r="T45" s="708" t="s">
        <v>14</v>
      </c>
      <c r="U45" s="709">
        <f t="shared" si="11"/>
        <v>100</v>
      </c>
      <c r="V45" s="708" t="s">
        <v>14</v>
      </c>
      <c r="W45" s="709">
        <f t="shared" si="12"/>
        <v>100</v>
      </c>
      <c r="X45" s="710"/>
      <c r="Y45" s="371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06" t="str">
        <f>A46</f>
        <v>成交单价</v>
      </c>
      <c r="Q46" s="3706"/>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06" t="str">
        <f>A47</f>
        <v>比较价值（元/平方米）</v>
      </c>
      <c r="Q47" s="3706"/>
      <c r="R47" s="3736" t="e">
        <f>ROUND(PRODUCT(R46,AA7:AA45),0)</f>
        <v>#DIV/0!</v>
      </c>
      <c r="S47" s="3736"/>
      <c r="T47" s="3736" t="e">
        <f>ROUND(PRODUCT(T46,AB7:AB45),0)</f>
        <v>#DIV/0!</v>
      </c>
      <c r="U47" s="3736"/>
      <c r="V47" s="3736" t="e">
        <f>ROUND(PRODUCT(V46,AC7:AC45),0)</f>
        <v>#DIV/0!</v>
      </c>
      <c r="W47" s="373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3" t="str">
        <f>A48</f>
        <v>估价对象XX用房的比较价值（楼面单价，元/平方米）</v>
      </c>
      <c r="Q48" s="3704"/>
      <c r="R48" s="3737" t="e">
        <f>ROUND(IF(D47="简单平均",AVERAGE(R47:W47),R47*F47+T47*H47+V47*J47),0)</f>
        <v>#DIV/0!</v>
      </c>
      <c r="S48" s="3737"/>
      <c r="T48" s="3737"/>
      <c r="U48" s="3737"/>
      <c r="V48" s="3737"/>
      <c r="W48" s="3737"/>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9" t="s">
        <v>1887</v>
      </c>
      <c r="H55" s="3738"/>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172.33</v>
      </c>
      <c r="F56" s="886" t="e">
        <f t="shared" ref="F56:F64" si="15">ROUND(B56*E56/10000,0)</f>
        <v>#DIV/0!</v>
      </c>
      <c r="G56" s="3688"/>
      <c r="H56" s="370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七级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172.33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5" t="s">
        <v>1771</v>
      </c>
      <c r="S4" s="3676"/>
      <c r="T4" s="3675" t="s">
        <v>1772</v>
      </c>
      <c r="U4" s="3676"/>
      <c r="V4" s="3701" t="s">
        <v>1773</v>
      </c>
      <c r="W4" s="3701"/>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5"/>
      <c r="Q5" s="3696"/>
      <c r="R5" s="3677"/>
      <c r="S5" s="3678"/>
      <c r="T5" s="3677"/>
      <c r="U5" s="3678"/>
      <c r="V5" s="3701"/>
      <c r="W5" s="3701"/>
      <c r="X5" s="1355"/>
      <c r="Y5" s="3677"/>
      <c r="Z5" s="3678"/>
      <c r="AA5" s="3671"/>
      <c r="AB5" s="3671"/>
      <c r="AC5" s="3671"/>
    </row>
    <row r="6" spans="1:29" ht="15.75" thickBot="1">
      <c r="A6" s="360"/>
      <c r="B6" s="361"/>
      <c r="C6" s="3739" t="s">
        <v>1919</v>
      </c>
      <c r="D6" s="3740"/>
      <c r="E6" s="3741" t="s">
        <v>1919</v>
      </c>
      <c r="F6" s="3742"/>
      <c r="G6" s="3739" t="s">
        <v>1919</v>
      </c>
      <c r="H6" s="3740"/>
      <c r="I6" s="3739" t="s">
        <v>1919</v>
      </c>
      <c r="J6" s="3740"/>
      <c r="K6" s="559" t="s">
        <v>1678</v>
      </c>
      <c r="L6" s="2714"/>
      <c r="M6" s="2715"/>
      <c r="N6" s="2715"/>
      <c r="O6" s="2715"/>
      <c r="P6" s="3697"/>
      <c r="Q6" s="3698"/>
      <c r="R6" s="3677"/>
      <c r="S6" s="3678"/>
      <c r="T6" s="3699"/>
      <c r="U6" s="3700"/>
      <c r="V6" s="3701"/>
      <c r="W6" s="3701"/>
      <c r="X6" s="1355"/>
      <c r="Y6" s="3699"/>
      <c r="Z6" s="3700"/>
      <c r="AA6" s="3672"/>
      <c r="AB6" s="3672"/>
      <c r="AC6" s="3672"/>
    </row>
    <row r="7" spans="1:29" s="108" customFormat="1" ht="15.75" thickBot="1">
      <c r="A7" s="362" t="s">
        <v>1679</v>
      </c>
      <c r="B7" s="363"/>
      <c r="C7" s="364">
        <f>'数据-取费表'!B2</f>
        <v>45014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3" t="s">
        <v>1680</v>
      </c>
      <c r="Q7" s="3702"/>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3" t="s">
        <v>1683</v>
      </c>
      <c r="Q8" s="3674"/>
      <c r="R8" s="701" t="s">
        <v>14</v>
      </c>
      <c r="S8" s="702">
        <f t="shared" si="0"/>
        <v>0</v>
      </c>
      <c r="T8" s="701" t="s">
        <v>14</v>
      </c>
      <c r="U8" s="702">
        <f t="shared" si="1"/>
        <v>0</v>
      </c>
      <c r="V8" s="701" t="s">
        <v>14</v>
      </c>
      <c r="W8" s="702">
        <f t="shared" si="2"/>
        <v>0</v>
      </c>
      <c r="X8" s="703"/>
      <c r="Y8" s="3673" t="s">
        <v>1683</v>
      </c>
      <c r="Z8" s="367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6"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06"/>
      <c r="Q10" s="1343" t="str">
        <f t="shared" si="6"/>
        <v>土地使用年限（年）</v>
      </c>
      <c r="R10" s="701" t="s">
        <v>14</v>
      </c>
      <c r="S10" s="702" t="e">
        <f t="shared" si="0"/>
        <v>#DIV/0!</v>
      </c>
      <c r="T10" s="701" t="s">
        <v>14</v>
      </c>
      <c r="U10" s="702" t="e">
        <f t="shared" si="1"/>
        <v>#DIV/0!</v>
      </c>
      <c r="V10" s="701" t="s">
        <v>14</v>
      </c>
      <c r="W10" s="702" t="e">
        <f t="shared" si="2"/>
        <v>#DIV/0!</v>
      </c>
      <c r="X10" s="703"/>
      <c r="Y10" s="3617"/>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6"/>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6"/>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6"/>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6"/>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9"/>
      <c r="Q16" s="1352"/>
      <c r="R16" s="705"/>
      <c r="S16" s="706"/>
      <c r="T16" s="705"/>
      <c r="U16" s="706"/>
      <c r="V16" s="705"/>
      <c r="W16" s="706"/>
      <c r="X16" s="1355"/>
      <c r="Y16" s="370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9"/>
      <c r="Q18" s="1352"/>
      <c r="R18" s="705"/>
      <c r="S18" s="706"/>
      <c r="T18" s="705"/>
      <c r="U18" s="706"/>
      <c r="V18" s="705"/>
      <c r="W18" s="706"/>
      <c r="X18" s="1355"/>
      <c r="Y18" s="370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9"/>
      <c r="Q19" s="1352" t="str">
        <f t="shared" ref="Q19:Q33" si="8">B19</f>
        <v>区域土地利用方向</v>
      </c>
      <c r="R19" s="705" t="s">
        <v>14</v>
      </c>
      <c r="S19" s="706">
        <f>F19</f>
        <v>100</v>
      </c>
      <c r="T19" s="705" t="s">
        <v>14</v>
      </c>
      <c r="U19" s="706">
        <f>H19</f>
        <v>100</v>
      </c>
      <c r="V19" s="705" t="s">
        <v>14</v>
      </c>
      <c r="W19" s="706">
        <f>J19</f>
        <v>100</v>
      </c>
      <c r="X19" s="1355"/>
      <c r="Y19" s="370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9"/>
      <c r="Q20" s="1352"/>
      <c r="R20" s="705"/>
      <c r="S20" s="706"/>
      <c r="T20" s="705"/>
      <c r="U20" s="706"/>
      <c r="V20" s="705"/>
      <c r="W20" s="706"/>
      <c r="X20" s="1355"/>
      <c r="Y20" s="370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9"/>
      <c r="Q21" s="1352" t="str">
        <f t="shared" si="8"/>
        <v>环境状况</v>
      </c>
      <c r="R21" s="705" t="s">
        <v>14</v>
      </c>
      <c r="S21" s="706">
        <f>F21</f>
        <v>100</v>
      </c>
      <c r="T21" s="705" t="s">
        <v>14</v>
      </c>
      <c r="U21" s="706">
        <f>H21</f>
        <v>100</v>
      </c>
      <c r="V21" s="705" t="s">
        <v>14</v>
      </c>
      <c r="W21" s="706">
        <f>J21</f>
        <v>100</v>
      </c>
      <c r="X21" s="1355"/>
      <c r="Y21" s="370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9"/>
      <c r="Q22" s="1352"/>
      <c r="R22" s="705"/>
      <c r="S22" s="706"/>
      <c r="T22" s="705"/>
      <c r="U22" s="706"/>
      <c r="V22" s="705"/>
      <c r="W22" s="706"/>
      <c r="X22" s="1355"/>
      <c r="Y22" s="370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9"/>
      <c r="Q23" s="1343" t="str">
        <f t="shared" si="8"/>
        <v>公共配套设施</v>
      </c>
      <c r="R23" s="701" t="s">
        <v>14</v>
      </c>
      <c r="S23" s="702">
        <f>F23</f>
        <v>100</v>
      </c>
      <c r="T23" s="701" t="s">
        <v>14</v>
      </c>
      <c r="U23" s="702">
        <f>H23</f>
        <v>100</v>
      </c>
      <c r="V23" s="701" t="s">
        <v>14</v>
      </c>
      <c r="W23" s="702">
        <f>J23</f>
        <v>100</v>
      </c>
      <c r="X23" s="703"/>
      <c r="Y23" s="370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9"/>
      <c r="Q24" s="1343"/>
      <c r="R24" s="701"/>
      <c r="S24" s="702"/>
      <c r="T24" s="701"/>
      <c r="U24" s="702"/>
      <c r="V24" s="701"/>
      <c r="W24" s="702"/>
      <c r="X24" s="703"/>
      <c r="Y24" s="370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9"/>
      <c r="Q25" s="1343" t="str">
        <f t="shared" ref="Q25" si="9">B25</f>
        <v>基础设施水平</v>
      </c>
      <c r="R25" s="701" t="s">
        <v>14</v>
      </c>
      <c r="S25" s="702">
        <f>F25</f>
        <v>100</v>
      </c>
      <c r="T25" s="701" t="s">
        <v>14</v>
      </c>
      <c r="U25" s="702">
        <f>H25</f>
        <v>100</v>
      </c>
      <c r="V25" s="701" t="s">
        <v>14</v>
      </c>
      <c r="W25" s="702">
        <f>J25</f>
        <v>100</v>
      </c>
      <c r="X25" s="703"/>
      <c r="Y25" s="370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9"/>
      <c r="Q26" s="1343"/>
      <c r="R26" s="701"/>
      <c r="S26" s="702"/>
      <c r="T26" s="701"/>
      <c r="U26" s="702"/>
      <c r="V26" s="701"/>
      <c r="W26" s="702"/>
      <c r="X26" s="703"/>
      <c r="Y26" s="370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9"/>
      <c r="Q28" s="1352" t="str">
        <f t="shared" si="8"/>
        <v>毗邻道路的类型与等级</v>
      </c>
      <c r="R28" s="705" t="s">
        <v>14</v>
      </c>
      <c r="S28" s="706">
        <f t="shared" si="10"/>
        <v>100</v>
      </c>
      <c r="T28" s="705" t="s">
        <v>14</v>
      </c>
      <c r="U28" s="706">
        <f t="shared" si="11"/>
        <v>100</v>
      </c>
      <c r="V28" s="705" t="s">
        <v>14</v>
      </c>
      <c r="W28" s="706">
        <f t="shared" si="12"/>
        <v>100</v>
      </c>
      <c r="X28" s="1355"/>
      <c r="Y28" s="370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9"/>
      <c r="Q29" s="1352"/>
      <c r="R29" s="705"/>
      <c r="S29" s="706"/>
      <c r="T29" s="705"/>
      <c r="U29" s="706"/>
      <c r="V29" s="705"/>
      <c r="W29" s="706"/>
      <c r="X29" s="1355"/>
      <c r="Y29" s="370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9"/>
      <c r="Q30" s="1352" t="str">
        <f t="shared" si="8"/>
        <v>土地级别</v>
      </c>
      <c r="R30" s="705" t="s">
        <v>14</v>
      </c>
      <c r="S30" s="706">
        <f t="shared" si="10"/>
        <v>100</v>
      </c>
      <c r="T30" s="705" t="s">
        <v>14</v>
      </c>
      <c r="U30" s="706">
        <f t="shared" si="11"/>
        <v>100</v>
      </c>
      <c r="V30" s="705" t="s">
        <v>14</v>
      </c>
      <c r="W30" s="706">
        <f t="shared" si="12"/>
        <v>100</v>
      </c>
      <c r="X30" s="1355"/>
      <c r="Y30" s="370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9"/>
      <c r="Q31" s="1352">
        <f t="shared" si="8"/>
        <v>111</v>
      </c>
      <c r="R31" s="705" t="s">
        <v>14</v>
      </c>
      <c r="S31" s="706">
        <f t="shared" si="10"/>
        <v>100</v>
      </c>
      <c r="T31" s="705" t="s">
        <v>14</v>
      </c>
      <c r="U31" s="706">
        <f t="shared" si="11"/>
        <v>100</v>
      </c>
      <c r="V31" s="705" t="s">
        <v>14</v>
      </c>
      <c r="W31" s="706">
        <f t="shared" si="12"/>
        <v>100</v>
      </c>
      <c r="X31" s="1355"/>
      <c r="Y31" s="370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4" t="s">
        <v>1696</v>
      </c>
      <c r="Q32" s="1352">
        <f t="shared" si="8"/>
        <v>111</v>
      </c>
      <c r="R32" s="705" t="s">
        <v>14</v>
      </c>
      <c r="S32" s="706">
        <f t="shared" si="10"/>
        <v>100</v>
      </c>
      <c r="T32" s="705" t="s">
        <v>14</v>
      </c>
      <c r="U32" s="706">
        <f t="shared" si="11"/>
        <v>100</v>
      </c>
      <c r="V32" s="705" t="s">
        <v>14</v>
      </c>
      <c r="W32" s="706">
        <f t="shared" si="12"/>
        <v>100</v>
      </c>
      <c r="X32" s="1355"/>
      <c r="Y32" s="371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3"/>
      <c r="Q33" s="1352">
        <f t="shared" si="8"/>
        <v>111</v>
      </c>
      <c r="R33" s="708" t="s">
        <v>14</v>
      </c>
      <c r="S33" s="709">
        <f t="shared" si="10"/>
        <v>100</v>
      </c>
      <c r="T33" s="708" t="s">
        <v>14</v>
      </c>
      <c r="U33" s="709">
        <f t="shared" si="11"/>
        <v>100</v>
      </c>
      <c r="V33" s="708" t="s">
        <v>14</v>
      </c>
      <c r="W33" s="709">
        <f t="shared" si="12"/>
        <v>100</v>
      </c>
      <c r="X33" s="710"/>
      <c r="Y33" s="371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3"/>
      <c r="Q34" s="1352" t="str">
        <f>B34</f>
        <v>宗地面积</v>
      </c>
      <c r="R34" s="705" t="s">
        <v>14</v>
      </c>
      <c r="S34" s="706" t="e">
        <f t="shared" si="10"/>
        <v>#N/A</v>
      </c>
      <c r="T34" s="705" t="s">
        <v>14</v>
      </c>
      <c r="U34" s="706" t="e">
        <f t="shared" si="11"/>
        <v>#N/A</v>
      </c>
      <c r="V34" s="705" t="s">
        <v>14</v>
      </c>
      <c r="W34" s="706" t="e">
        <f t="shared" si="12"/>
        <v>#N/A</v>
      </c>
      <c r="X34" s="1355"/>
      <c r="Y34" s="371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3"/>
      <c r="Q35" s="1352" t="str">
        <f t="shared" ref="Q35:Q40" si="14">B35</f>
        <v>宗地形状</v>
      </c>
      <c r="R35" s="705" t="s">
        <v>14</v>
      </c>
      <c r="S35" s="706">
        <f t="shared" si="10"/>
        <v>100</v>
      </c>
      <c r="T35" s="705" t="s">
        <v>14</v>
      </c>
      <c r="U35" s="706">
        <f t="shared" si="11"/>
        <v>100</v>
      </c>
      <c r="V35" s="705" t="s">
        <v>14</v>
      </c>
      <c r="W35" s="706">
        <f t="shared" si="12"/>
        <v>100</v>
      </c>
      <c r="X35" s="1355"/>
      <c r="Y35" s="371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3"/>
      <c r="Q36" s="1352" t="str">
        <f t="shared" si="14"/>
        <v>宗地开发程度</v>
      </c>
      <c r="R36" s="701" t="s">
        <v>14</v>
      </c>
      <c r="S36" s="702">
        <f t="shared" si="10"/>
        <v>100</v>
      </c>
      <c r="T36" s="701" t="s">
        <v>14</v>
      </c>
      <c r="U36" s="702">
        <f t="shared" si="11"/>
        <v>100</v>
      </c>
      <c r="V36" s="701" t="s">
        <v>14</v>
      </c>
      <c r="W36" s="702">
        <f t="shared" si="12"/>
        <v>100</v>
      </c>
      <c r="X36" s="703"/>
      <c r="Y36" s="371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3" t="s">
        <v>1696</v>
      </c>
      <c r="Q37" s="1352" t="str">
        <f t="shared" si="14"/>
        <v>工程地质条件</v>
      </c>
      <c r="R37" s="705" t="s">
        <v>14</v>
      </c>
      <c r="S37" s="706">
        <f t="shared" si="10"/>
        <v>100</v>
      </c>
      <c r="T37" s="705" t="s">
        <v>14</v>
      </c>
      <c r="U37" s="706">
        <f t="shared" si="11"/>
        <v>100</v>
      </c>
      <c r="V37" s="705" t="s">
        <v>14</v>
      </c>
      <c r="W37" s="706">
        <f t="shared" si="12"/>
        <v>100</v>
      </c>
      <c r="X37" s="1355"/>
      <c r="Y37" s="371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3"/>
      <c r="Q38" s="1352">
        <f t="shared" si="14"/>
        <v>111</v>
      </c>
      <c r="R38" s="705" t="s">
        <v>14</v>
      </c>
      <c r="S38" s="706">
        <f t="shared" si="10"/>
        <v>100</v>
      </c>
      <c r="T38" s="705" t="s">
        <v>14</v>
      </c>
      <c r="U38" s="706">
        <f t="shared" si="11"/>
        <v>100</v>
      </c>
      <c r="V38" s="705" t="s">
        <v>14</v>
      </c>
      <c r="W38" s="706">
        <f t="shared" si="12"/>
        <v>100</v>
      </c>
      <c r="X38" s="1355"/>
      <c r="Y38" s="371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3"/>
      <c r="Q39" s="1352">
        <f t="shared" si="14"/>
        <v>111</v>
      </c>
      <c r="R39" s="705" t="s">
        <v>14</v>
      </c>
      <c r="S39" s="706">
        <f t="shared" si="10"/>
        <v>100</v>
      </c>
      <c r="T39" s="705" t="s">
        <v>14</v>
      </c>
      <c r="U39" s="706">
        <f t="shared" si="11"/>
        <v>100</v>
      </c>
      <c r="V39" s="705" t="s">
        <v>14</v>
      </c>
      <c r="W39" s="706">
        <f t="shared" si="12"/>
        <v>100</v>
      </c>
      <c r="X39" s="1355"/>
      <c r="Y39" s="371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3"/>
      <c r="Q40" s="1352">
        <f t="shared" si="14"/>
        <v>111</v>
      </c>
      <c r="R40" s="708" t="s">
        <v>14</v>
      </c>
      <c r="S40" s="709">
        <f t="shared" si="10"/>
        <v>100</v>
      </c>
      <c r="T40" s="708" t="s">
        <v>14</v>
      </c>
      <c r="U40" s="709">
        <f t="shared" si="11"/>
        <v>100</v>
      </c>
      <c r="V40" s="708" t="s">
        <v>14</v>
      </c>
      <c r="W40" s="709">
        <f t="shared" si="12"/>
        <v>100</v>
      </c>
      <c r="X40" s="710"/>
      <c r="Y40" s="371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06" t="str">
        <f>A41</f>
        <v>成交单价</v>
      </c>
      <c r="Q41" s="3706"/>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06" t="str">
        <f>A42</f>
        <v>比较价值（元/平方米）</v>
      </c>
      <c r="Q42" s="3706"/>
      <c r="R42" s="3736" t="e">
        <f>ROUND(PRODUCT(R41,AA7:AA40),0)</f>
        <v>#DIV/0!</v>
      </c>
      <c r="S42" s="3736"/>
      <c r="T42" s="3736" t="e">
        <f>ROUND(PRODUCT(T41,AB7:AB40),0)</f>
        <v>#DIV/0!</v>
      </c>
      <c r="U42" s="3736"/>
      <c r="V42" s="3736" t="e">
        <f>ROUND(PRODUCT(V41,AC7:AC40),0)</f>
        <v>#DIV/0!</v>
      </c>
      <c r="W42" s="373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3" t="str">
        <f>A43</f>
        <v>估价对象XX用房的比较价值（楼面单价，元/平方米）</v>
      </c>
      <c r="Q43" s="3704"/>
      <c r="R43" s="3737" t="e">
        <f>ROUND(IF(D42="简单平均",AVERAGE(R42:W42),R42*F42+T42*H42+V42*J42),0)</f>
        <v>#DIV/0!</v>
      </c>
      <c r="S43" s="3737"/>
      <c r="T43" s="3737"/>
      <c r="U43" s="3737"/>
      <c r="V43" s="3737"/>
      <c r="W43" s="3737"/>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9" t="s">
        <v>1887</v>
      </c>
      <c r="H50" s="3738"/>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172.33</v>
      </c>
      <c r="F51" s="639" t="e">
        <f t="shared" ref="F51:F60" si="15">ROUND(B51*E51/10000,0)</f>
        <v>#DIV/0!</v>
      </c>
      <c r="G51" s="3688"/>
      <c r="H51" s="370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6" t="s">
        <v>2084</v>
      </c>
      <c r="D1" s="3747"/>
      <c r="E1" s="3747"/>
      <c r="F1" s="3747"/>
      <c r="G1" s="3747"/>
      <c r="H1" s="3747"/>
      <c r="I1" s="3747"/>
      <c r="J1" s="3747"/>
      <c r="K1" s="3747"/>
      <c r="L1" s="3747"/>
      <c r="M1" s="3747"/>
      <c r="N1" s="3747"/>
      <c r="O1" s="3747"/>
      <c r="P1" s="3747"/>
      <c r="Q1" s="3747"/>
      <c r="R1" s="3747"/>
      <c r="S1" s="374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3" t="s">
        <v>27</v>
      </c>
      <c r="D22" s="3744"/>
      <c r="E22" s="3744"/>
      <c r="F22" s="3744"/>
      <c r="G22" s="3744"/>
      <c r="H22" s="3744"/>
      <c r="I22" s="3744"/>
      <c r="J22" s="3744"/>
      <c r="K22" s="3744"/>
      <c r="L22" s="3744"/>
      <c r="M22" s="3744"/>
      <c r="N22" s="3744"/>
      <c r="O22" s="3744"/>
      <c r="P22" s="3744"/>
      <c r="Q22" s="374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3" t="s">
        <v>1960</v>
      </c>
      <c r="X8" s="37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5"/>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0" t="s">
        <v>3259</v>
      </c>
      <c r="B20" s="167" t="s">
        <v>1994</v>
      </c>
      <c r="C20" s="3324" t="e">
        <f>ROUND(IF(F21="与级别开发程度一致",0,(G21-E21)/C21),0)</f>
        <v>#DIV/0!</v>
      </c>
      <c r="D20" s="3340" t="s">
        <v>1998</v>
      </c>
      <c r="E20" s="3341"/>
      <c r="F20" s="3766" t="s">
        <v>1995</v>
      </c>
      <c r="G20" s="3767"/>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45014</v>
      </c>
      <c r="H23" s="3342" t="s">
        <v>3261</v>
      </c>
      <c r="I23" s="3343" t="str">
        <f>IF(H23="季度增幅（自定义）",SUMIF(N25:N28,E2,O25:O28),"")</f>
        <v/>
      </c>
      <c r="J23" s="3445" t="s">
        <v>3260</v>
      </c>
      <c r="K23" s="1125"/>
      <c r="L23" s="2055" t="s">
        <v>2004</v>
      </c>
      <c r="M23" s="1328">
        <f>ROUND(SUMIF(地价!B2:G2,E2,地价!B16:G16),0)</f>
        <v>0</v>
      </c>
      <c r="N23" s="2056" t="s">
        <v>2005</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5"/>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3275</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2" t="s">
        <v>3299</v>
      </c>
      <c r="B103" s="3762"/>
      <c r="C103" s="3762"/>
      <c r="D103" s="3762"/>
      <c r="E103" s="3762"/>
      <c r="F103" s="3762"/>
      <c r="G103" s="3762"/>
      <c r="H103" s="3762"/>
      <c r="I103" s="3762"/>
      <c r="J103" s="3762"/>
      <c r="K103" s="3389"/>
      <c r="L103" s="3389"/>
      <c r="M103" s="3389"/>
      <c r="N103" s="3389"/>
    </row>
    <row r="104" spans="1:14">
      <c r="A104" s="3763" t="s">
        <v>3300</v>
      </c>
      <c r="B104" s="3763" t="s">
        <v>3301</v>
      </c>
      <c r="C104" s="3390" t="s">
        <v>3302</v>
      </c>
      <c r="D104" s="3391"/>
      <c r="E104" s="3391"/>
      <c r="F104" s="3391"/>
      <c r="G104" s="3391"/>
      <c r="H104" s="3391"/>
      <c r="I104" s="3391"/>
      <c r="J104" s="3392"/>
      <c r="K104" s="3393"/>
      <c r="L104" s="3393"/>
      <c r="M104" s="3393"/>
      <c r="N104" s="3393"/>
    </row>
    <row r="105" spans="1:14">
      <c r="A105" s="3763"/>
      <c r="B105" s="3763"/>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9"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0"/>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1"/>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2" t="s">
        <v>3316</v>
      </c>
      <c r="B113" s="3752"/>
      <c r="C113" s="3752"/>
      <c r="D113" s="3752"/>
      <c r="E113" s="3752"/>
      <c r="F113" s="3752"/>
      <c r="G113" s="3752"/>
      <c r="H113" s="3752"/>
      <c r="I113" s="3752"/>
      <c r="J113" s="375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2000" t="s">
        <v>3319</v>
      </c>
      <c r="F116" s="3401">
        <f>E2</f>
        <v>0</v>
      </c>
      <c r="G116" s="2000" t="s">
        <v>3320</v>
      </c>
      <c r="H116" s="3401">
        <f>G2</f>
        <v>0</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O36:S152"/>
  <sheetViews>
    <sheetView topLeftCell="A241" workbookViewId="0">
      <selection activeCell="A252" sqref="A252"/>
    </sheetView>
  </sheetViews>
  <sheetFormatPr defaultRowHeight="13.5"/>
  <cols>
    <col min="15" max="15" width="11.625" bestFit="1" customWidth="1"/>
  </cols>
  <sheetData>
    <row r="36" spans="19:19">
      <c r="S36" s="3453" t="s">
        <v>3417</v>
      </c>
    </row>
    <row r="73" spans="19:19">
      <c r="S73" s="3453" t="s">
        <v>3418</v>
      </c>
    </row>
    <row r="110" spans="19:19">
      <c r="S110" s="3453" t="s">
        <v>3419</v>
      </c>
    </row>
    <row r="149" spans="15:18">
      <c r="O149" s="3455" t="s">
        <v>3426</v>
      </c>
      <c r="P149" s="3455" t="s">
        <v>3427</v>
      </c>
      <c r="Q149" s="3455" t="s">
        <v>3428</v>
      </c>
      <c r="R149" s="3455" t="s">
        <v>3429</v>
      </c>
    </row>
    <row r="150" spans="15:18">
      <c r="O150" s="3456">
        <v>44885</v>
      </c>
      <c r="P150" s="3457">
        <v>172.58</v>
      </c>
      <c r="Q150" s="3457">
        <v>576</v>
      </c>
      <c r="R150" s="3457">
        <f>ROUND(Q150*10000/P150,0)</f>
        <v>33376</v>
      </c>
    </row>
    <row r="151" spans="15:18">
      <c r="O151" s="3456">
        <v>44941</v>
      </c>
      <c r="P151" s="3457">
        <v>172.4</v>
      </c>
      <c r="Q151" s="3457">
        <v>642.6</v>
      </c>
      <c r="R151" s="3457">
        <f t="shared" ref="R151:R152" si="0">ROUND(Q151*10000/P151,0)</f>
        <v>37274</v>
      </c>
    </row>
    <row r="152" spans="15:18">
      <c r="O152" s="3456">
        <v>44981</v>
      </c>
      <c r="P152" s="3457">
        <v>172.36</v>
      </c>
      <c r="Q152" s="3457">
        <v>602</v>
      </c>
      <c r="R152" s="3457">
        <f t="shared" si="0"/>
        <v>34927</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5" t="s">
        <v>2610</v>
      </c>
      <c r="B20" s="3768" t="s">
        <v>2631</v>
      </c>
      <c r="C20" s="3102" t="s">
        <v>2442</v>
      </c>
      <c r="D20" s="3103"/>
      <c r="E20" s="3104">
        <v>1</v>
      </c>
      <c r="F20" s="3105" t="s">
        <v>2443</v>
      </c>
      <c r="G20" s="3105"/>
    </row>
    <row r="21" spans="1:13" ht="19.5" customHeight="1">
      <c r="A21" s="3776"/>
      <c r="B21" s="3769"/>
      <c r="C21" s="3106" t="s">
        <v>2444</v>
      </c>
      <c r="D21" s="3107"/>
      <c r="E21" s="3108">
        <v>1</v>
      </c>
      <c r="F21" s="3105" t="s">
        <v>2445</v>
      </c>
      <c r="G21" s="3105"/>
    </row>
    <row r="22" spans="1:13" ht="19.5" customHeight="1">
      <c r="A22" s="3776"/>
      <c r="B22" s="3769"/>
      <c r="C22" s="3106" t="s">
        <v>2446</v>
      </c>
      <c r="D22" s="3107"/>
      <c r="E22" s="3108">
        <v>0.9</v>
      </c>
      <c r="F22" s="3105" t="s">
        <v>2447</v>
      </c>
      <c r="G22" s="3105"/>
    </row>
    <row r="23" spans="1:13" ht="19.5" customHeight="1">
      <c r="A23" s="3776"/>
      <c r="B23" s="3769"/>
      <c r="C23" s="3106" t="s">
        <v>2448</v>
      </c>
      <c r="D23" s="3107"/>
      <c r="E23" s="3108">
        <v>0.9</v>
      </c>
      <c r="F23" s="3105" t="s">
        <v>2449</v>
      </c>
      <c r="G23" s="3105"/>
    </row>
    <row r="24" spans="1:13" ht="19.5" customHeight="1">
      <c r="A24" s="3776"/>
      <c r="B24" s="3769"/>
      <c r="C24" s="3106" t="s">
        <v>2450</v>
      </c>
      <c r="D24" s="3107"/>
      <c r="E24" s="3108">
        <v>0.8</v>
      </c>
      <c r="F24" s="3105" t="s">
        <v>2451</v>
      </c>
      <c r="G24" s="3105"/>
    </row>
    <row r="25" spans="1:13" ht="19.5" customHeight="1" thickBot="1">
      <c r="A25" s="3777"/>
      <c r="B25" s="3770"/>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1" t="s">
        <v>2634</v>
      </c>
      <c r="B27" s="3768" t="s">
        <v>2615</v>
      </c>
      <c r="C27" s="3102" t="s">
        <v>2455</v>
      </c>
      <c r="D27" s="3103"/>
      <c r="E27" s="3104">
        <v>1</v>
      </c>
      <c r="F27" s="3105" t="s">
        <v>2456</v>
      </c>
      <c r="G27" s="3105"/>
    </row>
    <row r="28" spans="1:13" ht="19.5" customHeight="1">
      <c r="A28" s="3772"/>
      <c r="B28" s="3769"/>
      <c r="C28" s="3106" t="s">
        <v>2457</v>
      </c>
      <c r="D28" s="3107"/>
      <c r="E28" s="3108">
        <v>1</v>
      </c>
      <c r="F28" s="3105" t="s">
        <v>2458</v>
      </c>
      <c r="G28" s="3105"/>
    </row>
    <row r="29" spans="1:13" ht="19.5" customHeight="1">
      <c r="A29" s="3772"/>
      <c r="B29" s="3769"/>
      <c r="C29" s="3106" t="s">
        <v>2459</v>
      </c>
      <c r="D29" s="3107"/>
      <c r="E29" s="3108">
        <v>0.8</v>
      </c>
      <c r="F29" s="3105" t="s">
        <v>2460</v>
      </c>
      <c r="G29" s="3105"/>
    </row>
    <row r="30" spans="1:13" ht="19.5" customHeight="1">
      <c r="A30" s="3772"/>
      <c r="B30" s="3769"/>
      <c r="C30" s="3106" t="s">
        <v>2461</v>
      </c>
      <c r="D30" s="3107"/>
      <c r="E30" s="3108">
        <v>0.8</v>
      </c>
      <c r="F30" s="3105" t="s">
        <v>2462</v>
      </c>
      <c r="G30" s="3105"/>
    </row>
    <row r="31" spans="1:13" ht="19.5" customHeight="1">
      <c r="A31" s="3772"/>
      <c r="B31" s="3769"/>
      <c r="C31" s="3106" t="s">
        <v>2463</v>
      </c>
      <c r="D31" s="3107"/>
      <c r="E31" s="3108">
        <v>0.8</v>
      </c>
      <c r="F31" s="3105" t="s">
        <v>2464</v>
      </c>
      <c r="G31" s="3105"/>
    </row>
    <row r="32" spans="1:13" ht="19.5" customHeight="1">
      <c r="A32" s="3772"/>
      <c r="B32" s="3769"/>
      <c r="C32" s="3106" t="s">
        <v>2465</v>
      </c>
      <c r="D32" s="3107"/>
      <c r="E32" s="3108">
        <v>0.7</v>
      </c>
      <c r="F32" s="3105" t="s">
        <v>2466</v>
      </c>
      <c r="G32" s="3105"/>
    </row>
    <row r="33" spans="1:7" ht="19.5" customHeight="1">
      <c r="A33" s="3772"/>
      <c r="B33" s="3769"/>
      <c r="C33" s="3106" t="s">
        <v>2467</v>
      </c>
      <c r="D33" s="3107"/>
      <c r="E33" s="3108">
        <v>0.8</v>
      </c>
      <c r="F33" s="3105" t="s">
        <v>2468</v>
      </c>
      <c r="G33" s="3105"/>
    </row>
    <row r="34" spans="1:7" ht="19.5" customHeight="1">
      <c r="A34" s="3772"/>
      <c r="B34" s="3769"/>
      <c r="C34" s="3106" t="s">
        <v>2469</v>
      </c>
      <c r="D34" s="3107"/>
      <c r="E34" s="3108">
        <v>0.6</v>
      </c>
      <c r="F34" s="3105" t="s">
        <v>2470</v>
      </c>
      <c r="G34" s="3105"/>
    </row>
    <row r="35" spans="1:7" ht="19.5" customHeight="1">
      <c r="A35" s="3772"/>
      <c r="B35" s="3769"/>
      <c r="C35" s="3106" t="s">
        <v>2471</v>
      </c>
      <c r="D35" s="3107"/>
      <c r="E35" s="3108">
        <v>0.2</v>
      </c>
      <c r="F35" s="3105" t="s">
        <v>2472</v>
      </c>
      <c r="G35" s="3105"/>
    </row>
    <row r="36" spans="1:7" ht="19.5" customHeight="1">
      <c r="A36" s="3772"/>
      <c r="B36" s="3769"/>
      <c r="C36" s="3106" t="s">
        <v>2473</v>
      </c>
      <c r="D36" s="3107"/>
      <c r="E36" s="3108">
        <v>0.2</v>
      </c>
      <c r="F36" s="3105" t="s">
        <v>2474</v>
      </c>
      <c r="G36" s="3105"/>
    </row>
    <row r="37" spans="1:7" ht="19.5" customHeight="1">
      <c r="A37" s="3772"/>
      <c r="B37" s="3774" t="s">
        <v>2635</v>
      </c>
      <c r="C37" s="3106" t="s">
        <v>2475</v>
      </c>
      <c r="D37" s="3107"/>
      <c r="E37" s="3108">
        <v>0.6</v>
      </c>
      <c r="F37" s="3105" t="s">
        <v>2476</v>
      </c>
      <c r="G37" s="3105"/>
    </row>
    <row r="38" spans="1:7" ht="19.5" customHeight="1">
      <c r="A38" s="3772"/>
      <c r="B38" s="3769"/>
      <c r="C38" s="3106" t="s">
        <v>2477</v>
      </c>
      <c r="D38" s="3107"/>
      <c r="E38" s="3108">
        <v>0.6</v>
      </c>
      <c r="F38" s="3105" t="s">
        <v>2478</v>
      </c>
      <c r="G38" s="3105"/>
    </row>
    <row r="39" spans="1:7" ht="19.5" customHeight="1" thickBot="1">
      <c r="A39" s="3773"/>
      <c r="B39" s="3770"/>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5" t="s">
        <v>2613</v>
      </c>
      <c r="B41" s="3768" t="s">
        <v>2637</v>
      </c>
      <c r="C41" s="3102" t="s">
        <v>2482</v>
      </c>
      <c r="D41" s="3103"/>
      <c r="E41" s="3104">
        <v>1</v>
      </c>
      <c r="F41" s="3105" t="s">
        <v>2483</v>
      </c>
      <c r="G41" s="3105"/>
    </row>
    <row r="42" spans="1:7" ht="19.5" customHeight="1">
      <c r="A42" s="3776"/>
      <c r="B42" s="3769"/>
      <c r="C42" s="3106" t="s">
        <v>2484</v>
      </c>
      <c r="D42" s="3107"/>
      <c r="E42" s="3108">
        <v>1</v>
      </c>
      <c r="F42" s="3105" t="s">
        <v>2485</v>
      </c>
      <c r="G42" s="3105"/>
    </row>
    <row r="43" spans="1:7" ht="19.5" customHeight="1">
      <c r="A43" s="3776"/>
      <c r="B43" s="3778"/>
      <c r="C43" s="3106" t="s">
        <v>2486</v>
      </c>
      <c r="D43" s="3107"/>
      <c r="E43" s="3108">
        <v>1.5</v>
      </c>
      <c r="F43" s="3105" t="s">
        <v>2487</v>
      </c>
      <c r="G43" s="3105"/>
    </row>
    <row r="44" spans="1:7" ht="19.5" customHeight="1">
      <c r="A44" s="3776"/>
      <c r="B44" s="3117" t="s">
        <v>2638</v>
      </c>
      <c r="C44" s="3106" t="s">
        <v>2639</v>
      </c>
      <c r="D44" s="3107"/>
      <c r="E44" s="3108">
        <v>2</v>
      </c>
      <c r="F44" s="3105" t="s">
        <v>2488</v>
      </c>
      <c r="G44" s="3105"/>
    </row>
    <row r="45" spans="1:7" ht="19.5" customHeight="1">
      <c r="A45" s="3776"/>
      <c r="B45" s="3774" t="s">
        <v>2640</v>
      </c>
      <c r="C45" s="3106" t="s">
        <v>2489</v>
      </c>
      <c r="D45" s="3107"/>
      <c r="E45" s="3108">
        <v>1</v>
      </c>
      <c r="F45" s="3105" t="s">
        <v>2490</v>
      </c>
      <c r="G45" s="3105"/>
    </row>
    <row r="46" spans="1:7" ht="19.5" customHeight="1">
      <c r="A46" s="3776"/>
      <c r="B46" s="3769"/>
      <c r="C46" s="3106" t="s">
        <v>2491</v>
      </c>
      <c r="D46" s="3107"/>
      <c r="E46" s="3108">
        <v>1</v>
      </c>
      <c r="F46" s="3105" t="s">
        <v>2492</v>
      </c>
      <c r="G46" s="3105"/>
    </row>
    <row r="47" spans="1:7" ht="19.5" customHeight="1">
      <c r="A47" s="3776"/>
      <c r="B47" s="3769"/>
      <c r="C47" s="3106" t="s">
        <v>2493</v>
      </c>
      <c r="D47" s="3107"/>
      <c r="E47" s="3108">
        <v>1</v>
      </c>
      <c r="F47" s="3105" t="s">
        <v>2494</v>
      </c>
      <c r="G47" s="3105"/>
    </row>
    <row r="48" spans="1:7" ht="19.5" customHeight="1">
      <c r="A48" s="3776"/>
      <c r="B48" s="3769"/>
      <c r="C48" s="3106" t="s">
        <v>2495</v>
      </c>
      <c r="D48" s="3107"/>
      <c r="E48" s="3108">
        <v>1</v>
      </c>
      <c r="F48" s="3105" t="s">
        <v>2496</v>
      </c>
      <c r="G48" s="3105"/>
    </row>
    <row r="49" spans="1:7" ht="19.5" customHeight="1">
      <c r="A49" s="3776"/>
      <c r="B49" s="3769"/>
      <c r="C49" s="3106" t="s">
        <v>2497</v>
      </c>
      <c r="D49" s="3107"/>
      <c r="E49" s="3108">
        <v>1</v>
      </c>
      <c r="F49" s="3105" t="s">
        <v>2498</v>
      </c>
      <c r="G49" s="3105"/>
    </row>
    <row r="50" spans="1:7" ht="19.5" customHeight="1">
      <c r="A50" s="3776"/>
      <c r="B50" s="3769"/>
      <c r="C50" s="3106" t="s">
        <v>2499</v>
      </c>
      <c r="D50" s="3107"/>
      <c r="E50" s="3108">
        <v>1</v>
      </c>
      <c r="F50" s="3105" t="s">
        <v>2500</v>
      </c>
      <c r="G50" s="3105"/>
    </row>
    <row r="51" spans="1:7" ht="19.5" customHeight="1" thickBot="1">
      <c r="A51" s="3777"/>
      <c r="B51" s="3770"/>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4" t="s">
        <v>2654</v>
      </c>
      <c r="C73" s="3091" t="s">
        <v>2655</v>
      </c>
      <c r="D73" s="3091" t="s">
        <v>2656</v>
      </c>
      <c r="E73" s="3117">
        <v>0.2</v>
      </c>
      <c r="F73" s="3117">
        <v>25</v>
      </c>
    </row>
    <row r="74" spans="1:7" ht="24">
      <c r="A74" s="3117">
        <v>2</v>
      </c>
      <c r="B74" s="3769"/>
      <c r="C74" s="3091" t="s">
        <v>2657</v>
      </c>
      <c r="D74" s="3091" t="s">
        <v>2658</v>
      </c>
      <c r="E74" s="3117">
        <v>0.2</v>
      </c>
      <c r="F74" s="3117">
        <v>25</v>
      </c>
    </row>
    <row r="75" spans="1:7" ht="24">
      <c r="A75" s="3117">
        <v>3</v>
      </c>
      <c r="B75" s="3769"/>
      <c r="C75" s="3091" t="s">
        <v>2659</v>
      </c>
      <c r="D75" s="3091" t="s">
        <v>2660</v>
      </c>
      <c r="E75" s="3117">
        <v>0.2</v>
      </c>
      <c r="F75" s="3117">
        <v>25</v>
      </c>
    </row>
    <row r="76" spans="1:7" ht="13.5">
      <c r="A76" s="3117">
        <v>4</v>
      </c>
      <c r="B76" s="3769"/>
      <c r="C76" s="3091" t="s">
        <v>2661</v>
      </c>
      <c r="D76" s="3091" t="s">
        <v>2662</v>
      </c>
      <c r="E76" s="3117">
        <v>0.15</v>
      </c>
      <c r="F76" s="3117">
        <v>20</v>
      </c>
    </row>
    <row r="77" spans="1:7" ht="24">
      <c r="A77" s="3117">
        <v>5</v>
      </c>
      <c r="B77" s="3769"/>
      <c r="C77" s="3091" t="s">
        <v>2663</v>
      </c>
      <c r="D77" s="3091" t="s">
        <v>2664</v>
      </c>
      <c r="E77" s="3117">
        <v>0.15</v>
      </c>
      <c r="F77" s="3117">
        <v>20</v>
      </c>
    </row>
    <row r="78" spans="1:7" ht="24">
      <c r="A78" s="3117">
        <v>6</v>
      </c>
      <c r="B78" s="3769"/>
      <c r="C78" s="3091" t="s">
        <v>2665</v>
      </c>
      <c r="D78" s="3091" t="s">
        <v>2666</v>
      </c>
      <c r="E78" s="3117">
        <v>0.15</v>
      </c>
      <c r="F78" s="3117">
        <v>20</v>
      </c>
    </row>
    <row r="79" spans="1:7" ht="24">
      <c r="A79" s="3117">
        <v>7</v>
      </c>
      <c r="B79" s="3769"/>
      <c r="C79" s="3091" t="s">
        <v>2667</v>
      </c>
      <c r="D79" s="3091" t="s">
        <v>2668</v>
      </c>
      <c r="E79" s="3117">
        <v>0.15</v>
      </c>
      <c r="F79" s="3117">
        <v>20</v>
      </c>
    </row>
    <row r="80" spans="1:7" ht="24">
      <c r="A80" s="3117">
        <v>8</v>
      </c>
      <c r="B80" s="3769"/>
      <c r="C80" s="3091" t="s">
        <v>2669</v>
      </c>
      <c r="D80" s="3091" t="s">
        <v>2670</v>
      </c>
      <c r="E80" s="3117">
        <v>0.1</v>
      </c>
      <c r="F80" s="3117">
        <v>15</v>
      </c>
    </row>
    <row r="81" spans="1:6" ht="24">
      <c r="A81" s="3117">
        <v>9</v>
      </c>
      <c r="B81" s="3769"/>
      <c r="C81" s="3091" t="s">
        <v>2671</v>
      </c>
      <c r="D81" s="3091" t="s">
        <v>2672</v>
      </c>
      <c r="E81" s="3117">
        <v>0.1</v>
      </c>
      <c r="F81" s="3117">
        <v>15</v>
      </c>
    </row>
    <row r="82" spans="1:6" ht="24">
      <c r="A82" s="3117">
        <v>10</v>
      </c>
      <c r="B82" s="3769"/>
      <c r="C82" s="3091" t="s">
        <v>2673</v>
      </c>
      <c r="D82" s="3091" t="s">
        <v>2674</v>
      </c>
      <c r="E82" s="3117">
        <v>0.1</v>
      </c>
      <c r="F82" s="3117">
        <v>15</v>
      </c>
    </row>
    <row r="83" spans="1:6" ht="24">
      <c r="A83" s="3117">
        <v>11</v>
      </c>
      <c r="B83" s="3769"/>
      <c r="C83" s="3091" t="s">
        <v>2675</v>
      </c>
      <c r="D83" s="3091" t="s">
        <v>2676</v>
      </c>
      <c r="E83" s="3117">
        <v>0.1</v>
      </c>
      <c r="F83" s="3117">
        <v>15</v>
      </c>
    </row>
    <row r="84" spans="1:6" ht="24">
      <c r="A84" s="3117">
        <v>12</v>
      </c>
      <c r="B84" s="3769"/>
      <c r="C84" s="3091" t="s">
        <v>2677</v>
      </c>
      <c r="D84" s="3091" t="s">
        <v>2678</v>
      </c>
      <c r="E84" s="3117">
        <v>0.1</v>
      </c>
      <c r="F84" s="3117">
        <v>15</v>
      </c>
    </row>
    <row r="85" spans="1:6" ht="13.5">
      <c r="A85" s="3117">
        <v>13</v>
      </c>
      <c r="B85" s="3769"/>
      <c r="C85" s="3091" t="s">
        <v>2679</v>
      </c>
      <c r="D85" s="3091" t="s">
        <v>2680</v>
      </c>
      <c r="E85" s="3117">
        <v>0.1</v>
      </c>
      <c r="F85" s="3117">
        <v>15</v>
      </c>
    </row>
    <row r="86" spans="1:6" ht="13.5">
      <c r="A86" s="3117">
        <v>14</v>
      </c>
      <c r="B86" s="3769"/>
      <c r="C86" s="3091" t="s">
        <v>2681</v>
      </c>
      <c r="D86" s="3091" t="s">
        <v>2682</v>
      </c>
      <c r="E86" s="3117">
        <v>0.1</v>
      </c>
      <c r="F86" s="3117">
        <v>15</v>
      </c>
    </row>
    <row r="87" spans="1:6" ht="13.5">
      <c r="A87" s="3117">
        <v>15</v>
      </c>
      <c r="B87" s="3769"/>
      <c r="C87" s="3091" t="s">
        <v>2683</v>
      </c>
      <c r="D87" s="3091" t="s">
        <v>2684</v>
      </c>
      <c r="E87" s="3117">
        <v>0.1</v>
      </c>
      <c r="F87" s="3117">
        <v>15</v>
      </c>
    </row>
    <row r="88" spans="1:6" ht="24">
      <c r="A88" s="3117">
        <v>16</v>
      </c>
      <c r="B88" s="3769"/>
      <c r="C88" s="3091" t="s">
        <v>2685</v>
      </c>
      <c r="D88" s="3091" t="s">
        <v>2686</v>
      </c>
      <c r="E88" s="3117">
        <v>0.1</v>
      </c>
      <c r="F88" s="3117">
        <v>15</v>
      </c>
    </row>
    <row r="89" spans="1:6" ht="24">
      <c r="A89" s="3117">
        <v>17</v>
      </c>
      <c r="B89" s="3778"/>
      <c r="C89" s="3091" t="s">
        <v>2687</v>
      </c>
      <c r="D89" s="3091" t="s">
        <v>2688</v>
      </c>
      <c r="E89" s="3117">
        <v>0.1</v>
      </c>
      <c r="F89" s="3117">
        <v>15</v>
      </c>
    </row>
    <row r="90" spans="1:6" ht="13.5">
      <c r="A90" s="3117">
        <v>18</v>
      </c>
      <c r="B90" s="3774" t="s">
        <v>2689</v>
      </c>
      <c r="C90" s="3091" t="s">
        <v>2690</v>
      </c>
      <c r="D90" s="3091" t="s">
        <v>2691</v>
      </c>
      <c r="E90" s="3117">
        <v>0.2</v>
      </c>
      <c r="F90" s="3117">
        <v>25</v>
      </c>
    </row>
    <row r="91" spans="1:6" ht="24">
      <c r="A91" s="3117">
        <v>19</v>
      </c>
      <c r="B91" s="3769"/>
      <c r="C91" s="3091" t="s">
        <v>2692</v>
      </c>
      <c r="D91" s="3091" t="s">
        <v>2693</v>
      </c>
      <c r="E91" s="3117">
        <v>0.2</v>
      </c>
      <c r="F91" s="3117">
        <v>25</v>
      </c>
    </row>
    <row r="92" spans="1:6" ht="13.5">
      <c r="A92" s="3117">
        <v>20</v>
      </c>
      <c r="B92" s="3769"/>
      <c r="C92" s="3091" t="s">
        <v>2694</v>
      </c>
      <c r="D92" s="3091" t="s">
        <v>2695</v>
      </c>
      <c r="E92" s="3117">
        <v>0.15</v>
      </c>
      <c r="F92" s="3117">
        <v>20</v>
      </c>
    </row>
    <row r="93" spans="1:6" ht="13.5">
      <c r="A93" s="3117">
        <v>21</v>
      </c>
      <c r="B93" s="3769"/>
      <c r="C93" s="3091" t="s">
        <v>2696</v>
      </c>
      <c r="D93" s="3091" t="s">
        <v>2697</v>
      </c>
      <c r="E93" s="3117">
        <v>0.15</v>
      </c>
      <c r="F93" s="3117">
        <v>20</v>
      </c>
    </row>
    <row r="94" spans="1:6" ht="13.5">
      <c r="A94" s="3117">
        <v>22</v>
      </c>
      <c r="B94" s="3769"/>
      <c r="C94" s="3091" t="s">
        <v>2698</v>
      </c>
      <c r="D94" s="3091" t="s">
        <v>2699</v>
      </c>
      <c r="E94" s="3117">
        <v>0.15</v>
      </c>
      <c r="F94" s="3117">
        <v>20</v>
      </c>
    </row>
    <row r="95" spans="1:6" ht="36">
      <c r="A95" s="3117">
        <v>23</v>
      </c>
      <c r="B95" s="3769"/>
      <c r="C95" s="3091" t="s">
        <v>2700</v>
      </c>
      <c r="D95" s="3091" t="s">
        <v>2701</v>
      </c>
      <c r="E95" s="3117">
        <v>0.15</v>
      </c>
      <c r="F95" s="3117">
        <v>20</v>
      </c>
    </row>
    <row r="96" spans="1:6" ht="13.5">
      <c r="A96" s="3117">
        <v>24</v>
      </c>
      <c r="B96" s="3769"/>
      <c r="C96" s="3091" t="s">
        <v>2702</v>
      </c>
      <c r="D96" s="3091" t="s">
        <v>2703</v>
      </c>
      <c r="E96" s="3117">
        <v>0.1</v>
      </c>
      <c r="F96" s="3117">
        <v>15</v>
      </c>
    </row>
    <row r="97" spans="1:6" ht="13.5">
      <c r="A97" s="3117">
        <v>25</v>
      </c>
      <c r="B97" s="3769"/>
      <c r="C97" s="3091" t="s">
        <v>2704</v>
      </c>
      <c r="D97" s="3091" t="s">
        <v>2705</v>
      </c>
      <c r="E97" s="3117">
        <v>0.1</v>
      </c>
      <c r="F97" s="3117">
        <v>15</v>
      </c>
    </row>
    <row r="98" spans="1:6" ht="24">
      <c r="A98" s="3117">
        <v>26</v>
      </c>
      <c r="B98" s="3769"/>
      <c r="C98" s="3091" t="s">
        <v>2706</v>
      </c>
      <c r="D98" s="3091" t="s">
        <v>2707</v>
      </c>
      <c r="E98" s="3117">
        <v>0.1</v>
      </c>
      <c r="F98" s="3117">
        <v>15</v>
      </c>
    </row>
    <row r="99" spans="1:6" ht="24">
      <c r="A99" s="3117">
        <v>27</v>
      </c>
      <c r="B99" s="3769"/>
      <c r="C99" s="3091" t="s">
        <v>2708</v>
      </c>
      <c r="D99" s="3091" t="s">
        <v>2709</v>
      </c>
      <c r="E99" s="3117">
        <v>0.1</v>
      </c>
      <c r="F99" s="3117">
        <v>15</v>
      </c>
    </row>
    <row r="100" spans="1:6" ht="13.5">
      <c r="A100" s="3117">
        <v>28</v>
      </c>
      <c r="B100" s="3769"/>
      <c r="C100" s="3091" t="s">
        <v>2710</v>
      </c>
      <c r="D100" s="3091" t="s">
        <v>2711</v>
      </c>
      <c r="E100" s="3117">
        <v>0.1</v>
      </c>
      <c r="F100" s="3117">
        <v>15</v>
      </c>
    </row>
    <row r="101" spans="1:6" ht="13.5">
      <c r="A101" s="3117">
        <v>29</v>
      </c>
      <c r="B101" s="3769"/>
      <c r="C101" s="3091" t="s">
        <v>2712</v>
      </c>
      <c r="D101" s="3091" t="s">
        <v>2713</v>
      </c>
      <c r="E101" s="3117">
        <v>0.1</v>
      </c>
      <c r="F101" s="3117">
        <v>15</v>
      </c>
    </row>
    <row r="102" spans="1:6" ht="13.5">
      <c r="A102" s="3117">
        <v>30</v>
      </c>
      <c r="B102" s="3769"/>
      <c r="C102" s="3091" t="s">
        <v>2714</v>
      </c>
      <c r="D102" s="3091" t="s">
        <v>2715</v>
      </c>
      <c r="E102" s="3117">
        <v>0.1</v>
      </c>
      <c r="F102" s="3117">
        <v>15</v>
      </c>
    </row>
    <row r="103" spans="1:6" ht="24">
      <c r="A103" s="3117">
        <v>31</v>
      </c>
      <c r="B103" s="3769"/>
      <c r="C103" s="3091" t="s">
        <v>2716</v>
      </c>
      <c r="D103" s="3091" t="s">
        <v>2717</v>
      </c>
      <c r="E103" s="3117">
        <v>0.1</v>
      </c>
      <c r="F103" s="3117">
        <v>15</v>
      </c>
    </row>
    <row r="104" spans="1:6" ht="24">
      <c r="A104" s="3117">
        <v>32</v>
      </c>
      <c r="B104" s="3769"/>
      <c r="C104" s="3091" t="s">
        <v>2718</v>
      </c>
      <c r="D104" s="3091" t="s">
        <v>2719</v>
      </c>
      <c r="E104" s="3117">
        <v>0.1</v>
      </c>
      <c r="F104" s="3117">
        <v>15</v>
      </c>
    </row>
    <row r="105" spans="1:6" ht="24">
      <c r="A105" s="3117">
        <v>33</v>
      </c>
      <c r="B105" s="3769"/>
      <c r="C105" s="3091" t="s">
        <v>2720</v>
      </c>
      <c r="D105" s="3091" t="s">
        <v>2721</v>
      </c>
      <c r="E105" s="3117">
        <v>0.1</v>
      </c>
      <c r="F105" s="3117">
        <v>15</v>
      </c>
    </row>
    <row r="106" spans="1:6" ht="24">
      <c r="A106" s="3117">
        <v>34</v>
      </c>
      <c r="B106" s="3778"/>
      <c r="C106" s="3091" t="s">
        <v>2722</v>
      </c>
      <c r="D106" s="3091" t="s">
        <v>2723</v>
      </c>
      <c r="E106" s="3117">
        <v>0.1</v>
      </c>
      <c r="F106" s="3117">
        <v>15</v>
      </c>
    </row>
    <row r="107" spans="1:6" ht="24">
      <c r="A107" s="3117">
        <v>35</v>
      </c>
      <c r="B107" s="3774" t="s">
        <v>2724</v>
      </c>
      <c r="C107" s="3117" t="s">
        <v>2725</v>
      </c>
      <c r="D107" s="3091" t="s">
        <v>2726</v>
      </c>
      <c r="E107" s="3117">
        <v>0.15</v>
      </c>
      <c r="F107" s="3117">
        <v>20</v>
      </c>
    </row>
    <row r="108" spans="1:6" ht="13.5">
      <c r="A108" s="3117">
        <v>36</v>
      </c>
      <c r="B108" s="3769"/>
      <c r="C108" s="3117" t="s">
        <v>2727</v>
      </c>
      <c r="D108" s="3091" t="s">
        <v>2728</v>
      </c>
      <c r="E108" s="3117">
        <v>0.15</v>
      </c>
      <c r="F108" s="3117">
        <v>20</v>
      </c>
    </row>
    <row r="109" spans="1:6" ht="13.5">
      <c r="A109" s="3117">
        <v>37</v>
      </c>
      <c r="B109" s="3769"/>
      <c r="C109" s="3117" t="s">
        <v>2729</v>
      </c>
      <c r="D109" s="3091" t="s">
        <v>2730</v>
      </c>
      <c r="E109" s="3117">
        <v>0.15</v>
      </c>
      <c r="F109" s="3117">
        <v>20</v>
      </c>
    </row>
    <row r="110" spans="1:6" ht="13.5">
      <c r="A110" s="3117">
        <v>38</v>
      </c>
      <c r="B110" s="3769"/>
      <c r="C110" s="3117" t="s">
        <v>2731</v>
      </c>
      <c r="D110" s="3091" t="s">
        <v>2732</v>
      </c>
      <c r="E110" s="3117">
        <v>0.1</v>
      </c>
      <c r="F110" s="3117">
        <v>15</v>
      </c>
    </row>
    <row r="111" spans="1:6" ht="24">
      <c r="A111" s="3117">
        <v>39</v>
      </c>
      <c r="B111" s="3769"/>
      <c r="C111" s="3117" t="s">
        <v>2733</v>
      </c>
      <c r="D111" s="3091" t="s">
        <v>2734</v>
      </c>
      <c r="E111" s="3117">
        <v>0.1</v>
      </c>
      <c r="F111" s="3117">
        <v>15</v>
      </c>
    </row>
    <row r="112" spans="1:6" ht="24">
      <c r="A112" s="3117">
        <v>40</v>
      </c>
      <c r="B112" s="3778"/>
      <c r="C112" s="3117" t="s">
        <v>2735</v>
      </c>
      <c r="D112" s="3091" t="s">
        <v>2736</v>
      </c>
      <c r="E112" s="3117">
        <v>0.1</v>
      </c>
      <c r="F112" s="3117">
        <v>15</v>
      </c>
    </row>
    <row r="113" spans="1:6" ht="13.5">
      <c r="A113" s="3117">
        <v>41</v>
      </c>
      <c r="B113" s="3779" t="s">
        <v>2737</v>
      </c>
      <c r="C113" s="3117" t="s">
        <v>2738</v>
      </c>
      <c r="D113" s="3091" t="s">
        <v>2739</v>
      </c>
      <c r="E113" s="3117">
        <v>0.1</v>
      </c>
      <c r="F113" s="3117">
        <v>15</v>
      </c>
    </row>
    <row r="114" spans="1:6" ht="13.5">
      <c r="A114" s="3117">
        <v>42</v>
      </c>
      <c r="B114" s="3779"/>
      <c r="C114" s="3117" t="s">
        <v>2740</v>
      </c>
      <c r="D114" s="3091" t="s">
        <v>2741</v>
      </c>
      <c r="E114" s="3117">
        <v>0.1</v>
      </c>
      <c r="F114" s="3117">
        <v>15</v>
      </c>
    </row>
    <row r="115" spans="1:6" ht="24">
      <c r="A115" s="3117">
        <v>43</v>
      </c>
      <c r="B115" s="3779"/>
      <c r="C115" s="3117" t="s">
        <v>2742</v>
      </c>
      <c r="D115" s="3091" t="s">
        <v>2743</v>
      </c>
      <c r="E115" s="3117">
        <v>0.1</v>
      </c>
      <c r="F115" s="3117">
        <v>15</v>
      </c>
    </row>
    <row r="116" spans="1:6" ht="13.5">
      <c r="A116" s="3117">
        <v>44</v>
      </c>
      <c r="B116" s="3774" t="s">
        <v>2744</v>
      </c>
      <c r="C116" s="3117" t="s">
        <v>2745</v>
      </c>
      <c r="D116" s="3091" t="s">
        <v>2746</v>
      </c>
      <c r="E116" s="3117">
        <v>0.1</v>
      </c>
      <c r="F116" s="3117">
        <v>15</v>
      </c>
    </row>
    <row r="117" spans="1:6" ht="24">
      <c r="A117" s="3117">
        <v>45</v>
      </c>
      <c r="B117" s="3778"/>
      <c r="C117" s="3091" t="s">
        <v>2747</v>
      </c>
      <c r="D117" s="3091" t="s">
        <v>2748</v>
      </c>
      <c r="E117" s="3117">
        <v>0.1</v>
      </c>
      <c r="F117" s="3117">
        <v>15</v>
      </c>
    </row>
    <row r="118" spans="1:6" ht="24">
      <c r="A118" s="3117">
        <v>46</v>
      </c>
      <c r="B118" s="3774" t="s">
        <v>2749</v>
      </c>
      <c r="C118" s="3117" t="s">
        <v>2750</v>
      </c>
      <c r="D118" s="3091" t="s">
        <v>2751</v>
      </c>
      <c r="E118" s="3117">
        <v>0.1</v>
      </c>
      <c r="F118" s="3117">
        <v>15</v>
      </c>
    </row>
    <row r="119" spans="1:6" ht="24">
      <c r="A119" s="3117">
        <v>47</v>
      </c>
      <c r="B119" s="3778"/>
      <c r="C119" s="3117" t="s">
        <v>2752</v>
      </c>
      <c r="D119" s="3091" t="s">
        <v>2753</v>
      </c>
      <c r="E119" s="3117">
        <v>0.1</v>
      </c>
      <c r="F119" s="3117">
        <v>15</v>
      </c>
    </row>
    <row r="120" spans="1:6" ht="13.5">
      <c r="A120" s="3117">
        <v>48</v>
      </c>
      <c r="B120" s="3774" t="s">
        <v>2754</v>
      </c>
      <c r="C120" s="3117" t="s">
        <v>2755</v>
      </c>
      <c r="D120" s="3091" t="s">
        <v>2756</v>
      </c>
      <c r="E120" s="3117">
        <v>0.1</v>
      </c>
      <c r="F120" s="3117">
        <v>15</v>
      </c>
    </row>
    <row r="121" spans="1:6" ht="13.5">
      <c r="A121" s="3117">
        <v>49</v>
      </c>
      <c r="B121" s="3778"/>
      <c r="C121" s="3117" t="s">
        <v>2757</v>
      </c>
      <c r="D121" s="3091" t="s">
        <v>2758</v>
      </c>
      <c r="E121" s="3117">
        <v>0.1</v>
      </c>
      <c r="F121" s="3117">
        <v>15</v>
      </c>
    </row>
    <row r="122" spans="1:6" ht="24">
      <c r="A122" s="3117">
        <v>50</v>
      </c>
      <c r="B122" s="3779" t="s">
        <v>2759</v>
      </c>
      <c r="C122" s="3117" t="s">
        <v>2760</v>
      </c>
      <c r="D122" s="3091" t="s">
        <v>2761</v>
      </c>
      <c r="E122" s="3117">
        <v>0.1</v>
      </c>
      <c r="F122" s="3117">
        <v>15</v>
      </c>
    </row>
    <row r="123" spans="1:6" ht="24">
      <c r="A123" s="3117">
        <v>51</v>
      </c>
      <c r="B123" s="3779"/>
      <c r="C123" s="3117" t="s">
        <v>2762</v>
      </c>
      <c r="D123" s="3091" t="s">
        <v>2763</v>
      </c>
      <c r="E123" s="3117">
        <v>0.1</v>
      </c>
      <c r="F123" s="3117">
        <v>15</v>
      </c>
    </row>
    <row r="124" spans="1:6" ht="24">
      <c r="A124" s="3117">
        <v>52</v>
      </c>
      <c r="B124" s="3779" t="s">
        <v>2764</v>
      </c>
      <c r="C124" s="3117" t="s">
        <v>2765</v>
      </c>
      <c r="D124" s="3091" t="s">
        <v>2766</v>
      </c>
      <c r="E124" s="3117">
        <v>0.1</v>
      </c>
      <c r="F124" s="3117">
        <v>15</v>
      </c>
    </row>
    <row r="125" spans="1:6" ht="24">
      <c r="A125" s="3117">
        <v>53</v>
      </c>
      <c r="B125" s="3779"/>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9" t="s">
        <v>2772</v>
      </c>
      <c r="C127" s="3117" t="s">
        <v>2773</v>
      </c>
      <c r="D127" s="3091" t="s">
        <v>2774</v>
      </c>
      <c r="E127" s="3117">
        <v>0.1</v>
      </c>
      <c r="F127" s="3117">
        <v>15</v>
      </c>
    </row>
    <row r="128" spans="1:6" ht="13.5">
      <c r="A128" s="3117">
        <v>56</v>
      </c>
      <c r="B128" s="3779"/>
      <c r="C128" s="3117" t="s">
        <v>2775</v>
      </c>
      <c r="D128" s="3091" t="s">
        <v>2776</v>
      </c>
      <c r="E128" s="3117">
        <v>0.1</v>
      </c>
      <c r="F128" s="3117">
        <v>15</v>
      </c>
    </row>
    <row r="129" spans="1:6" ht="24">
      <c r="A129" s="3117">
        <v>57</v>
      </c>
      <c r="B129" s="3779"/>
      <c r="C129" s="3117" t="s">
        <v>2777</v>
      </c>
      <c r="D129" s="3091" t="s">
        <v>2778</v>
      </c>
      <c r="E129" s="3117">
        <v>0.1</v>
      </c>
      <c r="F129" s="3117">
        <v>15</v>
      </c>
    </row>
    <row r="130" spans="1:6" ht="24">
      <c r="A130" s="3117">
        <v>58</v>
      </c>
      <c r="B130" s="3779" t="s">
        <v>2779</v>
      </c>
      <c r="C130" s="3117" t="s">
        <v>2780</v>
      </c>
      <c r="D130" s="3091" t="s">
        <v>2781</v>
      </c>
      <c r="E130" s="3117">
        <v>0.1</v>
      </c>
      <c r="F130" s="3117">
        <v>15</v>
      </c>
    </row>
    <row r="131" spans="1:6" ht="13.5">
      <c r="A131" s="3117">
        <v>59</v>
      </c>
      <c r="B131" s="3779"/>
      <c r="C131" s="3117" t="s">
        <v>2782</v>
      </c>
      <c r="D131" s="3091" t="s">
        <v>2783</v>
      </c>
      <c r="E131" s="3117">
        <v>0.1</v>
      </c>
      <c r="F131" s="3117">
        <v>15</v>
      </c>
    </row>
    <row r="132" spans="1:6" ht="13.5">
      <c r="A132" s="3117">
        <v>60</v>
      </c>
      <c r="B132" s="3774" t="s">
        <v>2784</v>
      </c>
      <c r="C132" s="3117" t="s">
        <v>2785</v>
      </c>
      <c r="D132" s="3091" t="s">
        <v>2786</v>
      </c>
      <c r="E132" s="3117">
        <v>0.1</v>
      </c>
      <c r="F132" s="3117">
        <v>15</v>
      </c>
    </row>
    <row r="133" spans="1:6" ht="13.5">
      <c r="A133" s="3117">
        <v>61</v>
      </c>
      <c r="B133" s="3778"/>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9" t="s">
        <v>2792</v>
      </c>
      <c r="C135" s="3117" t="s">
        <v>2793</v>
      </c>
      <c r="D135" s="3091" t="s">
        <v>2794</v>
      </c>
      <c r="E135" s="3117">
        <v>0.1</v>
      </c>
      <c r="F135" s="3117">
        <v>15</v>
      </c>
    </row>
    <row r="136" spans="1:6" ht="13.5">
      <c r="A136" s="3117">
        <v>64</v>
      </c>
      <c r="B136" s="3779"/>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估价结果一览表（市场价值不需“结果表-1”）</v>
      </c>
      <c r="B3" s="3464"/>
      <c r="C3" s="3464"/>
      <c r="D3" s="3464"/>
      <c r="E3" s="3464"/>
    </row>
    <row r="4" spans="1:5" ht="19.5" thickBot="1">
      <c r="A4" s="1493"/>
      <c r="B4" s="3462" t="s">
        <v>917</v>
      </c>
      <c r="C4" s="3462"/>
      <c r="D4" s="3462"/>
      <c r="E4" s="1493"/>
    </row>
    <row r="5" spans="1:5" ht="16.5" thickTop="1">
      <c r="A5" s="1491"/>
      <c r="B5" s="3460" t="s">
        <v>909</v>
      </c>
      <c r="C5" s="1494" t="s">
        <v>910</v>
      </c>
      <c r="D5" s="850" t="e">
        <f ca="1">结果表!H101</f>
        <v>#REF!</v>
      </c>
      <c r="E5" s="1491"/>
    </row>
    <row r="6" spans="1:5" ht="15.75">
      <c r="A6" s="1491"/>
      <c r="B6" s="3460"/>
      <c r="C6" s="1494" t="s">
        <v>911</v>
      </c>
      <c r="D6" s="850" t="e">
        <f ca="1">NUMBERSTRING(INT(D5*10000),2)&amp;"元整"</f>
        <v>#REF!</v>
      </c>
      <c r="E6" s="1491"/>
    </row>
    <row r="7" spans="1:5" ht="15.75">
      <c r="A7" s="1491"/>
      <c r="B7" s="3465"/>
      <c r="C7" s="1495" t="s">
        <v>912</v>
      </c>
      <c r="D7" s="851" t="e">
        <f ca="1">结果表!H102</f>
        <v>#REF!</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t="e">
        <f ca="1">结果表!H107</f>
        <v>#REF!</v>
      </c>
      <c r="E13" s="1491"/>
    </row>
    <row r="14" spans="1:5" ht="15.75">
      <c r="A14" s="1491"/>
      <c r="B14" s="3460"/>
      <c r="C14" s="1494" t="s">
        <v>911</v>
      </c>
      <c r="D14" s="850" t="e">
        <f ca="1">NUMBERSTRING(INT(D13*10000),2)&amp;"元整"</f>
        <v>#REF!</v>
      </c>
      <c r="E14" s="1491"/>
    </row>
    <row r="15" spans="1:5" ht="15">
      <c r="A15" s="1491"/>
      <c r="B15" s="3465"/>
      <c r="C15" s="1495" t="s">
        <v>921</v>
      </c>
      <c r="D15" s="859" t="e">
        <f ca="1">结果表!H108</f>
        <v>#REF!</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30794</v>
      </c>
      <c r="C2" s="2" t="s">
        <v>106</v>
      </c>
      <c r="D2" s="199"/>
      <c r="E2" s="199"/>
      <c r="F2" s="199"/>
      <c r="G2" s="199"/>
    </row>
    <row r="3" spans="1:7" s="200" customFormat="1" ht="18" customHeight="1" thickBot="1">
      <c r="A3" s="203" t="s">
        <v>58</v>
      </c>
      <c r="B3" s="204">
        <f ca="1">ROUND(B2*10000/'数据-汇总表'!E3,0)</f>
        <v>1786920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172.33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172.33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30712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6</v>
      </c>
      <c r="D36" s="220"/>
      <c r="E36" s="220"/>
      <c r="F36" s="259">
        <f>'数据-取费表'!B34</f>
        <v>0.1</v>
      </c>
      <c r="G36" s="260" t="s">
        <v>35</v>
      </c>
    </row>
    <row r="37" spans="1:7" s="258" customFormat="1" ht="13.5" customHeight="1">
      <c r="A37" s="780" t="s">
        <v>353</v>
      </c>
      <c r="B37" s="215" t="s">
        <v>91</v>
      </c>
      <c r="C37" s="249">
        <f>ROUND(E37*D37*F34/10000,0)</f>
        <v>3</v>
      </c>
      <c r="D37" s="217">
        <f>'数据-汇总表'!E3</f>
        <v>172.33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1" t="s">
        <v>94</v>
      </c>
    </row>
    <row r="43" spans="1:7" ht="13.5" customHeight="1">
      <c r="A43" s="780" t="s">
        <v>347</v>
      </c>
      <c r="B43" s="215" t="s">
        <v>426</v>
      </c>
      <c r="C43" s="238">
        <f ca="1">ROUND(IF('数据-取费表'!B22&lt;=1,C39*F22*'数据-取费表'!B21/2,C39*(POWER((1+F22),'数据-取费表'!B21/2)-1)),0)</f>
        <v>0</v>
      </c>
      <c r="D43" s="238"/>
      <c r="E43" s="238"/>
      <c r="F43" s="239"/>
      <c r="G43" s="3642"/>
    </row>
    <row r="44" spans="1:7" ht="13.5" customHeight="1">
      <c r="A44" s="780" t="s">
        <v>348</v>
      </c>
      <c r="B44" s="215" t="s">
        <v>428</v>
      </c>
      <c r="C44" s="238">
        <f ca="1">ROUND(IF('数据-取费表'!B22&lt;=1,C40*F22*'数据-取费表'!B21/2,C40*(POWER((1+F22),'数据-取费表'!B21/2)-1)),4)</f>
        <v>1E-3</v>
      </c>
      <c r="D44" s="238"/>
      <c r="E44" s="238"/>
      <c r="F44" s="239"/>
      <c r="G44" s="3643"/>
    </row>
    <row r="45" spans="1:7" s="214" customFormat="1" ht="13.5" customHeight="1">
      <c r="A45" s="777" t="s">
        <v>341</v>
      </c>
      <c r="B45" s="244" t="s">
        <v>85</v>
      </c>
      <c r="C45" s="245">
        <f>C46</f>
        <v>18</v>
      </c>
      <c r="D45" s="235">
        <f>C47</f>
        <v>5.0000000000000001E-3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102</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82</v>
      </c>
      <c r="D51" s="232"/>
      <c r="E51" s="232"/>
      <c r="F51" s="264"/>
      <c r="G51" s="234" t="s">
        <v>37</v>
      </c>
    </row>
    <row r="52" spans="1:7" s="208" customFormat="1" ht="16.5" thickBot="1">
      <c r="A52" s="265" t="s">
        <v>38</v>
      </c>
      <c r="B52" s="266"/>
      <c r="C52" s="267">
        <f ca="1">C31+C51</f>
        <v>30794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2" t="s">
        <v>2844</v>
      </c>
      <c r="B1" s="3782"/>
      <c r="C1" s="3782"/>
      <c r="D1" s="3782"/>
      <c r="E1" s="3782"/>
      <c r="F1" s="3782"/>
      <c r="G1" s="3783"/>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80"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81"/>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4" t="s">
        <v>3186</v>
      </c>
      <c r="B1" s="3784"/>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9"/>
  </cols>
  <sheetData>
    <row r="1" spans="1:6">
      <c r="A1" s="3785" t="s">
        <v>3237</v>
      </c>
      <c r="B1" s="3785"/>
      <c r="C1" s="3785"/>
      <c r="D1" s="3785"/>
      <c r="E1" s="3785"/>
      <c r="F1" s="3786"/>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45014</v>
      </c>
      <c r="B1" s="3209" t="s">
        <v>2843</v>
      </c>
      <c r="C1" s="3210"/>
      <c r="D1" s="3210"/>
      <c r="E1" s="3210"/>
      <c r="F1" s="3210"/>
      <c r="G1" s="3210"/>
      <c r="H1" s="3210"/>
      <c r="I1" s="3210"/>
      <c r="J1" s="3164"/>
      <c r="K1" s="3210" t="s">
        <v>454</v>
      </c>
      <c r="L1" s="3210"/>
      <c r="M1" s="3210"/>
      <c r="N1" s="3210"/>
      <c r="O1" s="3210"/>
      <c r="P1" s="3210"/>
      <c r="Q1" s="3164"/>
      <c r="R1" s="3787" t="s">
        <v>456</v>
      </c>
      <c r="S1" s="3788"/>
      <c r="T1" s="3788"/>
      <c r="U1" s="3788"/>
      <c r="V1" s="3788"/>
      <c r="W1" s="3788"/>
      <c r="X1" s="3164"/>
      <c r="Y1" s="3787" t="s">
        <v>457</v>
      </c>
      <c r="Z1" s="3788"/>
      <c r="AA1" s="3788"/>
      <c r="AB1" s="3788"/>
      <c r="AC1" s="3788"/>
      <c r="AD1" s="3788"/>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7" t="s">
        <v>2831</v>
      </c>
      <c r="S21" s="3788"/>
      <c r="T21" s="3788"/>
      <c r="U21" s="3788"/>
      <c r="V21" s="3788"/>
      <c r="W21" s="3788"/>
      <c r="X21" s="3164"/>
      <c r="Y21" s="3787" t="s">
        <v>2832</v>
      </c>
      <c r="Z21" s="3788"/>
      <c r="AA21" s="3788"/>
      <c r="AB21" s="3788"/>
      <c r="AC21" s="3788"/>
      <c r="AD21" s="3788"/>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估价结果一览表</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房地产市场价值</v>
      </c>
      <c r="I2" s="3470"/>
    </row>
    <row r="3" spans="1:9" ht="15">
      <c r="A3" s="3471"/>
      <c r="B3" s="3471"/>
      <c r="C3" s="3471"/>
      <c r="D3" s="854" t="s">
        <v>925</v>
      </c>
      <c r="E3" s="854" t="s">
        <v>931</v>
      </c>
      <c r="F3" s="854" t="s">
        <v>925</v>
      </c>
      <c r="G3" s="854" t="s">
        <v>926</v>
      </c>
      <c r="H3" s="854" t="s">
        <v>925</v>
      </c>
      <c r="I3" s="854" t="s">
        <v>926</v>
      </c>
    </row>
    <row r="4" spans="1:9" ht="45">
      <c r="A4" s="1505" t="str">
        <f>项目基本情况!S2</f>
        <v>北京市昌平区北七家镇美树假日嘉园17号楼3至4层4单元202房地产</v>
      </c>
      <c r="B4" s="854">
        <f>项目基本情况!C17</f>
        <v>172.33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1" t="s">
        <v>927</v>
      </c>
      <c r="B5" s="3471"/>
      <c r="C5" s="3471"/>
      <c r="D5" s="3471" t="e">
        <f ca="1">结果表!D119</f>
        <v>#REF!</v>
      </c>
      <c r="E5" s="3471"/>
      <c r="F5" s="3471" t="e">
        <f ca="1">结果表!F119</f>
        <v>#REF!</v>
      </c>
      <c r="G5" s="3471"/>
      <c r="H5" s="3471" t="e">
        <f ca="1">结果表!H119</f>
        <v>#REF!</v>
      </c>
      <c r="I5" s="3471"/>
    </row>
    <row r="6" spans="1:9" ht="15.75">
      <c r="A6" s="3472" t="str">
        <f>结果表!A120</f>
        <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
      </c>
      <c r="B8" s="3472"/>
      <c r="C8" s="3472"/>
      <c r="D8" s="3472" t="e">
        <f ca="1">结果表!D122</f>
        <v>#REF!</v>
      </c>
      <c r="E8" s="3472"/>
      <c r="F8" s="3472"/>
      <c r="G8" s="3472"/>
      <c r="H8" s="3472"/>
      <c r="I8" s="3472"/>
    </row>
    <row r="9" spans="1:9" ht="15">
      <c r="A9" s="3471" t="s">
        <v>927</v>
      </c>
      <c r="B9" s="3471"/>
      <c r="C9" s="3471"/>
      <c r="D9" s="3471" t="e">
        <f ca="1">结果表!D123</f>
        <v>#REF!</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
      </c>
      <c r="B12" s="3472"/>
      <c r="C12" s="3472"/>
      <c r="D12" s="3472" t="str">
        <f>结果表!D126</f>
        <v>——</v>
      </c>
      <c r="E12" s="3472"/>
      <c r="F12" s="3472"/>
      <c r="G12" s="3472"/>
      <c r="H12" s="3472"/>
      <c r="I12" s="3472"/>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2"/>
      <c r="C12" s="3482"/>
      <c r="D12" s="3482"/>
    </row>
    <row r="13" spans="1:4" ht="30" customHeight="1">
      <c r="A13" s="3481" t="str">
        <f>IF(项目基本情况!B8="抵押","3.抵押双方在办理抵押登记手续时，应使用本公司出具的正式《房地产评估报告》，特提醒报告使用者注意。","——")</f>
        <v>——</v>
      </c>
      <c r="B13" s="3482"/>
      <c r="C13" s="3482"/>
      <c r="D13" s="3482"/>
    </row>
    <row r="14" spans="1:4" ht="15.75" customHeight="1">
      <c r="A14" s="3481" t="str">
        <f>IF(项目基本情况!B8="抵押","4.本次评估估价师所知悉的法定优先受偿款情况说明如下：","——")</f>
        <v>——</v>
      </c>
      <c r="B14" s="3482"/>
      <c r="C14" s="3482"/>
      <c r="D14" s="3482"/>
    </row>
    <row r="15" spans="1:4" ht="42" customHeight="1">
      <c r="A15" s="3481" t="str">
        <f>IF(项目基本情况!B8="抵押","（1）"&amp;CONCATENATE(项目基本情况!L20,项目基本情况!L21,项目基本情况!L22),"——")</f>
        <v>——</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45061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2023-05-15T12:11:34Z</dcterms:modified>
</cp:coreProperties>
</file>