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9"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3"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商业"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结果表-车位" sheetId="81"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车位" sheetId="80" state="hidden" r:id="rId47"/>
    <sheet name="中指案例" sheetId="79" r:id="rId48"/>
    <sheet name="Sheet1" sheetId="82" r:id="rId49"/>
  </sheets>
  <externalReferences>
    <externalReference r:id="rId50"/>
    <externalReference r:id="rId51"/>
    <externalReference r:id="rId52"/>
    <externalReference r:id="rId53"/>
    <externalReference r:id="rId54"/>
    <externalReference r:id="rId55"/>
    <externalReference r:id="rId56"/>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31">'结果表-车位'!$A$1:$I$127</definedName>
    <definedName name="_xlnm.Print_Area" localSheetId="18">'结果表-商业'!$A$1:$I$127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46">'收益法-车位'!$A$1:$F$43,'收益法-车位'!$H$3:$M$29,'收益法-车位'!$A$46:$F$71,'收益法-车位'!$I$46:$N$65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看看看">'[1]比较法-办公'!$B$119:$M$119</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5" i="83" l="1"/>
  <c r="T5" i="83" s="1"/>
  <c r="S22" i="83" l="1"/>
  <c r="T22" i="83" s="1"/>
  <c r="S15" i="83" l="1"/>
  <c r="T15" i="83" s="1"/>
  <c r="S18" i="83" l="1"/>
  <c r="T18" i="83" s="1"/>
  <c r="S6" i="83" l="1"/>
  <c r="T6" i="83" s="1"/>
  <c r="W21" i="1" l="1"/>
  <c r="W20" i="1"/>
  <c r="V21" i="1"/>
  <c r="V20" i="1"/>
  <c r="V19" i="1"/>
  <c r="V22" i="1"/>
  <c r="D29" i="43"/>
  <c r="U3" i="43" s="1"/>
  <c r="U2" i="43"/>
  <c r="B21" i="1"/>
  <c r="I13" i="3"/>
  <c r="A3" i="3"/>
  <c r="N15" i="83"/>
  <c r="O14" i="83"/>
  <c r="N14" i="83"/>
  <c r="O11" i="83"/>
  <c r="N11" i="83" s="1"/>
  <c r="N10" i="83"/>
  <c r="O10" i="83"/>
  <c r="Q13" i="83"/>
  <c r="Q12" i="83"/>
  <c r="Q9" i="83"/>
  <c r="N7" i="83"/>
  <c r="N8" i="83"/>
  <c r="N6" i="83"/>
  <c r="J23" i="83"/>
  <c r="N23" i="83" s="1"/>
  <c r="J22" i="83"/>
  <c r="N22" i="83" s="1"/>
  <c r="P21" i="83"/>
  <c r="Q21" i="83"/>
  <c r="N20" i="83"/>
  <c r="O20" i="83"/>
  <c r="N19" i="83"/>
  <c r="N18" i="83"/>
  <c r="O17" i="83"/>
  <c r="N17" i="83" s="1"/>
  <c r="O16" i="83"/>
  <c r="N16" i="83" s="1"/>
  <c r="W22" i="1" l="1"/>
  <c r="U6" i="1" s="1"/>
  <c r="A126" i="81"/>
  <c r="A122" i="81"/>
  <c r="A120"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F33" i="81"/>
  <c r="D27" i="81"/>
  <c r="C25" i="81"/>
  <c r="C24" i="81"/>
  <c r="D17" i="81"/>
  <c r="C17" i="81"/>
  <c r="C18" i="81" s="1"/>
  <c r="D18" i="81" s="1"/>
  <c r="L4" i="81"/>
  <c r="K4" i="81"/>
  <c r="H1" i="81"/>
  <c r="K120" i="81" l="1"/>
  <c r="D121" i="81"/>
  <c r="C92" i="81"/>
  <c r="C94" i="81"/>
  <c r="Q72" i="80"/>
  <c r="Q59" i="80"/>
  <c r="K59" i="80"/>
  <c r="P74" i="80" s="1"/>
  <c r="F59" i="80"/>
  <c r="Q58" i="80"/>
  <c r="Q51" i="80"/>
  <c r="J50" i="80"/>
  <c r="M47" i="80"/>
  <c r="D46" i="80"/>
  <c r="F33" i="80"/>
  <c r="F61" i="80" s="1"/>
  <c r="F32" i="80"/>
  <c r="F60" i="80" s="1"/>
  <c r="F31" i="80"/>
  <c r="F28" i="80"/>
  <c r="F23" i="80"/>
  <c r="D24" i="80" s="1"/>
  <c r="F21" i="80"/>
  <c r="F20" i="80"/>
  <c r="M19" i="80"/>
  <c r="M18" i="80"/>
  <c r="F18" i="80"/>
  <c r="M17" i="80"/>
  <c r="F17" i="80"/>
  <c r="F15" i="80"/>
  <c r="D22" i="80" l="1"/>
  <c r="D23" i="80"/>
  <c r="P61" i="80"/>
  <c r="I47" i="33" l="1"/>
  <c r="G47" i="33"/>
  <c r="AH5" i="71" l="1"/>
  <c r="AG5" i="71"/>
  <c r="AE5" i="71"/>
  <c r="AF5" i="71" s="1"/>
  <c r="AD5" i="71"/>
  <c r="AB5" i="71"/>
  <c r="AA5" i="71"/>
  <c r="Z5" i="71"/>
  <c r="Y5" i="71"/>
  <c r="X5" i="71"/>
  <c r="Q5" i="71"/>
  <c r="P5" i="71"/>
  <c r="O5" i="71"/>
  <c r="N5" i="71"/>
  <c r="F5" i="71"/>
  <c r="E5" i="71"/>
  <c r="C5" i="71"/>
  <c r="D5" i="71" s="1"/>
  <c r="B5" i="71"/>
  <c r="Y6" i="1" l="1"/>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F6" i="71"/>
  <c r="AE6" i="71"/>
  <c r="AD6" i="71"/>
  <c r="Q6" i="71"/>
  <c r="P6" i="71"/>
  <c r="O6" i="71"/>
  <c r="N6" i="7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B67" i="72" s="1"/>
  <c r="A20" i="62"/>
  <c r="A22" i="51"/>
  <c r="A21" i="51"/>
  <c r="B16" i="72" s="1"/>
  <c r="A20" i="51"/>
  <c r="A15" i="62"/>
  <c r="A14" i="62"/>
  <c r="A13" i="62"/>
  <c r="B59" i="72" s="1"/>
  <c r="A19" i="62"/>
  <c r="A12" i="62"/>
  <c r="B58" i="72" s="1"/>
  <c r="A120" i="9"/>
  <c r="H2" i="52"/>
  <c r="A1" i="52"/>
  <c r="A3" i="53"/>
  <c r="Q18" i="71"/>
  <c r="P18" i="71"/>
  <c r="O18" i="71"/>
  <c r="N18"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66" i="72"/>
  <c r="B10" i="72"/>
  <c r="C53" i="10"/>
  <c r="B51" i="10"/>
  <c r="A13" i="51" s="1"/>
  <c r="B11" i="72" s="1"/>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M53" i="43"/>
  <c r="N53" i="43" s="1"/>
  <c r="K53" i="43"/>
  <c r="J53" i="43" s="1"/>
  <c r="M52" i="43"/>
  <c r="N52" i="43" s="1"/>
  <c r="K52" i="43"/>
  <c r="J52" i="43" s="1"/>
  <c r="M51" i="43"/>
  <c r="N51" i="43" s="1"/>
  <c r="K51" i="43"/>
  <c r="J51" i="43" s="1"/>
  <c r="D51" i="43"/>
  <c r="M50" i="43"/>
  <c r="N50" i="43" s="1"/>
  <c r="K50" i="43"/>
  <c r="J50" i="43" s="1"/>
  <c r="M49" i="43"/>
  <c r="N49" i="43" s="1"/>
  <c r="K49" i="43"/>
  <c r="J49" i="43" s="1"/>
  <c r="D49" i="43" s="1"/>
  <c r="M48" i="43"/>
  <c r="N48"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s="1"/>
  <c r="C52" i="40" s="1"/>
  <c r="H65" i="39"/>
  <c r="I65" i="39"/>
  <c r="C65" i="39"/>
  <c r="H64" i="39"/>
  <c r="I64" i="39"/>
  <c r="C64" i="39" s="1"/>
  <c r="H60" i="39"/>
  <c r="I60" i="39" s="1"/>
  <c r="C60" i="39" s="1"/>
  <c r="H59" i="39"/>
  <c r="I59" i="39" s="1"/>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G41" i="43" s="1"/>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C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B5" i="3"/>
  <c r="E8" i="6" s="1"/>
  <c r="BR5" i="3"/>
  <c r="G28" i="6" s="1"/>
  <c r="G30" i="6" s="1"/>
  <c r="G31" i="6" s="1"/>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L19" i="6"/>
  <c r="K1" i="12"/>
  <c r="E19" i="69"/>
  <c r="E19" i="68"/>
  <c r="E19" i="11"/>
  <c r="E1" i="73"/>
  <c r="G22" i="69"/>
  <c r="G22" i="68"/>
  <c r="G26" i="12"/>
  <c r="G22" i="11"/>
  <c r="C100" i="43"/>
  <c r="C7" i="43"/>
  <c r="E81" i="43"/>
  <c r="B79" i="43"/>
  <c r="E70" i="43"/>
  <c r="B68" i="43"/>
  <c r="F100" i="43"/>
  <c r="H17" i="43"/>
  <c r="H85" i="43"/>
  <c r="H84" i="43"/>
  <c r="H78" i="43"/>
  <c r="C17" i="43"/>
  <c r="F33" i="43"/>
  <c r="K17" i="43"/>
  <c r="F34" i="43"/>
  <c r="N6" i="43"/>
  <c r="F38" i="43"/>
  <c r="F37" i="43"/>
  <c r="M9" i="43"/>
  <c r="M12" i="43"/>
  <c r="B19" i="53"/>
  <c r="B37" i="72" s="1"/>
  <c r="C7" i="39"/>
  <c r="C68" i="39" s="1"/>
  <c r="C7" i="35"/>
  <c r="E7" i="35" s="1"/>
  <c r="C7" i="33"/>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B6" i="1"/>
  <c r="E6" i="1"/>
  <c r="S8" i="1"/>
  <c r="AQ8" i="1" s="1"/>
  <c r="K11" i="1"/>
  <c r="M11" i="1" s="1"/>
  <c r="AP6" i="1"/>
  <c r="B9" i="1"/>
  <c r="E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A39" i="40"/>
  <c r="S39" i="40"/>
  <c r="S12" i="33"/>
  <c r="AA12" i="33"/>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W36" i="33" s="1"/>
  <c r="H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U36" i="33"/>
  <c r="AB36" i="33"/>
  <c r="W27" i="33"/>
  <c r="AC27" i="33"/>
  <c r="W25" i="33"/>
  <c r="AC25" i="33"/>
  <c r="AA23" i="33"/>
  <c r="S23" i="33"/>
  <c r="AB19" i="33"/>
  <c r="U19" i="33"/>
  <c r="AA17" i="33"/>
  <c r="S17" i="33"/>
  <c r="U17" i="33"/>
  <c r="AB17" i="33"/>
  <c r="U23" i="21"/>
  <c r="AB23" i="21"/>
  <c r="AC23" i="21"/>
  <c r="W23" i="21"/>
  <c r="AC11" i="37"/>
  <c r="W11" i="37"/>
  <c r="W11" i="34"/>
  <c r="AC11" i="34"/>
  <c r="F34" i="11"/>
  <c r="R8" i="1"/>
  <c r="AE8" i="1"/>
  <c r="AG6" i="1"/>
  <c r="H112" i="9"/>
  <c r="D21" i="53" s="1"/>
  <c r="B39" i="72" s="1"/>
  <c r="H111" i="9"/>
  <c r="D126" i="9"/>
  <c r="I14" i="74" s="1"/>
  <c r="B8" i="74" s="1"/>
  <c r="D19" i="53"/>
  <c r="B38" i="72"/>
  <c r="D20" i="53"/>
  <c r="B40" i="72"/>
  <c r="AD3" i="71"/>
  <c r="J1" i="73"/>
  <c r="H77" i="43"/>
  <c r="H76" i="43"/>
  <c r="H67" i="43"/>
  <c r="H59" i="43"/>
  <c r="H60" i="43"/>
  <c r="H61" i="43"/>
  <c r="M4" i="43"/>
  <c r="N12" i="43"/>
  <c r="M10" i="43"/>
  <c r="M7" i="43"/>
  <c r="H70" i="43"/>
  <c r="N9" i="43"/>
  <c r="N10" i="43"/>
  <c r="H74" i="43"/>
  <c r="M6" i="43"/>
  <c r="N4" i="43"/>
  <c r="N17" i="43"/>
  <c r="L17" i="43"/>
  <c r="O17" i="43"/>
  <c r="M17" i="43"/>
  <c r="E17" i="43"/>
  <c r="E46" i="36"/>
  <c r="F46" i="36" s="1"/>
  <c r="G46" i="36" s="1"/>
  <c r="H46" i="36" s="1"/>
  <c r="I46" i="36" s="1"/>
  <c r="J46" i="36" s="1"/>
  <c r="K46" i="36" s="1"/>
  <c r="L46" i="36" s="1"/>
  <c r="M46" i="36" s="1"/>
  <c r="N46" i="36" s="1"/>
  <c r="O46" i="36"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K59" i="34" s="1"/>
  <c r="D10" i="71"/>
  <c r="T12" i="71"/>
  <c r="D11" i="71"/>
  <c r="D12" i="71"/>
  <c r="U12" i="71"/>
  <c r="F34" i="68"/>
  <c r="E2" i="68"/>
  <c r="AO12" i="1"/>
  <c r="F3" i="73"/>
  <c r="D2" i="36"/>
  <c r="D7" i="73"/>
  <c r="B13" i="76"/>
  <c r="AO8" i="1"/>
  <c r="D2" i="35"/>
  <c r="F4" i="73"/>
  <c r="D2" i="21"/>
  <c r="D2" i="33"/>
  <c r="E8" i="76"/>
  <c r="D3" i="73"/>
  <c r="D4" i="73"/>
  <c r="F5" i="73"/>
  <c r="D2" i="37"/>
  <c r="E2" i="69"/>
  <c r="D2" i="34"/>
  <c r="B11" i="76"/>
  <c r="F7" i="73"/>
  <c r="AO10" i="1"/>
  <c r="E10" i="76"/>
  <c r="F6" i="73"/>
  <c r="E7" i="76"/>
  <c r="B8" i="76"/>
  <c r="E11" i="76"/>
  <c r="B9" i="76"/>
  <c r="D5" i="73"/>
  <c r="D6" i="73"/>
  <c r="AO9" i="1"/>
  <c r="E9" i="76"/>
  <c r="F20" i="31"/>
  <c r="E13" i="76"/>
  <c r="B12" i="76"/>
  <c r="B10" i="76"/>
  <c r="AO11" i="1"/>
  <c r="AO13" i="1"/>
  <c r="B7" i="76"/>
  <c r="E12" i="76"/>
  <c r="M20" i="15" l="1"/>
  <c r="M20" i="80"/>
  <c r="F34" i="80"/>
  <c r="F62" i="80" s="1"/>
  <c r="N2" i="43"/>
  <c r="N7" i="43"/>
  <c r="M8" i="43"/>
  <c r="M2" i="43"/>
  <c r="N11" i="43"/>
  <c r="M5" i="43"/>
  <c r="N5" i="43"/>
  <c r="N3" i="43"/>
  <c r="F48" i="43" s="1"/>
  <c r="N8" i="43"/>
  <c r="M3" i="43"/>
  <c r="C6" i="43" s="1"/>
  <c r="C51" i="10"/>
  <c r="A2" i="81"/>
  <c r="A118" i="81"/>
  <c r="C77" i="81"/>
  <c r="C74" i="81" s="1"/>
  <c r="C28" i="80"/>
  <c r="M47" i="81"/>
  <c r="J51" i="80"/>
  <c r="F30" i="6"/>
  <c r="BL15" i="3"/>
  <c r="BL5" i="3" s="1"/>
  <c r="B7" i="1"/>
  <c r="E7" i="1" s="1"/>
  <c r="G1" i="80"/>
  <c r="M18" i="81"/>
  <c r="B118" i="81" s="1"/>
  <c r="AQ9" i="1"/>
  <c r="AQ13" i="1"/>
  <c r="E10" i="6"/>
  <c r="E11" i="6"/>
  <c r="E61" i="39" s="1"/>
  <c r="E14" i="6"/>
  <c r="E64" i="39" s="1"/>
  <c r="T8" i="1"/>
  <c r="T11" i="1"/>
  <c r="AR10" i="1"/>
  <c r="G5" i="3"/>
  <c r="B3" i="3" s="1"/>
  <c r="E82" i="3" s="1"/>
  <c r="BA15" i="3"/>
  <c r="AR8" i="1"/>
  <c r="E28" i="6"/>
  <c r="K14" i="1" s="1"/>
  <c r="M14" i="1" s="1"/>
  <c r="O14" i="1" s="1"/>
  <c r="E29" i="6"/>
  <c r="K15" i="1" s="1"/>
  <c r="F26" i="35"/>
  <c r="J26" i="35"/>
  <c r="H26" i="35"/>
  <c r="K56" i="9"/>
  <c r="C58" i="33"/>
  <c r="E7" i="33"/>
  <c r="G7" i="33" s="1"/>
  <c r="I7" i="33" s="1"/>
  <c r="C36" i="69"/>
  <c r="H71" i="43"/>
  <c r="H88" i="43"/>
  <c r="H81" i="43"/>
  <c r="U8" i="33"/>
  <c r="S8" i="33"/>
  <c r="C40" i="68"/>
  <c r="C21" i="68"/>
  <c r="C40" i="69"/>
  <c r="D22" i="67"/>
  <c r="E373" i="3"/>
  <c r="E222" i="3"/>
  <c r="E154" i="3"/>
  <c r="E51" i="3"/>
  <c r="E341" i="3"/>
  <c r="E250" i="3"/>
  <c r="E87" i="3"/>
  <c r="E24" i="3"/>
  <c r="E584" i="3"/>
  <c r="E386" i="3"/>
  <c r="E266" i="3"/>
  <c r="E174" i="3"/>
  <c r="E96" i="3"/>
  <c r="E428" i="3"/>
  <c r="E60" i="3"/>
  <c r="E372" i="3"/>
  <c r="E346" i="3"/>
  <c r="E226" i="3"/>
  <c r="E202" i="3"/>
  <c r="E178" i="3"/>
  <c r="E25" i="3"/>
  <c r="E463" i="3"/>
  <c r="E483" i="3"/>
  <c r="E498" i="3"/>
  <c r="AH6" i="3"/>
  <c r="E490" i="3"/>
  <c r="E422" i="3"/>
  <c r="E437" i="3"/>
  <c r="E330" i="3"/>
  <c r="E120" i="3"/>
  <c r="E245" i="3"/>
  <c r="E247" i="3"/>
  <c r="D9" i="11"/>
  <c r="C9" i="11" s="1"/>
  <c r="D19" i="12"/>
  <c r="C19" i="12" s="1"/>
  <c r="E359" i="3"/>
  <c r="E97" i="3"/>
  <c r="E511" i="3"/>
  <c r="AK6" i="3"/>
  <c r="E434" i="3"/>
  <c r="E306" i="3"/>
  <c r="E296" i="3"/>
  <c r="E262" i="3"/>
  <c r="E159" i="3"/>
  <c r="E191" i="3"/>
  <c r="E99" i="3"/>
  <c r="E188" i="3"/>
  <c r="E228" i="3"/>
  <c r="E181" i="3"/>
  <c r="E157" i="3"/>
  <c r="E149"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E579" i="3"/>
  <c r="E396" i="3"/>
  <c r="E229" i="3"/>
  <c r="E151" i="3"/>
  <c r="E353" i="3"/>
  <c r="E495" i="3"/>
  <c r="E586" i="3"/>
  <c r="E402" i="3"/>
  <c r="E350" i="3"/>
  <c r="E303" i="3"/>
  <c r="E301" i="3"/>
  <c r="E189" i="3"/>
  <c r="E130" i="3"/>
  <c r="E134"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AN6" i="3"/>
  <c r="AZ13" i="3"/>
  <c r="E19" i="6"/>
  <c r="T13" i="1"/>
  <c r="E59" i="40"/>
  <c r="AQ12" i="1"/>
  <c r="D3" i="33"/>
  <c r="J51" i="15"/>
  <c r="P61" i="15"/>
  <c r="D48" i="43"/>
  <c r="D53" i="43"/>
  <c r="D50" i="43"/>
  <c r="D52" i="43"/>
  <c r="D54" i="43"/>
  <c r="N100" i="43"/>
  <c r="H87" i="43"/>
  <c r="H86" i="43"/>
  <c r="H75" i="43"/>
  <c r="E10" i="43"/>
  <c r="E8" i="43"/>
  <c r="E11" i="43"/>
  <c r="E9" i="43"/>
  <c r="C92" i="9"/>
  <c r="C94" i="9"/>
  <c r="F28" i="15"/>
  <c r="C28" i="15" s="1"/>
  <c r="F31" i="12"/>
  <c r="C31" i="12" s="1"/>
  <c r="D68" i="9"/>
  <c r="M18" i="67"/>
  <c r="F30" i="68"/>
  <c r="C30" i="68" s="1"/>
  <c r="F48" i="9"/>
  <c r="O52" i="9" s="1"/>
  <c r="C24" i="12"/>
  <c r="C77" i="9"/>
  <c r="C74" i="9" s="1"/>
  <c r="C13" i="12"/>
  <c r="F54" i="9"/>
  <c r="M18" i="15"/>
  <c r="F32" i="15"/>
  <c r="F60" i="15" s="1"/>
  <c r="F30" i="69"/>
  <c r="F32" i="67"/>
  <c r="F60" i="67" s="1"/>
  <c r="F52" i="9"/>
  <c r="F28" i="67"/>
  <c r="C28" i="67" s="1"/>
  <c r="F30" i="11"/>
  <c r="C23" i="12"/>
  <c r="C21" i="69"/>
  <c r="D22" i="15"/>
  <c r="G25" i="12"/>
  <c r="G41" i="11"/>
  <c r="G27" i="12"/>
  <c r="G41" i="68"/>
  <c r="D23" i="67"/>
  <c r="E30" i="6"/>
  <c r="L27" i="6"/>
  <c r="T9" i="1"/>
  <c r="AR11" i="1"/>
  <c r="G1" i="67"/>
  <c r="G1" i="15"/>
  <c r="T10" i="1"/>
  <c r="T12" i="1"/>
  <c r="G1" i="68"/>
  <c r="E12" i="6"/>
  <c r="E62" i="39" s="1"/>
  <c r="E13" i="6"/>
  <c r="E58" i="40" s="1"/>
  <c r="E15" i="6"/>
  <c r="D9" i="69"/>
  <c r="C9" i="69"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69" i="3"/>
  <c r="E237" i="3"/>
  <c r="E114" i="3"/>
  <c r="E261" i="3"/>
  <c r="E278" i="3"/>
  <c r="E304" i="3"/>
  <c r="E415" i="3"/>
  <c r="E528" i="3"/>
  <c r="E563" i="3"/>
  <c r="E565" i="3"/>
  <c r="E395" i="3"/>
  <c r="E183" i="3"/>
  <c r="E172" i="3"/>
  <c r="E213" i="3"/>
  <c r="E260" i="3"/>
  <c r="E361" i="3"/>
  <c r="E445" i="3"/>
  <c r="E17" i="3"/>
  <c r="E550" i="3"/>
  <c r="E503" i="3"/>
  <c r="E535" i="3"/>
  <c r="E302" i="3"/>
  <c r="F27" i="6"/>
  <c r="F31" i="6" s="1"/>
  <c r="E56" i="39"/>
  <c r="E51" i="40"/>
  <c r="E410" i="3"/>
  <c r="E574" i="3"/>
  <c r="E555" i="3"/>
  <c r="O6" i="3"/>
  <c r="E388" i="3"/>
  <c r="E56" i="40"/>
  <c r="P14" i="1"/>
  <c r="O11" i="1"/>
  <c r="P11" i="1" s="1"/>
  <c r="O9" i="1"/>
  <c r="P9" i="1" s="1"/>
  <c r="O8" i="1"/>
  <c r="P8" i="1" s="1"/>
  <c r="C36" i="11"/>
  <c r="O12" i="1"/>
  <c r="P12" i="1" s="1"/>
  <c r="G17" i="43"/>
  <c r="C16" i="43" s="1"/>
  <c r="D12" i="52"/>
  <c r="D127" i="9"/>
  <c r="D13" i="52" s="1"/>
  <c r="C70" i="39"/>
  <c r="D68" i="39"/>
  <c r="L59" i="34"/>
  <c r="M59" i="34" s="1"/>
  <c r="N59" i="34" s="1"/>
  <c r="O59" i="34"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D6" i="71" s="1"/>
  <c r="Y8" i="71"/>
  <c r="Z8" i="71" s="1"/>
  <c r="Y7" i="71"/>
  <c r="Z7" i="71" s="1"/>
  <c r="AA8" i="71"/>
  <c r="AB3" i="71"/>
  <c r="B8" i="71"/>
  <c r="B7" i="71" s="1"/>
  <c r="B6" i="71" s="1"/>
  <c r="X8" i="71"/>
  <c r="AB8" i="71"/>
  <c r="Y3" i="71"/>
  <c r="D8" i="71"/>
  <c r="F8" i="71"/>
  <c r="F7" i="71" s="1"/>
  <c r="F6" i="71" s="1"/>
  <c r="AF3" i="71"/>
  <c r="P22" i="43" s="1"/>
  <c r="B10" i="70"/>
  <c r="K1" i="73"/>
  <c r="B20" i="31"/>
  <c r="B21" i="31" s="1"/>
  <c r="I1" i="73"/>
  <c r="B39" i="1" s="1"/>
  <c r="B12" i="70"/>
  <c r="E20" i="43"/>
  <c r="B11" i="70"/>
  <c r="B8" i="70"/>
  <c r="B9" i="70"/>
  <c r="B13" i="70"/>
  <c r="L48" i="80"/>
  <c r="F36" i="80"/>
  <c r="M27" i="15"/>
  <c r="F8" i="15"/>
  <c r="F43" i="67"/>
  <c r="F40" i="80"/>
  <c r="F6" i="80"/>
  <c r="M24" i="15"/>
  <c r="M28" i="67"/>
  <c r="L48" i="15"/>
  <c r="M26" i="80"/>
  <c r="M8" i="15"/>
  <c r="M22" i="67"/>
  <c r="L47" i="80"/>
  <c r="M9" i="15"/>
  <c r="C76" i="15"/>
  <c r="M24" i="67"/>
  <c r="F26" i="80"/>
  <c r="M8" i="67"/>
  <c r="G1" i="73"/>
  <c r="M6" i="80"/>
  <c r="F16" i="15"/>
  <c r="F7" i="67"/>
  <c r="F9" i="80"/>
  <c r="F42" i="67"/>
  <c r="M27" i="80"/>
  <c r="F38" i="67"/>
  <c r="M28" i="80"/>
  <c r="C36" i="68"/>
  <c r="M23" i="15"/>
  <c r="F37" i="80"/>
  <c r="M26" i="15"/>
  <c r="C76" i="80"/>
  <c r="M29" i="67"/>
  <c r="M9" i="80"/>
  <c r="F42" i="15"/>
  <c r="L48" i="67"/>
  <c r="L47" i="15"/>
  <c r="M27" i="67"/>
  <c r="M8" i="80"/>
  <c r="F37" i="15"/>
  <c r="C76" i="67"/>
  <c r="F9" i="67"/>
  <c r="F6" i="67"/>
  <c r="F16" i="80"/>
  <c r="J15" i="15"/>
  <c r="F40" i="15"/>
  <c r="F26" i="67"/>
  <c r="F42" i="80"/>
  <c r="F13" i="80"/>
  <c r="M22" i="15"/>
  <c r="M26" i="67"/>
  <c r="F8" i="80"/>
  <c r="F13" i="67"/>
  <c r="F6" i="15"/>
  <c r="J15" i="67"/>
  <c r="F40" i="67"/>
  <c r="L47" i="67"/>
  <c r="M22" i="80"/>
  <c r="F36" i="15"/>
  <c r="M23" i="67"/>
  <c r="F9" i="15"/>
  <c r="F26" i="15"/>
  <c r="M9" i="67"/>
  <c r="M24" i="80"/>
  <c r="F13" i="15"/>
  <c r="M6" i="67"/>
  <c r="F38" i="80"/>
  <c r="F37" i="67"/>
  <c r="F38" i="15"/>
  <c r="J15" i="80"/>
  <c r="F8" i="67"/>
  <c r="F36" i="67"/>
  <c r="F16" i="67"/>
  <c r="M23" i="80"/>
  <c r="M6" i="15"/>
  <c r="M28" i="15"/>
  <c r="E16" i="3" l="1"/>
  <c r="E314" i="3"/>
  <c r="E285" i="3"/>
  <c r="E516" i="3"/>
  <c r="E578" i="3"/>
  <c r="E135" i="3"/>
  <c r="E177" i="3"/>
  <c r="Q6" i="3"/>
  <c r="E481" i="3"/>
  <c r="E440" i="3"/>
  <c r="E376" i="3"/>
  <c r="J6" i="3"/>
  <c r="E419" i="3"/>
  <c r="E401" i="3"/>
  <c r="E40" i="3"/>
  <c r="E108" i="3"/>
  <c r="E119" i="3"/>
  <c r="E242" i="3"/>
  <c r="E276" i="3"/>
  <c r="E333" i="3"/>
  <c r="L6" i="3"/>
  <c r="E43" i="3"/>
  <c r="E412" i="3"/>
  <c r="E129" i="3"/>
  <c r="E275" i="3"/>
  <c r="E307" i="3"/>
  <c r="E354" i="3"/>
  <c r="E66" i="3"/>
  <c r="E48" i="3"/>
  <c r="E127" i="3"/>
  <c r="E284" i="3"/>
  <c r="Y6" i="3"/>
  <c r="E19" i="3"/>
  <c r="E179" i="3"/>
  <c r="E323" i="3"/>
  <c r="E21" i="3"/>
  <c r="E513" i="3"/>
  <c r="E309" i="3"/>
  <c r="E283" i="3"/>
  <c r="E264" i="3"/>
  <c r="E118" i="3"/>
  <c r="E81" i="3"/>
  <c r="E63" i="3"/>
  <c r="E68" i="3"/>
  <c r="E381" i="3"/>
  <c r="E355" i="3"/>
  <c r="E233" i="3"/>
  <c r="E184" i="3"/>
  <c r="E144" i="3"/>
  <c r="E33" i="3"/>
  <c r="E67" i="3"/>
  <c r="E84" i="3"/>
  <c r="E23" i="3"/>
  <c r="E492" i="3"/>
  <c r="E310" i="3"/>
  <c r="E371" i="3"/>
  <c r="E300" i="3"/>
  <c r="E249" i="3"/>
  <c r="E220" i="3"/>
  <c r="E190" i="3"/>
  <c r="E78" i="3"/>
  <c r="E18" i="3"/>
  <c r="E482" i="3"/>
  <c r="E488"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72" i="3"/>
  <c r="E560" i="3"/>
  <c r="K6" i="3"/>
  <c r="E133" i="3"/>
  <c r="E277" i="3"/>
  <c r="E161" i="3"/>
  <c r="E185" i="3"/>
  <c r="E382" i="3"/>
  <c r="E518" i="3"/>
  <c r="E239" i="3"/>
  <c r="E569" i="3"/>
  <c r="E337" i="3"/>
  <c r="E143" i="3"/>
  <c r="E397" i="3"/>
  <c r="E568" i="3"/>
  <c r="I6" i="3"/>
  <c r="E536" i="3"/>
  <c r="E549" i="3"/>
  <c r="E453" i="3"/>
  <c r="E368" i="3"/>
  <c r="E244" i="3"/>
  <c r="E196" i="3"/>
  <c r="E136" i="3"/>
  <c r="E156" i="3"/>
  <c r="E236" i="3"/>
  <c r="E148" i="3"/>
  <c r="E269" i="3"/>
  <c r="E122" i="3"/>
  <c r="E89" i="3"/>
  <c r="E207" i="3"/>
  <c r="H53" i="43"/>
  <c r="H51" i="43"/>
  <c r="H50" i="43"/>
  <c r="H54" i="43"/>
  <c r="H52" i="43"/>
  <c r="H56" i="43"/>
  <c r="H48" i="43"/>
  <c r="H55" i="43"/>
  <c r="H49" i="43"/>
  <c r="C5" i="43"/>
  <c r="Q71" i="80"/>
  <c r="F65" i="80"/>
  <c r="C27" i="80"/>
  <c r="F64" i="80"/>
  <c r="F51" i="80"/>
  <c r="F66" i="80"/>
  <c r="F68" i="80"/>
  <c r="M59" i="80"/>
  <c r="L58" i="80"/>
  <c r="Q73" i="80" s="1"/>
  <c r="N59" i="80"/>
  <c r="L59" i="80"/>
  <c r="Q74" i="80" s="1"/>
  <c r="L56" i="80"/>
  <c r="L60" i="80"/>
  <c r="Q66" i="80" s="1"/>
  <c r="J53" i="80"/>
  <c r="F1" i="80" s="1"/>
  <c r="J57" i="80"/>
  <c r="J55" i="80" s="1"/>
  <c r="J58" i="80" s="1"/>
  <c r="Q50" i="80" s="1"/>
  <c r="L57" i="80"/>
  <c r="I54" i="80"/>
  <c r="C29" i="35"/>
  <c r="E29" i="35" s="1"/>
  <c r="G29" i="35" s="1"/>
  <c r="I29" i="35" s="1"/>
  <c r="K6" i="1"/>
  <c r="D3" i="35"/>
  <c r="AZ15" i="3"/>
  <c r="BA5" i="3"/>
  <c r="E27" i="6" s="1"/>
  <c r="B14" i="74" s="1"/>
  <c r="AZ5" i="3"/>
  <c r="E3" i="6" s="1"/>
  <c r="E509" i="3"/>
  <c r="E431" i="3"/>
  <c r="E385" i="3"/>
  <c r="E423" i="3"/>
  <c r="E169" i="3"/>
  <c r="E290" i="3"/>
  <c r="E45" i="3"/>
  <c r="E193" i="3"/>
  <c r="E519" i="3"/>
  <c r="E573" i="3"/>
  <c r="E458"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75" i="3"/>
  <c r="E473" i="3"/>
  <c r="E455" i="3"/>
  <c r="E38" i="3"/>
  <c r="E170" i="3"/>
  <c r="E194" i="3"/>
  <c r="E219" i="3"/>
  <c r="E299" i="3"/>
  <c r="E339" i="3"/>
  <c r="E325" i="3"/>
  <c r="E392" i="3"/>
  <c r="AQ6" i="3"/>
  <c r="E52" i="3"/>
  <c r="E36" i="3"/>
  <c r="E112" i="3"/>
  <c r="E123" i="3"/>
  <c r="E147" i="3"/>
  <c r="E289" i="3"/>
  <c r="E340" i="3"/>
  <c r="E364" i="3"/>
  <c r="E50" i="3"/>
  <c r="E20" i="3"/>
  <c r="E62" i="3"/>
  <c r="E176" i="3"/>
  <c r="E218" i="3"/>
  <c r="E265" i="3"/>
  <c r="E365" i="3"/>
  <c r="E524" i="3"/>
  <c r="E101" i="3"/>
  <c r="E201" i="3"/>
  <c r="AI6" i="3"/>
  <c r="E263" i="3"/>
  <c r="E61" i="3"/>
  <c r="E117" i="3"/>
  <c r="E224" i="3"/>
  <c r="E313" i="3"/>
  <c r="E532" i="3"/>
  <c r="E529" i="3"/>
  <c r="E406" i="3"/>
  <c r="E465" i="3"/>
  <c r="E587" i="3"/>
  <c r="E577" i="3"/>
  <c r="E468" i="3"/>
  <c r="E454" i="3"/>
  <c r="E106" i="3"/>
  <c r="E146" i="3"/>
  <c r="E171" i="3"/>
  <c r="E214" i="3"/>
  <c r="E315" i="3"/>
  <c r="E362" i="3"/>
  <c r="E74" i="3"/>
  <c r="E409" i="3"/>
  <c r="E79" i="3"/>
  <c r="E137" i="3"/>
  <c r="E235" i="3"/>
  <c r="E383" i="3"/>
  <c r="E522" i="3"/>
  <c r="E86" i="3"/>
  <c r="E49" i="3"/>
  <c r="E232" i="3"/>
  <c r="E370" i="3"/>
  <c r="E102" i="3"/>
  <c r="E113" i="3"/>
  <c r="E287" i="3"/>
  <c r="E326" i="3"/>
  <c r="E83" i="3"/>
  <c r="E474" i="3"/>
  <c r="E424" i="3"/>
  <c r="E344" i="3"/>
  <c r="AE6" i="3"/>
  <c r="E429" i="3"/>
  <c r="E496" i="3"/>
  <c r="E55" i="3"/>
  <c r="E73" i="3"/>
  <c r="E203" i="3"/>
  <c r="E256" i="3"/>
  <c r="E274" i="3"/>
  <c r="E394" i="3"/>
  <c r="E580" i="3"/>
  <c r="E32" i="3"/>
  <c r="E15" i="3"/>
  <c r="E100" i="3"/>
  <c r="E234" i="3"/>
  <c r="E324" i="3"/>
  <c r="E342" i="3"/>
  <c r="E35" i="3"/>
  <c r="E34" i="3"/>
  <c r="E206" i="3"/>
  <c r="E251" i="3"/>
  <c r="AF6" i="3"/>
  <c r="E80" i="3"/>
  <c r="E158" i="3"/>
  <c r="E308" i="3"/>
  <c r="E22" i="3"/>
  <c r="E57" i="40"/>
  <c r="AY6" i="3"/>
  <c r="AY489" i="3" s="1"/>
  <c r="D14" i="12"/>
  <c r="D17" i="12" s="1"/>
  <c r="C17" i="12" s="1"/>
  <c r="D3" i="34"/>
  <c r="D37" i="11"/>
  <c r="C37" i="11" s="1"/>
  <c r="D3" i="37"/>
  <c r="C17" i="4"/>
  <c r="D3" i="21"/>
  <c r="E6" i="6"/>
  <c r="D10" i="11" s="1"/>
  <c r="C10" i="11" s="1"/>
  <c r="AB26" i="35"/>
  <c r="U26" i="35"/>
  <c r="AA26" i="35"/>
  <c r="S26" i="35"/>
  <c r="AC26" i="35"/>
  <c r="W26" i="35"/>
  <c r="F11" i="80"/>
  <c r="M11" i="80"/>
  <c r="AY412" i="3"/>
  <c r="AY363" i="3"/>
  <c r="AY204" i="3"/>
  <c r="AY74" i="3"/>
  <c r="AY196" i="3"/>
  <c r="AY67" i="3"/>
  <c r="E63" i="39"/>
  <c r="E16" i="6"/>
  <c r="AY425" i="3"/>
  <c r="AY444" i="3"/>
  <c r="AY486" i="3"/>
  <c r="AY334" i="3"/>
  <c r="AY350" i="3"/>
  <c r="AY387" i="3"/>
  <c r="AY220" i="3"/>
  <c r="AY237" i="3"/>
  <c r="AY147" i="3"/>
  <c r="AY75" i="3"/>
  <c r="AY292" i="3"/>
  <c r="AY163" i="3"/>
  <c r="AY31" i="3"/>
  <c r="AY90" i="3"/>
  <c r="AY132" i="3"/>
  <c r="AY171" i="3"/>
  <c r="AY191" i="3"/>
  <c r="AY18" i="3"/>
  <c r="AY82" i="3"/>
  <c r="D20" i="12"/>
  <c r="C20" i="12" s="1"/>
  <c r="F7" i="34"/>
  <c r="J7" i="37"/>
  <c r="H7" i="34"/>
  <c r="Z3" i="71"/>
  <c r="C19" i="43"/>
  <c r="E48" i="43"/>
  <c r="B46" i="43" s="1"/>
  <c r="C24" i="43" s="1"/>
  <c r="D5" i="43"/>
  <c r="F48" i="68"/>
  <c r="C48" i="68"/>
  <c r="C48" i="11"/>
  <c r="C30" i="11"/>
  <c r="F48" i="69"/>
  <c r="C48" i="69"/>
  <c r="C30" i="69"/>
  <c r="F64" i="15"/>
  <c r="F66" i="15"/>
  <c r="C27" i="15"/>
  <c r="F65" i="15"/>
  <c r="F68" i="15"/>
  <c r="Q71" i="15"/>
  <c r="N59" i="15"/>
  <c r="M59" i="15"/>
  <c r="L59" i="15"/>
  <c r="Q74" i="15" s="1"/>
  <c r="L58" i="15"/>
  <c r="Q60" i="15" s="1"/>
  <c r="F51" i="15"/>
  <c r="J53" i="15"/>
  <c r="L56" i="15" s="1"/>
  <c r="I54" i="15"/>
  <c r="J57" i="15"/>
  <c r="J55" i="15" s="1"/>
  <c r="J58" i="15" s="1"/>
  <c r="Q50" i="15" s="1"/>
  <c r="J53" i="67"/>
  <c r="F1" i="67" s="1"/>
  <c r="L56" i="67"/>
  <c r="J57" i="67"/>
  <c r="J55" i="67" s="1"/>
  <c r="J58" i="67" s="1"/>
  <c r="Q50" i="67" s="1"/>
  <c r="I54" i="67"/>
  <c r="F50" i="67"/>
  <c r="F59" i="67" s="1"/>
  <c r="M7" i="67"/>
  <c r="J6" i="67" s="1"/>
  <c r="J18" i="67" s="1"/>
  <c r="F64" i="67"/>
  <c r="F65" i="67"/>
  <c r="Q71" i="67"/>
  <c r="C6" i="67"/>
  <c r="C32" i="67" s="1"/>
  <c r="F66" i="67"/>
  <c r="N59" i="67"/>
  <c r="L58" i="67"/>
  <c r="Q73" i="67" s="1"/>
  <c r="L59" i="67"/>
  <c r="Q74" i="67" s="1"/>
  <c r="M59" i="67"/>
  <c r="F51" i="67"/>
  <c r="F70" i="67"/>
  <c r="F68" i="67"/>
  <c r="C27" i="67"/>
  <c r="F71" i="67"/>
  <c r="E60" i="40"/>
  <c r="E65" i="39"/>
  <c r="E66" i="39" s="1"/>
  <c r="AC6" i="3"/>
  <c r="K20" i="6"/>
  <c r="K24" i="6"/>
  <c r="M24" i="6" s="1"/>
  <c r="I24" i="6" s="1"/>
  <c r="S24" i="6" s="1"/>
  <c r="K19" i="6"/>
  <c r="S6" i="1" s="1"/>
  <c r="K25" i="6"/>
  <c r="M25" i="6" s="1"/>
  <c r="I25" i="6" s="1"/>
  <c r="S25" i="6" s="1"/>
  <c r="K23" i="6"/>
  <c r="M23" i="6" s="1"/>
  <c r="I23" i="6" s="1"/>
  <c r="S23" i="6" s="1"/>
  <c r="H6"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07" i="3"/>
  <c r="AY42" i="3"/>
  <c r="AY168" i="3"/>
  <c r="AY366" i="3"/>
  <c r="AY441"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53" i="3"/>
  <c r="AY113"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42" i="3"/>
  <c r="AY122"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4" i="52"/>
  <c r="B43" i="72" s="1"/>
  <c r="H7" i="37"/>
  <c r="AB7" i="37" s="1"/>
  <c r="T42" i="37" s="1"/>
  <c r="G42" i="37" s="1"/>
  <c r="E68" i="39"/>
  <c r="D70" i="39"/>
  <c r="H7" i="33"/>
  <c r="J7" i="33"/>
  <c r="D65" i="40"/>
  <c r="E63" i="40"/>
  <c r="F48" i="35"/>
  <c r="E58" i="21"/>
  <c r="AC7" i="36"/>
  <c r="V36" i="36" s="1"/>
  <c r="I36" i="36" s="1"/>
  <c r="W7" i="36"/>
  <c r="F7" i="37"/>
  <c r="S7" i="34"/>
  <c r="AA7" i="34"/>
  <c r="R49" i="34" s="1"/>
  <c r="J7" i="34"/>
  <c r="F7" i="33"/>
  <c r="S7" i="36"/>
  <c r="AA7" i="36"/>
  <c r="R36" i="36" s="1"/>
  <c r="AC7" i="37"/>
  <c r="V42" i="37" s="1"/>
  <c r="I42" i="37" s="1"/>
  <c r="W7" i="37"/>
  <c r="U7" i="37"/>
  <c r="AB7" i="36"/>
  <c r="T36" i="36" s="1"/>
  <c r="G36" i="36" s="1"/>
  <c r="U7" i="36"/>
  <c r="U7" i="34"/>
  <c r="AB7" i="34"/>
  <c r="T49" i="34" s="1"/>
  <c r="G49" i="34" s="1"/>
  <c r="M17" i="67"/>
  <c r="M17" i="15"/>
  <c r="F59" i="15"/>
  <c r="P24" i="43"/>
  <c r="B66" i="40" s="1"/>
  <c r="P21" i="43"/>
  <c r="P25" i="43"/>
  <c r="P23" i="43"/>
  <c r="B71" i="39" s="1"/>
  <c r="M20" i="43"/>
  <c r="B40" i="1"/>
  <c r="F24" i="80" s="1"/>
  <c r="M28" i="43"/>
  <c r="G20" i="43" s="1"/>
  <c r="H6" i="1" s="1"/>
  <c r="N28" i="43"/>
  <c r="O28" i="43"/>
  <c r="P28" i="43"/>
  <c r="M11" i="67"/>
  <c r="J10" i="67" s="1"/>
  <c r="F11" i="15"/>
  <c r="M11" i="15"/>
  <c r="F11" i="67"/>
  <c r="AE7" i="1"/>
  <c r="D10" i="68"/>
  <c r="M29" i="80"/>
  <c r="D9" i="68"/>
  <c r="F7" i="80"/>
  <c r="M29" i="15"/>
  <c r="F43" i="80"/>
  <c r="F43" i="15"/>
  <c r="F41" i="67"/>
  <c r="F7" i="15"/>
  <c r="C16" i="67"/>
  <c r="D10" i="69" l="1"/>
  <c r="C10" i="69" s="1"/>
  <c r="C8" i="69" s="1"/>
  <c r="C5" i="69" s="1"/>
  <c r="Q52" i="80"/>
  <c r="Q57" i="80"/>
  <c r="Q60" i="80"/>
  <c r="Q61" i="80"/>
  <c r="F69" i="67"/>
  <c r="AY139" i="3"/>
  <c r="AY123" i="3"/>
  <c r="AY252" i="3"/>
  <c r="J29" i="35"/>
  <c r="F29" i="35"/>
  <c r="H29" i="35"/>
  <c r="C14" i="12"/>
  <c r="J5" i="67"/>
  <c r="J24" i="67" s="1"/>
  <c r="G6" i="1"/>
  <c r="G7" i="1"/>
  <c r="F71" i="80"/>
  <c r="M7" i="80"/>
  <c r="J6" i="80" s="1"/>
  <c r="J18" i="80" s="1"/>
  <c r="F50" i="80"/>
  <c r="C49" i="80" s="1"/>
  <c r="C6" i="80"/>
  <c r="C32" i="80" s="1"/>
  <c r="M7" i="15"/>
  <c r="J6" i="15" s="1"/>
  <c r="J18" i="15" s="1"/>
  <c r="C6" i="15"/>
  <c r="C32" i="15" s="1"/>
  <c r="F50" i="15"/>
  <c r="C49" i="15" s="1"/>
  <c r="F71" i="15"/>
  <c r="Q16" i="1"/>
  <c r="C34" i="69"/>
  <c r="J10" i="15"/>
  <c r="J5" i="15" s="1"/>
  <c r="J24" i="15" s="1"/>
  <c r="K16" i="1"/>
  <c r="M6" i="1"/>
  <c r="M16" i="1" s="1"/>
  <c r="M18" i="9"/>
  <c r="B118" i="9" s="1"/>
  <c r="D19" i="11"/>
  <c r="C19" i="11" s="1"/>
  <c r="C20" i="11" s="1"/>
  <c r="K26" i="6"/>
  <c r="M26" i="6" s="1"/>
  <c r="I26" i="6" s="1"/>
  <c r="S26" i="6" s="1"/>
  <c r="K22" i="6"/>
  <c r="M22" i="6" s="1"/>
  <c r="I22" i="6" s="1"/>
  <c r="K21" i="6"/>
  <c r="M21" i="6" s="1"/>
  <c r="I21" i="6" s="1"/>
  <c r="E31" i="6"/>
  <c r="E6" i="70"/>
  <c r="O6" i="1"/>
  <c r="AY98" i="3"/>
  <c r="AY103" i="3"/>
  <c r="AY160" i="3"/>
  <c r="AY183" i="3"/>
  <c r="AY284" i="3"/>
  <c r="AY319" i="3"/>
  <c r="AY497" i="3"/>
  <c r="AY50" i="3"/>
  <c r="AY289" i="3"/>
  <c r="AY261" i="3"/>
  <c r="AY209" i="3"/>
  <c r="AY455" i="3"/>
  <c r="C24" i="80"/>
  <c r="C53" i="80"/>
  <c r="Q60" i="67"/>
  <c r="D19" i="69"/>
  <c r="C19" i="69" s="1"/>
  <c r="C20" i="69" s="1"/>
  <c r="C10" i="68"/>
  <c r="B29" i="1" s="1"/>
  <c r="C9" i="68"/>
  <c r="D19" i="68"/>
  <c r="Q73" i="15"/>
  <c r="E41" i="43"/>
  <c r="C41" i="43" s="1"/>
  <c r="C39" i="43" s="1"/>
  <c r="C20" i="43"/>
  <c r="C35" i="43" s="1"/>
  <c r="Q61" i="15"/>
  <c r="C49" i="67"/>
  <c r="Q61" i="67"/>
  <c r="Q52" i="67"/>
  <c r="Q52" i="15"/>
  <c r="H16" i="1"/>
  <c r="M20" i="6"/>
  <c r="I20" i="6" s="1"/>
  <c r="S7" i="1"/>
  <c r="AQ6" i="1"/>
  <c r="T6" i="1"/>
  <c r="AR6" i="1"/>
  <c r="F1" i="15"/>
  <c r="E6" i="3"/>
  <c r="D25" i="6"/>
  <c r="C18" i="4"/>
  <c r="D8" i="6"/>
  <c r="D23" i="6"/>
  <c r="D14" i="6"/>
  <c r="D12" i="6"/>
  <c r="D11" i="6"/>
  <c r="D28" i="6"/>
  <c r="E61" i="40"/>
  <c r="D19" i="6"/>
  <c r="M19" i="9" s="1"/>
  <c r="C118" i="9" s="1"/>
  <c r="D26" i="6"/>
  <c r="D22" i="6"/>
  <c r="D21" i="6"/>
  <c r="D24" i="6"/>
  <c r="D20" i="6"/>
  <c r="D5" i="6"/>
  <c r="D9" i="6"/>
  <c r="D29" i="6"/>
  <c r="D15" i="6"/>
  <c r="D6" i="6"/>
  <c r="D13" i="6"/>
  <c r="D10" i="6"/>
  <c r="H23" i="6"/>
  <c r="H24" i="6"/>
  <c r="H25" i="6"/>
  <c r="H26" i="6"/>
  <c r="M19" i="6"/>
  <c r="K27" i="6"/>
  <c r="F68" i="39"/>
  <c r="E70" i="39"/>
  <c r="G53" i="34"/>
  <c r="H53" i="34" s="1"/>
  <c r="R37" i="36"/>
  <c r="E36" i="36"/>
  <c r="AC7" i="34"/>
  <c r="V49" i="34" s="1"/>
  <c r="I49" i="34" s="1"/>
  <c r="G54" i="34" s="1"/>
  <c r="H54" i="34" s="1"/>
  <c r="W7" i="34"/>
  <c r="F58" i="21"/>
  <c r="F63" i="40"/>
  <c r="E65" i="40"/>
  <c r="W7" i="33"/>
  <c r="AC7" i="33"/>
  <c r="V48" i="33" s="1"/>
  <c r="I48" i="33" s="1"/>
  <c r="G40" i="36"/>
  <c r="H40" i="36" s="1"/>
  <c r="G41" i="36"/>
  <c r="H41" i="36" s="1"/>
  <c r="G46" i="37"/>
  <c r="H46" i="37" s="1"/>
  <c r="G47" i="37"/>
  <c r="H47" i="37" s="1"/>
  <c r="I46" i="37"/>
  <c r="J46" i="37" s="1"/>
  <c r="S7" i="33"/>
  <c r="AA7" i="33"/>
  <c r="R48" i="33" s="1"/>
  <c r="R50" i="34"/>
  <c r="E49" i="34"/>
  <c r="AA7" i="37"/>
  <c r="R42" i="37" s="1"/>
  <c r="S7" i="37"/>
  <c r="I40" i="36"/>
  <c r="J40" i="36" s="1"/>
  <c r="I41" i="36"/>
  <c r="J41" i="36" s="1"/>
  <c r="G48" i="35"/>
  <c r="U7" i="33"/>
  <c r="AB7" i="33"/>
  <c r="T48" i="33" s="1"/>
  <c r="G48" i="33" s="1"/>
  <c r="C53" i="67"/>
  <c r="C10" i="67"/>
  <c r="C5" i="67" s="1"/>
  <c r="C53" i="15"/>
  <c r="F25" i="12"/>
  <c r="F22" i="69"/>
  <c r="F41" i="69" s="1"/>
  <c r="F24" i="67"/>
  <c r="C24" i="67" s="1"/>
  <c r="F22" i="11"/>
  <c r="F22" i="68"/>
  <c r="F24" i="15"/>
  <c r="C24" i="15" s="1"/>
  <c r="AE6" i="1"/>
  <c r="C16" i="15"/>
  <c r="C14" i="67"/>
  <c r="C16" i="80"/>
  <c r="C17" i="15"/>
  <c r="C17" i="67"/>
  <c r="C17" i="80"/>
  <c r="G16" i="1" l="1"/>
  <c r="F10" i="39" s="1"/>
  <c r="R26" i="6"/>
  <c r="S16" i="1"/>
  <c r="E7" i="70"/>
  <c r="E2" i="70" s="1"/>
  <c r="S20" i="6"/>
  <c r="L18" i="81"/>
  <c r="M19" i="81"/>
  <c r="C118" i="81" s="1"/>
  <c r="J26" i="67"/>
  <c r="J29" i="67" s="1"/>
  <c r="C10" i="15"/>
  <c r="C5" i="15" s="1"/>
  <c r="C38" i="15" s="1"/>
  <c r="C33" i="80"/>
  <c r="C10" i="80"/>
  <c r="C5" i="80" s="1"/>
  <c r="C38" i="80" s="1"/>
  <c r="J10" i="80"/>
  <c r="J5" i="80" s="1"/>
  <c r="J26" i="80" s="1"/>
  <c r="S29" i="35"/>
  <c r="AA29" i="35"/>
  <c r="AB29" i="35"/>
  <c r="U29" i="35"/>
  <c r="W29" i="35"/>
  <c r="AC29" i="35"/>
  <c r="C48" i="80"/>
  <c r="C66" i="80" s="1"/>
  <c r="C35" i="69"/>
  <c r="C38" i="69"/>
  <c r="F28" i="12"/>
  <c r="C29" i="12" s="1"/>
  <c r="D28" i="12" s="1"/>
  <c r="F27" i="69"/>
  <c r="C28" i="69" s="1"/>
  <c r="C27" i="69" s="1"/>
  <c r="F27" i="11"/>
  <c r="S21" i="6"/>
  <c r="H21" i="6"/>
  <c r="R21" i="6" s="1"/>
  <c r="H22" i="6"/>
  <c r="R22" i="6" s="1"/>
  <c r="S22" i="6"/>
  <c r="K14" i="9"/>
  <c r="B1" i="74"/>
  <c r="C8" i="74" s="1"/>
  <c r="K15" i="9"/>
  <c r="P6" i="1"/>
  <c r="P16" i="1" s="1"/>
  <c r="C11" i="12" s="1"/>
  <c r="O16" i="1"/>
  <c r="L16" i="1"/>
  <c r="C34" i="11"/>
  <c r="N16" i="1"/>
  <c r="D37" i="69"/>
  <c r="C37" i="69" s="1"/>
  <c r="C48" i="15"/>
  <c r="C66" i="15" s="1"/>
  <c r="C48" i="67"/>
  <c r="C66" i="67" s="1"/>
  <c r="C19" i="68"/>
  <c r="C24" i="68" s="1"/>
  <c r="D37" i="68"/>
  <c r="C37" i="68" s="1"/>
  <c r="C8" i="68"/>
  <c r="C18" i="12"/>
  <c r="C36" i="43"/>
  <c r="G36" i="43" s="1"/>
  <c r="I36" i="43" s="1"/>
  <c r="C37" i="43"/>
  <c r="G37" i="43" s="1"/>
  <c r="I37" i="43" s="1"/>
  <c r="C34" i="43"/>
  <c r="G34" i="43" s="1"/>
  <c r="I34" i="43" s="1"/>
  <c r="C33" i="43"/>
  <c r="E33" i="43" s="1"/>
  <c r="C38" i="43"/>
  <c r="G38" i="43" s="1"/>
  <c r="I38" i="43" s="1"/>
  <c r="E39" i="43"/>
  <c r="G39" i="43"/>
  <c r="I39" i="43" s="1"/>
  <c r="T15" i="43"/>
  <c r="V15" i="43" s="1"/>
  <c r="T13" i="43"/>
  <c r="V13" i="43" s="1"/>
  <c r="T12" i="43"/>
  <c r="V12" i="43" s="1"/>
  <c r="T16" i="43"/>
  <c r="V16" i="43" s="1"/>
  <c r="T11" i="43"/>
  <c r="V11" i="43" s="1"/>
  <c r="T10" i="43"/>
  <c r="V10" i="43" s="1"/>
  <c r="T14" i="43"/>
  <c r="V14" i="43" s="1"/>
  <c r="T9" i="43"/>
  <c r="V9" i="43" s="1"/>
  <c r="T8" i="43"/>
  <c r="V8" i="43" s="1"/>
  <c r="E35" i="43"/>
  <c r="G35" i="43"/>
  <c r="I35" i="43" s="1"/>
  <c r="C18" i="67"/>
  <c r="C15" i="67"/>
  <c r="H20" i="6"/>
  <c r="R20" i="6" s="1"/>
  <c r="R7" i="1" s="1"/>
  <c r="AR7" i="1"/>
  <c r="AQ7" i="1"/>
  <c r="T7" i="1"/>
  <c r="R23" i="6"/>
  <c r="R24" i="6"/>
  <c r="D30" i="6"/>
  <c r="C4" i="52"/>
  <c r="B45" i="72" s="1"/>
  <c r="A10" i="51"/>
  <c r="B9" i="72" s="1"/>
  <c r="A7" i="51"/>
  <c r="B7" i="72" s="1"/>
  <c r="I19" i="6"/>
  <c r="L18" i="9" s="1"/>
  <c r="M27" i="6"/>
  <c r="D27" i="6"/>
  <c r="D16" i="6"/>
  <c r="R25" i="6"/>
  <c r="G68" i="39"/>
  <c r="F70" i="39"/>
  <c r="E54" i="34"/>
  <c r="F54" i="34" s="1"/>
  <c r="E53" i="34"/>
  <c r="F53" i="34" s="1"/>
  <c r="R49" i="33"/>
  <c r="E48" i="33"/>
  <c r="I52" i="33"/>
  <c r="J52" i="33" s="1"/>
  <c r="I53" i="33"/>
  <c r="J53" i="33" s="1"/>
  <c r="E40" i="36"/>
  <c r="F40" i="36" s="1"/>
  <c r="E41" i="36"/>
  <c r="F41" i="36" s="1"/>
  <c r="H48" i="35"/>
  <c r="R43" i="37"/>
  <c r="E42" i="37"/>
  <c r="C50" i="34"/>
  <c r="B2" i="34" s="1"/>
  <c r="B3" i="34" s="1"/>
  <c r="C49" i="34"/>
  <c r="F65" i="40"/>
  <c r="G63" i="40"/>
  <c r="G58" i="21"/>
  <c r="I53" i="34"/>
  <c r="J53" i="34" s="1"/>
  <c r="I54" i="34"/>
  <c r="J54" i="34" s="1"/>
  <c r="C36" i="36"/>
  <c r="C37" i="36"/>
  <c r="B2" i="36" s="1"/>
  <c r="B3" i="36" s="1"/>
  <c r="G52" i="33"/>
  <c r="H52" i="33" s="1"/>
  <c r="G53" i="33"/>
  <c r="H53" i="33" s="1"/>
  <c r="F41" i="68"/>
  <c r="C26" i="69"/>
  <c r="D22" i="69" s="1"/>
  <c r="C44" i="69"/>
  <c r="D41" i="69" s="1"/>
  <c r="C23" i="69"/>
  <c r="C24" i="69"/>
  <c r="C25" i="69"/>
  <c r="C44" i="68"/>
  <c r="D41" i="68" s="1"/>
  <c r="C26" i="68"/>
  <c r="D22" i="68" s="1"/>
  <c r="C26" i="12"/>
  <c r="D25" i="12" s="1"/>
  <c r="C44" i="11"/>
  <c r="D41" i="11" s="1"/>
  <c r="C23" i="11"/>
  <c r="C24" i="11"/>
  <c r="C25" i="11"/>
  <c r="C26" i="11"/>
  <c r="D22" i="11" s="1"/>
  <c r="C38" i="67"/>
  <c r="M21" i="67"/>
  <c r="F41" i="15"/>
  <c r="C34" i="68"/>
  <c r="C14" i="80"/>
  <c r="F27" i="68"/>
  <c r="C14" i="15"/>
  <c r="F35" i="67"/>
  <c r="F41" i="80"/>
  <c r="F10" i="40" l="1"/>
  <c r="S10" i="40" s="1"/>
  <c r="C14" i="74"/>
  <c r="B2" i="74" s="1"/>
  <c r="D8" i="74" s="1"/>
  <c r="J10" i="40"/>
  <c r="W10" i="40" s="1"/>
  <c r="H10" i="39"/>
  <c r="AB10" i="39" s="1"/>
  <c r="H10" i="40"/>
  <c r="AB10" i="40" s="1"/>
  <c r="J10" i="39"/>
  <c r="W10" i="39" s="1"/>
  <c r="C15" i="80"/>
  <c r="C18" i="80"/>
  <c r="F69" i="80"/>
  <c r="J29" i="80"/>
  <c r="L19" i="81"/>
  <c r="C60" i="80"/>
  <c r="J24" i="80"/>
  <c r="C33" i="69"/>
  <c r="C39" i="69" s="1"/>
  <c r="C43" i="69" s="1"/>
  <c r="C19" i="80"/>
  <c r="C20" i="80" s="1"/>
  <c r="C23" i="80" s="1"/>
  <c r="C29" i="11"/>
  <c r="D27" i="11" s="1"/>
  <c r="C28" i="11"/>
  <c r="C27" i="11" s="1"/>
  <c r="C47" i="11"/>
  <c r="D45" i="11" s="1"/>
  <c r="F45" i="68"/>
  <c r="C29" i="68"/>
  <c r="D27" i="68" s="1"/>
  <c r="C47" i="68"/>
  <c r="D45" i="68" s="1"/>
  <c r="C47" i="69"/>
  <c r="D45" i="69" s="1"/>
  <c r="F45" i="69"/>
  <c r="C29" i="69"/>
  <c r="D27" i="69" s="1"/>
  <c r="C35" i="68"/>
  <c r="C38" i="68"/>
  <c r="C12" i="12"/>
  <c r="C15" i="12"/>
  <c r="F50" i="68"/>
  <c r="F50" i="11"/>
  <c r="F50" i="69"/>
  <c r="C38" i="11"/>
  <c r="C35" i="11"/>
  <c r="C60" i="67"/>
  <c r="C60" i="15"/>
  <c r="F69" i="15"/>
  <c r="E36" i="43"/>
  <c r="G33" i="43"/>
  <c r="I33" i="43" s="1"/>
  <c r="E37" i="43"/>
  <c r="E34" i="43"/>
  <c r="E38" i="43"/>
  <c r="C19" i="67"/>
  <c r="C20" i="67" s="1"/>
  <c r="C26" i="67" s="1"/>
  <c r="J20" i="67"/>
  <c r="F63" i="67"/>
  <c r="C62" i="67" s="1"/>
  <c r="C34" i="67"/>
  <c r="C15" i="15"/>
  <c r="C18" i="15"/>
  <c r="T16" i="1"/>
  <c r="AC10" i="40"/>
  <c r="U10" i="39"/>
  <c r="S10" i="39"/>
  <c r="AA10" i="39"/>
  <c r="D31" i="6"/>
  <c r="I5" i="6" s="1"/>
  <c r="S19" i="6"/>
  <c r="S27" i="6" s="1"/>
  <c r="H19" i="6"/>
  <c r="L19" i="9" s="1"/>
  <c r="I27" i="6"/>
  <c r="I6" i="6"/>
  <c r="G70" i="39"/>
  <c r="H68" i="39"/>
  <c r="H58" i="21"/>
  <c r="C42" i="37"/>
  <c r="C43" i="37"/>
  <c r="B2" i="37" s="1"/>
  <c r="B3" i="37" s="1"/>
  <c r="I48" i="35"/>
  <c r="E53" i="33"/>
  <c r="F53" i="33" s="1"/>
  <c r="E52" i="33"/>
  <c r="F52" i="33" s="1"/>
  <c r="H63" i="40"/>
  <c r="G65" i="40"/>
  <c r="E47" i="37"/>
  <c r="F47" i="37" s="1"/>
  <c r="E46" i="37"/>
  <c r="F46" i="37" s="1"/>
  <c r="I47" i="37"/>
  <c r="J47" i="37" s="1"/>
  <c r="C48" i="33"/>
  <c r="C49" i="33"/>
  <c r="C22" i="69"/>
  <c r="C22" i="11"/>
  <c r="AA10" i="40" l="1"/>
  <c r="AC10" i="39"/>
  <c r="U10" i="40"/>
  <c r="C46" i="69"/>
  <c r="C45" i="69" s="1"/>
  <c r="C42" i="69"/>
  <c r="C41" i="69" s="1"/>
  <c r="C31" i="69"/>
  <c r="C31" i="11"/>
  <c r="C33" i="11"/>
  <c r="C33" i="68"/>
  <c r="C39" i="68" s="1"/>
  <c r="G3" i="43"/>
  <c r="C101" i="43" s="1"/>
  <c r="C26" i="80"/>
  <c r="C29" i="80" s="1"/>
  <c r="C16" i="12"/>
  <c r="C21" i="12" s="1"/>
  <c r="B2" i="33"/>
  <c r="B3" i="33" s="1"/>
  <c r="F22" i="43"/>
  <c r="C19" i="15"/>
  <c r="C20" i="15" s="1"/>
  <c r="C26" i="15" s="1"/>
  <c r="C23" i="67"/>
  <c r="C29" i="67" s="1"/>
  <c r="H27" i="6"/>
  <c r="R19" i="6"/>
  <c r="H70" i="39"/>
  <c r="I68" i="39"/>
  <c r="I63" i="40"/>
  <c r="H65" i="40"/>
  <c r="J48" i="35"/>
  <c r="I58" i="21"/>
  <c r="Z7" i="43" l="1"/>
  <c r="Z11" i="43"/>
  <c r="Z13" i="43" s="1"/>
  <c r="I101" i="43"/>
  <c r="G101" i="43"/>
  <c r="G107" i="43" s="1"/>
  <c r="H22" i="43"/>
  <c r="AC11" i="43"/>
  <c r="AC13" i="43" s="1"/>
  <c r="AF11" i="43"/>
  <c r="AF13" i="43" s="1"/>
  <c r="E22" i="43"/>
  <c r="L101" i="43"/>
  <c r="L107" i="43" s="1"/>
  <c r="AE11" i="43"/>
  <c r="AE13" i="43" s="1"/>
  <c r="AH11" i="43"/>
  <c r="AH13" i="43" s="1"/>
  <c r="N104" i="46"/>
  <c r="Y11" i="43"/>
  <c r="Y13" i="43" s="1"/>
  <c r="AG11" i="43"/>
  <c r="AG13" i="43" s="1"/>
  <c r="AB11" i="43"/>
  <c r="AB13" i="43" s="1"/>
  <c r="AJ11" i="43"/>
  <c r="AJ13" i="43" s="1"/>
  <c r="D101" i="43"/>
  <c r="D109" i="43" s="1"/>
  <c r="F101" i="43"/>
  <c r="F109" i="43" s="1"/>
  <c r="G22" i="43"/>
  <c r="J101" i="43"/>
  <c r="J102" i="43" s="1"/>
  <c r="AA11" i="43"/>
  <c r="AA13" i="43" s="1"/>
  <c r="AI11" i="43"/>
  <c r="AI13" i="43" s="1"/>
  <c r="AD11" i="43"/>
  <c r="AD13" i="43" s="1"/>
  <c r="E101" i="43"/>
  <c r="E104" i="43" s="1"/>
  <c r="K101" i="43"/>
  <c r="K102" i="43" s="1"/>
  <c r="B113" i="43"/>
  <c r="I115" i="43" s="1"/>
  <c r="J115" i="43" s="1"/>
  <c r="K115" i="43" s="1"/>
  <c r="L115" i="43" s="1"/>
  <c r="M115" i="43" s="1"/>
  <c r="C49" i="69"/>
  <c r="C51" i="69" s="1"/>
  <c r="C52" i="69" s="1"/>
  <c r="B2" i="69" s="1"/>
  <c r="B3" i="69" s="1"/>
  <c r="C42" i="68"/>
  <c r="M101" i="43"/>
  <c r="M109" i="43" s="1"/>
  <c r="N101" i="43"/>
  <c r="N104" i="43" s="1"/>
  <c r="H101" i="43"/>
  <c r="H104" i="43" s="1"/>
  <c r="C39" i="11"/>
  <c r="C42" i="11"/>
  <c r="C57" i="80"/>
  <c r="J14" i="80"/>
  <c r="C36" i="80"/>
  <c r="C13" i="80"/>
  <c r="Q49" i="80"/>
  <c r="J59" i="80"/>
  <c r="J60" i="80" s="1"/>
  <c r="J19" i="80"/>
  <c r="C22" i="12"/>
  <c r="C30" i="12" s="1"/>
  <c r="C28" i="12" s="1"/>
  <c r="C46" i="68"/>
  <c r="C45" i="68" s="1"/>
  <c r="C43" i="68"/>
  <c r="I104" i="43"/>
  <c r="I105" i="43"/>
  <c r="I106" i="43"/>
  <c r="I109" i="43"/>
  <c r="I107" i="43"/>
  <c r="I102" i="43"/>
  <c r="I103" i="43"/>
  <c r="L109" i="43"/>
  <c r="L102" i="43"/>
  <c r="L106" i="43"/>
  <c r="L105" i="43"/>
  <c r="G109" i="43"/>
  <c r="N102" i="43"/>
  <c r="D107" i="43"/>
  <c r="F103" i="43"/>
  <c r="K103" i="43"/>
  <c r="C103" i="43"/>
  <c r="C106" i="43"/>
  <c r="C102" i="43"/>
  <c r="C107" i="43"/>
  <c r="C104" i="43"/>
  <c r="C105" i="43"/>
  <c r="C109" i="43"/>
  <c r="C33" i="67"/>
  <c r="C31" i="67" s="1"/>
  <c r="C13" i="67"/>
  <c r="C57" i="67"/>
  <c r="J59" i="67"/>
  <c r="J60" i="67" s="1"/>
  <c r="Q48" i="67" s="1"/>
  <c r="C36" i="67"/>
  <c r="J14" i="67"/>
  <c r="Q49" i="67"/>
  <c r="J19" i="67"/>
  <c r="J17" i="67" s="1"/>
  <c r="C23" i="15"/>
  <c r="C29" i="15" s="1"/>
  <c r="J59" i="15" s="1"/>
  <c r="J60" i="15" s="1"/>
  <c r="Q48" i="15" s="1"/>
  <c r="R27" i="6"/>
  <c r="R6" i="1"/>
  <c r="I70" i="39"/>
  <c r="J68" i="39"/>
  <c r="J58" i="21"/>
  <c r="K48" i="35"/>
  <c r="I65" i="40"/>
  <c r="J63" i="40"/>
  <c r="M21" i="80"/>
  <c r="M21" i="15"/>
  <c r="F35" i="80"/>
  <c r="F35" i="15"/>
  <c r="G105" i="43" l="1"/>
  <c r="G106" i="43"/>
  <c r="G118" i="43"/>
  <c r="H118" i="43" s="1"/>
  <c r="I117" i="43"/>
  <c r="J117" i="43" s="1"/>
  <c r="K117" i="43" s="1"/>
  <c r="L117" i="43" s="1"/>
  <c r="M117" i="43" s="1"/>
  <c r="E106" i="43"/>
  <c r="I118" i="43"/>
  <c r="J118" i="43" s="1"/>
  <c r="K118" i="43" s="1"/>
  <c r="L118" i="43" s="1"/>
  <c r="M118" i="43" s="1"/>
  <c r="E103" i="43"/>
  <c r="J107" i="43"/>
  <c r="F106" i="43"/>
  <c r="N105" i="43"/>
  <c r="G103" i="43"/>
  <c r="G104" i="43"/>
  <c r="G102" i="43"/>
  <c r="D117" i="43"/>
  <c r="E117" i="43" s="1"/>
  <c r="F117" i="43" s="1"/>
  <c r="G117" i="43" s="1"/>
  <c r="H117" i="43" s="1"/>
  <c r="D116" i="43"/>
  <c r="E116" i="43" s="1"/>
  <c r="F116" i="43" s="1"/>
  <c r="G116" i="43" s="1"/>
  <c r="H116" i="43" s="1"/>
  <c r="B117" i="43"/>
  <c r="C117" i="43" s="1"/>
  <c r="E107" i="43"/>
  <c r="E109" i="43"/>
  <c r="J105" i="43"/>
  <c r="J104" i="43"/>
  <c r="F105" i="43"/>
  <c r="F102" i="43"/>
  <c r="N106" i="43"/>
  <c r="N103" i="43"/>
  <c r="H102" i="43"/>
  <c r="M105" i="43"/>
  <c r="H103" i="43"/>
  <c r="K107" i="43"/>
  <c r="K109" i="43"/>
  <c r="D102" i="43"/>
  <c r="D106" i="43"/>
  <c r="L103" i="43"/>
  <c r="L104" i="43"/>
  <c r="D118" i="43"/>
  <c r="E118" i="43" s="1"/>
  <c r="F118" i="43" s="1"/>
  <c r="I116" i="43"/>
  <c r="J116" i="43" s="1"/>
  <c r="K116" i="43" s="1"/>
  <c r="L116" i="43" s="1"/>
  <c r="M116" i="43" s="1"/>
  <c r="B116" i="43"/>
  <c r="C116" i="43" s="1"/>
  <c r="D115" i="43"/>
  <c r="E115" i="43" s="1"/>
  <c r="F115" i="43" s="1"/>
  <c r="G115" i="43" s="1"/>
  <c r="H115" i="43" s="1"/>
  <c r="B115" i="43"/>
  <c r="C115" i="43" s="1"/>
  <c r="B118" i="43"/>
  <c r="C118" i="43" s="1"/>
  <c r="E105" i="43"/>
  <c r="E102" i="43"/>
  <c r="J106" i="43"/>
  <c r="J109" i="43"/>
  <c r="J103" i="43"/>
  <c r="F107" i="43"/>
  <c r="F104" i="43"/>
  <c r="N109" i="43"/>
  <c r="N107" i="43"/>
  <c r="D22" i="43"/>
  <c r="H105" i="43"/>
  <c r="H107" i="43"/>
  <c r="K106" i="43"/>
  <c r="K105" i="43"/>
  <c r="K104" i="43"/>
  <c r="D104" i="43"/>
  <c r="D105" i="43"/>
  <c r="D103" i="43"/>
  <c r="M103" i="43"/>
  <c r="M106" i="43"/>
  <c r="C57" i="69"/>
  <c r="C56" i="69" s="1"/>
  <c r="H109" i="43"/>
  <c r="H106" i="43"/>
  <c r="M104" i="43"/>
  <c r="M102" i="43"/>
  <c r="M107" i="43"/>
  <c r="C41" i="68"/>
  <c r="C49" i="68" s="1"/>
  <c r="C51" i="68" s="1"/>
  <c r="C46" i="11"/>
  <c r="C45" i="11" s="1"/>
  <c r="C43" i="11"/>
  <c r="C41" i="11" s="1"/>
  <c r="Q48" i="80"/>
  <c r="L46" i="80"/>
  <c r="Q70" i="80"/>
  <c r="C75" i="80"/>
  <c r="C56" i="80"/>
  <c r="C65" i="80" s="1"/>
  <c r="C37" i="80"/>
  <c r="J22" i="80"/>
  <c r="J13" i="80"/>
  <c r="J23" i="80" s="1"/>
  <c r="C27" i="12"/>
  <c r="C25" i="12" s="1"/>
  <c r="C32" i="12" s="1"/>
  <c r="B2" i="12" s="1"/>
  <c r="B3" i="12" s="1"/>
  <c r="C61" i="80"/>
  <c r="C64" i="80"/>
  <c r="F63" i="80"/>
  <c r="C62" i="80" s="1"/>
  <c r="C34" i="80"/>
  <c r="C31" i="80" s="1"/>
  <c r="J20" i="80"/>
  <c r="J17" i="80" s="1"/>
  <c r="D113" i="43"/>
  <c r="J22" i="43" s="1"/>
  <c r="J20" i="15"/>
  <c r="F63" i="15"/>
  <c r="C62" i="15" s="1"/>
  <c r="C34" i="15"/>
  <c r="R16" i="1"/>
  <c r="J13" i="67"/>
  <c r="J23" i="67" s="1"/>
  <c r="J22" i="67"/>
  <c r="C56" i="67"/>
  <c r="C65" i="67" s="1"/>
  <c r="Q70" i="67"/>
  <c r="C75" i="67"/>
  <c r="C37" i="67"/>
  <c r="C30" i="67" s="1"/>
  <c r="C39" i="67" s="1"/>
  <c r="C61" i="67"/>
  <c r="C59" i="67" s="1"/>
  <c r="C64" i="67"/>
  <c r="J14" i="15"/>
  <c r="C36" i="15"/>
  <c r="C13" i="15"/>
  <c r="J19" i="15"/>
  <c r="C57" i="15"/>
  <c r="C33" i="15"/>
  <c r="Q49" i="15"/>
  <c r="K68" i="39"/>
  <c r="J70" i="39"/>
  <c r="K63" i="40"/>
  <c r="J65" i="40"/>
  <c r="L48" i="35"/>
  <c r="K58" i="21"/>
  <c r="L51" i="67"/>
  <c r="S5" i="43" l="1"/>
  <c r="T5" i="43" s="1"/>
  <c r="V5" i="43" s="1"/>
  <c r="S3" i="43"/>
  <c r="T3" i="43" s="1"/>
  <c r="V3" i="43" s="1"/>
  <c r="C23" i="43"/>
  <c r="C21" i="43" s="1"/>
  <c r="S7" i="43"/>
  <c r="T7" i="43" s="1"/>
  <c r="V7" i="43" s="1"/>
  <c r="S4" i="43"/>
  <c r="T4" i="43" s="1"/>
  <c r="V4" i="43" s="1"/>
  <c r="S6" i="43"/>
  <c r="T6" i="43" s="1"/>
  <c r="V6" i="43" s="1"/>
  <c r="S2" i="43"/>
  <c r="T2" i="43" s="1"/>
  <c r="V2" i="43" s="1"/>
  <c r="C59" i="80"/>
  <c r="C58" i="80" s="1"/>
  <c r="C67" i="80" s="1"/>
  <c r="C68" i="80" s="1"/>
  <c r="C71" i="80" s="1"/>
  <c r="C30" i="80"/>
  <c r="C39" i="80" s="1"/>
  <c r="Q69" i="80" s="1"/>
  <c r="Q68" i="80" s="1"/>
  <c r="J16" i="80"/>
  <c r="J25" i="80" s="1"/>
  <c r="C49" i="11"/>
  <c r="C51" i="11" s="1"/>
  <c r="C52" i="11" s="1"/>
  <c r="B2" i="11" s="1"/>
  <c r="B3" i="11" s="1"/>
  <c r="C31" i="15"/>
  <c r="J17" i="15"/>
  <c r="C58" i="67"/>
  <c r="C67" i="67" s="1"/>
  <c r="C68" i="67" s="1"/>
  <c r="C71" i="67" s="1"/>
  <c r="C80" i="67"/>
  <c r="C79" i="67" s="1"/>
  <c r="Q67" i="67"/>
  <c r="L57" i="67"/>
  <c r="L60" i="67" s="1"/>
  <c r="L46" i="67" s="1"/>
  <c r="Q69" i="67"/>
  <c r="Q68" i="67" s="1"/>
  <c r="C40" i="67"/>
  <c r="J16" i="67"/>
  <c r="J25" i="67" s="1"/>
  <c r="C61" i="15"/>
  <c r="C59" i="15" s="1"/>
  <c r="C64" i="15"/>
  <c r="Q70" i="15"/>
  <c r="C75" i="15"/>
  <c r="C56" i="15"/>
  <c r="C65" i="15" s="1"/>
  <c r="C37" i="15"/>
  <c r="J13" i="15"/>
  <c r="J23" i="15" s="1"/>
  <c r="J22" i="15"/>
  <c r="K70" i="39"/>
  <c r="L68" i="39"/>
  <c r="L58" i="21"/>
  <c r="M48" i="35"/>
  <c r="L63" i="40"/>
  <c r="K65" i="40"/>
  <c r="L51" i="80"/>
  <c r="C6" i="68" l="1"/>
  <c r="C7" i="68" s="1"/>
  <c r="C5" i="68" s="1"/>
  <c r="C29" i="43"/>
  <c r="C40" i="80"/>
  <c r="Q47" i="80" s="1"/>
  <c r="Q53" i="80" s="1"/>
  <c r="C80" i="80"/>
  <c r="C79" i="80" s="1"/>
  <c r="C56" i="11"/>
  <c r="C57" i="11" s="1"/>
  <c r="Q67" i="80"/>
  <c r="C30" i="15"/>
  <c r="C39" i="15" s="1"/>
  <c r="C80" i="15" s="1"/>
  <c r="C79" i="15" s="1"/>
  <c r="Q57" i="67"/>
  <c r="Q66" i="67"/>
  <c r="C43" i="67"/>
  <c r="Q47" i="67"/>
  <c r="Q53" i="67" s="1"/>
  <c r="Q65" i="67"/>
  <c r="D2" i="67"/>
  <c r="Q56" i="67"/>
  <c r="C83" i="67"/>
  <c r="C82" i="67" s="1"/>
  <c r="C45" i="67"/>
  <c r="C46" i="67" s="1"/>
  <c r="J16" i="15"/>
  <c r="J25" i="15" s="1"/>
  <c r="J26" i="15" s="1"/>
  <c r="J29" i="15" s="1"/>
  <c r="C58" i="15"/>
  <c r="C67" i="15" s="1"/>
  <c r="C68" i="15" s="1"/>
  <c r="L70" i="39"/>
  <c r="M68" i="39"/>
  <c r="M63" i="40"/>
  <c r="L65" i="40"/>
  <c r="N48" i="35"/>
  <c r="O48" i="35" s="1"/>
  <c r="F7" i="35"/>
  <c r="M58" i="21"/>
  <c r="N58" i="21" s="1"/>
  <c r="O58" i="21" s="1"/>
  <c r="H7" i="21" s="1"/>
  <c r="F7" i="21"/>
  <c r="J7" i="21"/>
  <c r="L51" i="15"/>
  <c r="Q62" i="67" l="1"/>
  <c r="E29" i="43"/>
  <c r="C26" i="43" s="1"/>
  <c r="C30" i="43"/>
  <c r="E30" i="43" s="1"/>
  <c r="C27" i="43" s="1"/>
  <c r="B2" i="43"/>
  <c r="C23" i="68"/>
  <c r="C20" i="68"/>
  <c r="C46" i="80"/>
  <c r="Q56" i="80"/>
  <c r="Q62" i="80" s="1"/>
  <c r="C83" i="80"/>
  <c r="C82" i="80" s="1"/>
  <c r="B2" i="80"/>
  <c r="C43" i="80"/>
  <c r="Q65" i="80"/>
  <c r="Q75" i="80" s="1"/>
  <c r="C40" i="15"/>
  <c r="Q56" i="15" s="1"/>
  <c r="L57" i="15"/>
  <c r="L60" i="15" s="1"/>
  <c r="L46" i="15" s="1"/>
  <c r="Q67" i="15"/>
  <c r="Q69" i="15"/>
  <c r="Q68" i="15" s="1"/>
  <c r="Q75" i="67"/>
  <c r="B3" i="67"/>
  <c r="B2" i="67"/>
  <c r="C71" i="15"/>
  <c r="M70" i="39"/>
  <c r="N68" i="39"/>
  <c r="AA7" i="21"/>
  <c r="R48" i="21" s="1"/>
  <c r="S7" i="21"/>
  <c r="AA7" i="35"/>
  <c r="R38" i="35" s="1"/>
  <c r="S7" i="35"/>
  <c r="W7" i="21"/>
  <c r="AC7" i="21"/>
  <c r="V48" i="21" s="1"/>
  <c r="I48" i="21" s="1"/>
  <c r="AB7" i="21"/>
  <c r="T48" i="21" s="1"/>
  <c r="G48" i="21" s="1"/>
  <c r="U7" i="21"/>
  <c r="J7" i="35"/>
  <c r="H7" i="35"/>
  <c r="N63" i="40"/>
  <c r="M65" i="40"/>
  <c r="E6" i="76"/>
  <c r="B6" i="76"/>
  <c r="AO7" i="1"/>
  <c r="B7" i="70" l="1"/>
  <c r="B3" i="80"/>
  <c r="B2" i="76"/>
  <c r="E2" i="76"/>
  <c r="C25" i="68"/>
  <c r="C22" i="68" s="1"/>
  <c r="B3" i="43"/>
  <c r="C28" i="68"/>
  <c r="C27" i="68" s="1"/>
  <c r="C46" i="15"/>
  <c r="Q65" i="15"/>
  <c r="C43" i="15"/>
  <c r="Q47" i="15"/>
  <c r="Q53" i="15" s="1"/>
  <c r="C83" i="15"/>
  <c r="C82" i="15" s="1"/>
  <c r="B2" i="15"/>
  <c r="Q57" i="15"/>
  <c r="Q62" i="15" s="1"/>
  <c r="Q66" i="15"/>
  <c r="O68" i="39"/>
  <c r="O70" i="39" s="1"/>
  <c r="N70" i="39"/>
  <c r="H7" i="39"/>
  <c r="F7" i="39"/>
  <c r="J7" i="39"/>
  <c r="N65" i="40"/>
  <c r="O63" i="40"/>
  <c r="O65" i="40" s="1"/>
  <c r="U7" i="35"/>
  <c r="AB7" i="35"/>
  <c r="T38" i="35" s="1"/>
  <c r="G38" i="35" s="1"/>
  <c r="I52" i="21"/>
  <c r="J52" i="21" s="1"/>
  <c r="W7" i="35"/>
  <c r="AC7" i="35"/>
  <c r="V38" i="35" s="1"/>
  <c r="I38" i="35" s="1"/>
  <c r="G52" i="21"/>
  <c r="H52" i="21" s="1"/>
  <c r="G53" i="21"/>
  <c r="H53" i="21" s="1"/>
  <c r="E38" i="35"/>
  <c r="R49" i="21"/>
  <c r="E48" i="21"/>
  <c r="D19" i="9"/>
  <c r="AO6" i="1"/>
  <c r="D19" i="81"/>
  <c r="B3" i="76" l="1"/>
  <c r="C31" i="68"/>
  <c r="C52" i="68" s="1"/>
  <c r="B2" i="68" s="1"/>
  <c r="D102" i="81"/>
  <c r="D21" i="81"/>
  <c r="R39" i="35"/>
  <c r="C38" i="35" s="1"/>
  <c r="Q75" i="15"/>
  <c r="D21" i="9"/>
  <c r="D102" i="9"/>
  <c r="B6" i="70"/>
  <c r="B2" i="70" s="1"/>
  <c r="B3" i="70" s="1"/>
  <c r="B3" i="15"/>
  <c r="AA7" i="39"/>
  <c r="R47" i="39" s="1"/>
  <c r="S7" i="39"/>
  <c r="AC7" i="39"/>
  <c r="V47" i="39" s="1"/>
  <c r="I47" i="39" s="1"/>
  <c r="W7" i="39"/>
  <c r="AB7" i="39"/>
  <c r="T47" i="39" s="1"/>
  <c r="G47" i="39" s="1"/>
  <c r="U7" i="39"/>
  <c r="C48" i="21"/>
  <c r="C49" i="21"/>
  <c r="B2" i="21" s="1"/>
  <c r="B3" i="21" s="1"/>
  <c r="E52" i="21"/>
  <c r="F52" i="21" s="1"/>
  <c r="E53" i="21"/>
  <c r="F53" i="21" s="1"/>
  <c r="E43" i="35"/>
  <c r="F43" i="35" s="1"/>
  <c r="E42" i="35"/>
  <c r="F42" i="35" s="1"/>
  <c r="I42" i="35"/>
  <c r="J42" i="35" s="1"/>
  <c r="I43" i="35"/>
  <c r="J43" i="35" s="1"/>
  <c r="I53" i="21"/>
  <c r="J53" i="21" s="1"/>
  <c r="G42" i="35"/>
  <c r="H42" i="35" s="1"/>
  <c r="G43" i="35"/>
  <c r="H43" i="35" s="1"/>
  <c r="J7" i="40"/>
  <c r="F7" i="40"/>
  <c r="H7" i="40"/>
  <c r="C19" i="9"/>
  <c r="D20" i="81"/>
  <c r="B3" i="68"/>
  <c r="D20" i="9"/>
  <c r="C57" i="68" l="1"/>
  <c r="C21" i="9"/>
  <c r="C102" i="9"/>
  <c r="D22" i="9"/>
  <c r="G19" i="9"/>
  <c r="D103" i="81"/>
  <c r="C39" i="35"/>
  <c r="B2" i="35" s="1"/>
  <c r="D103" i="9"/>
  <c r="G52" i="39"/>
  <c r="H52" i="39" s="1"/>
  <c r="G51" i="39"/>
  <c r="H51" i="39" s="1"/>
  <c r="I51" i="39"/>
  <c r="J51" i="39" s="1"/>
  <c r="R48" i="39"/>
  <c r="E47" i="39"/>
  <c r="U7" i="40"/>
  <c r="AB7" i="40"/>
  <c r="T42" i="40" s="1"/>
  <c r="G42" i="40" s="1"/>
  <c r="AC7" i="40"/>
  <c r="V42" i="40" s="1"/>
  <c r="I42" i="40" s="1"/>
  <c r="W7" i="40"/>
  <c r="AA7" i="40"/>
  <c r="R42" i="40" s="1"/>
  <c r="S7" i="40"/>
  <c r="C20" i="9"/>
  <c r="D35" i="81"/>
  <c r="C19" i="81"/>
  <c r="D35" i="9"/>
  <c r="D14" i="74" l="1"/>
  <c r="S4" i="83"/>
  <c r="C103" i="9"/>
  <c r="G20" i="9"/>
  <c r="C56" i="68"/>
  <c r="C32" i="9"/>
  <c r="C35" i="9" s="1"/>
  <c r="C34" i="9" s="1"/>
  <c r="G21" i="9"/>
  <c r="C21" i="81"/>
  <c r="C102" i="81"/>
  <c r="G19" i="81"/>
  <c r="D22" i="81"/>
  <c r="B3" i="35"/>
  <c r="E52" i="39"/>
  <c r="F52" i="39" s="1"/>
  <c r="E51" i="39"/>
  <c r="F51" i="39" s="1"/>
  <c r="I52" i="39"/>
  <c r="J52" i="39" s="1"/>
  <c r="C47" i="39"/>
  <c r="C48" i="39"/>
  <c r="R43" i="40"/>
  <c r="E42" i="40"/>
  <c r="I47" i="40" s="1"/>
  <c r="J47" i="40" s="1"/>
  <c r="I46" i="40"/>
  <c r="J46" i="40" s="1"/>
  <c r="G47" i="40"/>
  <c r="H47" i="40" s="1"/>
  <c r="G46" i="40"/>
  <c r="H46" i="40" s="1"/>
  <c r="D34" i="9"/>
  <c r="D34" i="81"/>
  <c r="C20" i="81"/>
  <c r="T4" i="83" l="1"/>
  <c r="G14" i="74"/>
  <c r="H14" i="74" s="1"/>
  <c r="C103" i="81"/>
  <c r="G20" i="81"/>
  <c r="G21" i="81"/>
  <c r="I21" i="81" s="1"/>
  <c r="C32" i="81"/>
  <c r="B59" i="39"/>
  <c r="F59" i="39" s="1"/>
  <c r="B62" i="39"/>
  <c r="F62" i="39" s="1"/>
  <c r="B61" i="39"/>
  <c r="F61" i="39" s="1"/>
  <c r="B58" i="39"/>
  <c r="F58" i="39" s="1"/>
  <c r="B65" i="39"/>
  <c r="F65" i="39" s="1"/>
  <c r="B56" i="39"/>
  <c r="F56" i="39" s="1"/>
  <c r="F66" i="39" s="1"/>
  <c r="B2" i="39" s="1"/>
  <c r="B3" i="39" s="1"/>
  <c r="B57" i="39"/>
  <c r="F57" i="39" s="1"/>
  <c r="B64" i="39"/>
  <c r="F64" i="39" s="1"/>
  <c r="B60" i="39"/>
  <c r="F60" i="39" s="1"/>
  <c r="B63" i="39"/>
  <c r="F63" i="39" s="1"/>
  <c r="C42" i="40"/>
  <c r="C43" i="40"/>
  <c r="E47" i="40"/>
  <c r="F47" i="40" s="1"/>
  <c r="E46" i="40"/>
  <c r="F46" i="40" s="1"/>
  <c r="C35" i="81" l="1"/>
  <c r="H118" i="8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18" i="9"/>
  <c r="F4" i="52" s="1"/>
  <c r="B51" i="72" s="1"/>
  <c r="D118" i="9"/>
  <c r="D119" i="9" s="1"/>
  <c r="D5" i="52" s="1"/>
  <c r="B49" i="72" s="1"/>
  <c r="H118" i="9"/>
  <c r="C104" i="9" s="1"/>
  <c r="C104" i="81" l="1"/>
  <c r="I118" i="81"/>
  <c r="H119" i="81"/>
  <c r="H101" i="81"/>
  <c r="F118" i="81"/>
  <c r="C34" i="81"/>
  <c r="D118" i="81" s="1"/>
  <c r="D119" i="81" s="1"/>
  <c r="H101" i="9"/>
  <c r="M48" i="9" s="1"/>
  <c r="I118" i="9"/>
  <c r="C105" i="9" s="1"/>
  <c r="G118" i="9"/>
  <c r="G4" i="52" s="1"/>
  <c r="B52" i="72" s="1"/>
  <c r="F119" i="9"/>
  <c r="F5" i="52" s="1"/>
  <c r="B53" i="72" s="1"/>
  <c r="D4" i="52"/>
  <c r="B47" i="72" s="1"/>
  <c r="H4" i="52"/>
  <c r="H119" i="9"/>
  <c r="H5" i="52" s="1"/>
  <c r="I4" i="52" l="1"/>
  <c r="H107" i="81"/>
  <c r="M48" i="81"/>
  <c r="D45" i="81"/>
  <c r="H109" i="81"/>
  <c r="H102" i="81"/>
  <c r="C105" i="81"/>
  <c r="G118" i="81"/>
  <c r="E118" i="81" s="1"/>
  <c r="F119" i="81"/>
  <c r="E118" i="9"/>
  <c r="E4" i="52" s="1"/>
  <c r="B48" i="72" s="1"/>
  <c r="H109" i="9"/>
  <c r="D124" i="9" s="1"/>
  <c r="H102" i="9"/>
  <c r="D7" i="53" s="1"/>
  <c r="B21" i="72" s="1"/>
  <c r="D5" i="53"/>
  <c r="B20" i="72" s="1"/>
  <c r="H107" i="9"/>
  <c r="D122" i="9" s="1"/>
  <c r="D45" i="9"/>
  <c r="C93" i="9" s="1"/>
  <c r="C86" i="9" s="1"/>
  <c r="F14" i="74"/>
  <c r="B5" i="74"/>
  <c r="E14" i="74"/>
  <c r="D16" i="53"/>
  <c r="D124" i="81" l="1"/>
  <c r="D125" i="81" s="1"/>
  <c r="M49" i="81"/>
  <c r="H110" i="81"/>
  <c r="D52" i="81"/>
  <c r="C85" i="81"/>
  <c r="C64" i="81"/>
  <c r="C63" i="81" s="1"/>
  <c r="C67" i="81" s="1"/>
  <c r="D53" i="81"/>
  <c r="C78" i="81"/>
  <c r="C73" i="81" s="1"/>
  <c r="C93" i="81"/>
  <c r="C86" i="81" s="1"/>
  <c r="C72" i="81"/>
  <c r="D55" i="81"/>
  <c r="M53" i="81" s="1"/>
  <c r="H108" i="81"/>
  <c r="D122" i="81"/>
  <c r="D123" i="81" s="1"/>
  <c r="M49" i="9"/>
  <c r="L63" i="9" s="1"/>
  <c r="M63" i="9" s="1"/>
  <c r="H110" i="9"/>
  <c r="D18" i="53" s="1"/>
  <c r="B35" i="72" s="1"/>
  <c r="H108" i="9"/>
  <c r="D15" i="53" s="1"/>
  <c r="B31" i="72" s="1"/>
  <c r="D13" i="53"/>
  <c r="B30" i="72" s="1"/>
  <c r="D53" i="9"/>
  <c r="D52" i="9"/>
  <c r="C64" i="9"/>
  <c r="C63" i="9" s="1"/>
  <c r="C67" i="9" s="1"/>
  <c r="D59" i="9" s="1"/>
  <c r="M55" i="9" s="1"/>
  <c r="C72" i="9"/>
  <c r="D6" i="53"/>
  <c r="B22" i="72" s="1"/>
  <c r="C85" i="9"/>
  <c r="C95" i="9" s="1"/>
  <c r="C78" i="9"/>
  <c r="C73" i="9" s="1"/>
  <c r="D55" i="9"/>
  <c r="M53" i="9" s="1"/>
  <c r="C68" i="9"/>
  <c r="D54" i="9" s="1"/>
  <c r="D8" i="52"/>
  <c r="B6" i="74"/>
  <c r="D123" i="9"/>
  <c r="D9" i="52" s="1"/>
  <c r="D10" i="52"/>
  <c r="B7" i="74"/>
  <c r="D125" i="9"/>
  <c r="D11" i="52" s="1"/>
  <c r="B34" i="72"/>
  <c r="D17" i="53"/>
  <c r="B36" i="72" s="1"/>
  <c r="C5" i="74"/>
  <c r="D5" i="74"/>
  <c r="C96" i="9"/>
  <c r="E96" i="9" s="1"/>
  <c r="E97" i="9" s="1"/>
  <c r="C79" i="81" l="1"/>
  <c r="C68" i="81"/>
  <c r="D54" i="81" s="1"/>
  <c r="D59" i="81"/>
  <c r="M55" i="81" s="1"/>
  <c r="L66" i="81"/>
  <c r="M66" i="81" s="1"/>
  <c r="L64" i="81"/>
  <c r="M64" i="81" s="1"/>
  <c r="L67" i="81"/>
  <c r="M67" i="81" s="1"/>
  <c r="L65" i="81"/>
  <c r="M65" i="81" s="1"/>
  <c r="L68" i="81"/>
  <c r="M68" i="81" s="1"/>
  <c r="L63" i="81"/>
  <c r="M63" i="81" s="1"/>
  <c r="C95" i="81"/>
  <c r="D14" i="53"/>
  <c r="B32" i="72" s="1"/>
  <c r="L64" i="9"/>
  <c r="M64" i="9" s="1"/>
  <c r="L67" i="9"/>
  <c r="M67" i="9" s="1"/>
  <c r="L68" i="9"/>
  <c r="M68" i="9" s="1"/>
  <c r="L66" i="9"/>
  <c r="M66" i="9" s="1"/>
  <c r="L65" i="9"/>
  <c r="M65" i="9" s="1"/>
  <c r="C79" i="9"/>
  <c r="C80" i="9" s="1"/>
  <c r="E80" i="9" s="1"/>
  <c r="E81" i="9" s="1"/>
  <c r="C7" i="74"/>
  <c r="D7" i="74"/>
  <c r="C97" i="9"/>
  <c r="D58" i="9" s="1"/>
  <c r="D56" i="9" s="1"/>
  <c r="M54" i="9" s="1"/>
  <c r="N57" i="9" s="1"/>
  <c r="C6" i="74"/>
  <c r="D6" i="74"/>
  <c r="C80" i="81" l="1"/>
  <c r="E80" i="81" s="1"/>
  <c r="E81" i="81" s="1"/>
  <c r="C81" i="81"/>
  <c r="M69" i="81"/>
  <c r="N69" i="81" s="1"/>
  <c r="C96" i="81"/>
  <c r="E96" i="81" s="1"/>
  <c r="E97" i="81" s="1"/>
  <c r="M69" i="9"/>
  <c r="N69" i="9" s="1"/>
  <c r="C81" i="9"/>
  <c r="N58" i="9"/>
  <c r="P57" i="9"/>
  <c r="N59" i="9"/>
  <c r="C97" i="81" l="1"/>
  <c r="D58" i="81" s="1"/>
  <c r="D56" i="81" s="1"/>
  <c r="M54" i="81" s="1"/>
  <c r="N57" i="81" s="1"/>
  <c r="P57" i="81" s="1"/>
  <c r="N60" i="9"/>
  <c r="N61" i="9"/>
  <c r="N58" i="81" l="1"/>
  <c r="N59" i="81"/>
  <c r="N60" i="81" s="1"/>
  <c r="N61" i="81" l="1"/>
  <c r="S21" i="83" l="1"/>
  <c r="T21" i="83" l="1"/>
  <c r="S24"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<sst xmlns="http://schemas.openxmlformats.org/spreadsheetml/2006/main" count="8216" uniqueCount="3237">
  <si>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</si>
  <si>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</si>
  <si>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</si>
  <si>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</si>
  <si>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</si>
  <si>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</si>
  <si>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</si>
  <si>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</si>
  <si>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</si>
  <si>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</si>
  <si>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</si>
  <si>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</si>
  <si>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</si>
  <si>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</si>
  <si>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</si>
  <si>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</si>
  <si>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</si>
  <si>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</si>
  <si>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</si>
  <si>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</si>
  <si>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</si>
  <si>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</si>
  <si>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</si>
  <si>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</si>
  <si>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</si>
  <si>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</si>
  <si>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</si>
  <si>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</si>
  <si>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</si>
  <si>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</si>
  <si>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</si>
  <si>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</si>
  <si>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</si>
  <si>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</si>
  <si>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</si>
  <si>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</si>
  <si>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</si>
  <si>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</si>
  <si>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</si>
  <si>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</si>
  <si>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</si>
  <si>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</si>
  <si>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</si>
  <si>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</si>
  <si>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</si>
  <si>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</si>
  <si>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</si>
  <si>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</si>
  <si>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</si>
  <si>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</si>
  <si>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</si>
  <si>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</si>
  <si>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</si>
  <si>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</si>
  <si>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</si>
  <si>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</si>
  <si>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</si>
  <si>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</si>
  <si>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</si>
  <si>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</si>
  <si>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</si>
  <si>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</si>
  <si>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</si>
  <si>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</si>
  <si>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</si>
  <si>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</si>
  <si>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</si>
  <si>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</si>
  <si>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</si>
  <si>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</si>
  <si>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</si>
  <si>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</si>
  <si>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</si>
  <si>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</si>
  <si>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</si>
  <si>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</si>
  <si>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</si>
  <si>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</si>
  <si>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</si>
  <si>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</si>
  <si>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</si>
  <si>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</si>
  <si>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</si>
  <si>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</si>
  <si>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</si>
  <si>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</si>
  <si>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</si>
  <si>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</si>
  <si>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</si>
  <si>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</si>
  <si>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</si>
  <si>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</si>
  <si>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</si>
  <si>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</si>
  <si>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</si>
  <si>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</si>
  <si>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</si>
  <si>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</si>
  <si>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</si>
  <si>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</si>
  <si>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</si>
  <si>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</si>
  <si>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</si>
  <si>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</si>
  <si>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</si>
  <si>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</si>
  <si>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</si>
  <si>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</si>
  <si>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</si>
  <si>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</si>
  <si>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</si>
  <si>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</si>
  <si>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</si>
  <si>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</si>
  <si>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</si>
  <si>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</si>
  <si>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</si>
  <si>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</si>
  <si>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</si>
  <si>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</si>
  <si>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</si>
  <si>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</si>
  <si>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</si>
  <si>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</si>
  <si>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</si>
  <si>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</si>
  <si>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</si>
  <si>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</si>
  <si>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</si>
  <si>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</si>
  <si>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</si>
  <si>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</si>
  <si>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</si>
  <si>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</si>
  <si>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</si>
  <si>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</si>
  <si>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</si>
  <si>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</si>
  <si>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</si>
  <si>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</si>
  <si>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</si>
  <si>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</si>
  <si>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</si>
  <si>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</si>
  <si>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</si>
  <si>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</si>
  <si>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</si>
  <si>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</si>
  <si>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</si>
  <si>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</si>
  <si>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</si>
  <si>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</si>
  <si>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</si>
  <si>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</si>
  <si>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</si>
  <si>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</si>
  <si>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</si>
  <si>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</si>
  <si>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</si>
  <si>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</si>
  <si>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</si>
  <si>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</si>
  <si>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</si>
  <si>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</si>
  <si>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</si>
  <si>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</si>
  <si>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</si>
  <si>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</si>
  <si>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</si>
  <si>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</si>
  <si>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</si>
  <si>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</si>
  <si>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</si>
  <si>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</si>
  <si>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</si>
  <si>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</si>
  <si>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</si>
  <si>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</si>
  <si>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</si>
  <si>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</si>
  <si>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</si>
  <si>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</si>
  <si>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</si>
  <si>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</si>
  <si>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</si>
  <si>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</si>
  <si>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</si>
  <si>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</si>
  <si>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</si>
  <si>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</si>
  <si>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</si>
  <si>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</si>
  <si>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</si>
  <si>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</si>
  <si>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</si>
  <si>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</si>
  <si>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</si>
  <si>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</si>
  <si>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</si>
  <si>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</si>
  <si>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</si>
  <si>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</si>
  <si>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</si>
  <si>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</si>
  <si>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</si>
  <si>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</si>
  <si>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</si>
  <si>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</si>
  <si>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</si>
  <si>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</si>
  <si>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</si>
  <si>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</si>
  <si>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</si>
  <si>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</si>
  <si>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</si>
  <si>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</si>
  <si>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</si>
  <si>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</si>
  <si>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</si>
  <si>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</si>
  <si>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</si>
  <si>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</si>
  <si>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</si>
  <si>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</si>
  <si>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</si>
  <si>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</si>
  <si>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</si>
  <si>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</si>
  <si>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</si>
  <si>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</si>
  <si>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</si>
  <si>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</si>
  <si>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</si>
  <si>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</si>
  <si>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</si>
  <si>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</si>
  <si>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</si>
  <si>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</si>
  <si>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</si>
  <si>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</si>
  <si>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</si>
  <si>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</si>
  <si>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</si>
  <si>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</si>
  <si>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</si>
  <si>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</si>
  <si>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</si>
  <si>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</si>
  <si>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</si>
  <si>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</si>
  <si>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</si>
  <si>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</si>
  <si>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</si>
  <si>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</si>
  <si>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</si>
  <si>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</si>
  <si>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</si>
  <si>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</si>
  <si>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</si>
  <si>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</si>
  <si>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</si>
  <si>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</si>
  <si>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</si>
  <si>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</si>
  <si>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</si>
  <si>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</si>
  <si>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</si>
  <si>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</si>
  <si>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</si>
  <si>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</si>
  <si>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</si>
  <si>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</si>
  <si>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</si>
  <si>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</si>
  <si>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</si>
  <si>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</si>
  <si>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</si>
  <si>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</si>
  <si>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</si>
  <si>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</si>
  <si>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</si>
  <si>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</si>
  <si>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</si>
  <si>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</si>
  <si>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</si>
  <si>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</si>
  <si>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</si>
  <si>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</si>
  <si>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</si>
  <si>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</si>
  <si>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</si>
  <si>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</si>
  <si>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</si>
  <si>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</si>
  <si>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</si>
  <si>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</si>
  <si>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</si>
  <si>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</si>
  <si>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</si>
  <si>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</si>
  <si>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</si>
  <si>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</si>
  <si>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</si>
  <si>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</si>
  <si>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</si>
  <si>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</si>
  <si>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</si>
  <si>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</si>
  <si>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</si>
  <si>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</si>
  <si>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</si>
  <si>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</si>
  <si>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</si>
  <si>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</si>
  <si>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</si>
  <si>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</si>
  <si>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</si>
  <si>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</si>
  <si>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</si>
  <si>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</si>
  <si>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</si>
  <si>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</si>
  <si>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</si>
  <si>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</si>
  <si>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</si>
  <si>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</si>
  <si>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</si>
  <si>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</si>
  <si>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</si>
  <si>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</si>
  <si>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</si>
  <si>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</si>
  <si>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</si>
  <si>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</si>
  <si>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</si>
  <si>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</si>
  <si>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</si>
  <si>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</si>
  <si>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</si>
  <si>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</si>
  <si>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</si>
  <si>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</si>
  <si>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</si>
  <si>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</si>
  <si>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</si>
  <si>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</si>
  <si>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</si>
  <si>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</si>
  <si>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</si>
  <si>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</si>
  <si>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</si>
  <si>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</si>
  <si>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</si>
  <si>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</si>
  <si>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</si>
  <si>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</si>
  <si>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</si>
  <si>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</si>
  <si>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</si>
  <si>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</si>
  <si>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</si>
  <si>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</si>
  <si>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</si>
  <si>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</si>
  <si>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</si>
  <si>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</si>
  <si>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</si>
  <si>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</si>
  <si>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</si>
  <si>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</si>
  <si>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</si>
  <si>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</si>
  <si>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</si>
  <si>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</si>
  <si>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</si>
  <si>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</si>
  <si>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</si>
  <si>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</si>
  <si>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</si>
  <si>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</si>
  <si>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</si>
  <si>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</si>
  <si>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</si>
  <si>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</si>
  <si>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</si>
  <si>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</si>
  <si>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</si>
  <si>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</si>
  <si>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</si>
  <si>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</si>
  <si>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</si>
  <si>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</si>
  <si>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</si>
  <si>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</si>
  <si>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</si>
  <si>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</si>
  <si>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</si>
  <si>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</si>
  <si>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</si>
  <si>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</si>
  <si>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</si>
  <si>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</si>
  <si>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</si>
  <si>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</si>
  <si>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</si>
  <si>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</si>
  <si>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</si>
  <si>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</si>
  <si>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</si>
  <si>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</si>
  <si>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</si>
  <si>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</si>
  <si>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</si>
  <si>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</si>
  <si>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</si>
  <si>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</si>
  <si>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</si>
  <si>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</si>
  <si>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</si>
  <si>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</si>
  <si>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</si>
  <si>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</si>
  <si>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</si>
  <si>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</si>
  <si>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</si>
  <si>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</si>
  <si>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</si>
  <si>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</si>
  <si>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</si>
  <si>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</si>
  <si>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</si>
  <si>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</si>
  <si>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</si>
  <si>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</si>
  <si>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</si>
  <si>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</si>
  <si>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</si>
  <si>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</si>
  <si>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</si>
  <si>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</si>
  <si>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</si>
  <si>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</si>
  <si>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</si>
  <si>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</si>
  <si>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</si>
  <si>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</si>
  <si>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</si>
  <si>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</si>
  <si>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</si>
  <si>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</si>
  <si>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</si>
  <si>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</si>
  <si>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</si>
  <si>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</si>
  <si>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</si>
  <si>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</si>
  <si>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</si>
  <si>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</si>
  <si>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</si>
  <si>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</si>
  <si>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</si>
  <si>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</si>
  <si>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</si>
  <si>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</si>
  <si>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</si>
  <si>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</si>
  <si>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</si>
  <si>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</si>
  <si>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</si>
  <si>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</si>
  <si>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</si>
  <si>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</si>
  <si>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</si>
  <si>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</si>
  <si>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</si>
  <si>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</si>
  <si>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</si>
  <si>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</si>
  <si>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</si>
  <si>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</si>
  <si>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</si>
  <si>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</si>
  <si>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</si>
  <si>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</si>
  <si>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</si>
  <si>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</si>
  <si>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</si>
  <si>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</si>
  <si>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</si>
  <si>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</si>
  <si>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</si>
  <si>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</si>
  <si>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</si>
  <si>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</si>
  <si>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</si>
  <si>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</si>
  <si>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</si>
  <si>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</si>
  <si>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</si>
  <si>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</si>
  <si>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</si>
  <si>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</si>
  <si>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</si>
  <si>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</si>
  <si>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</si>
  <si>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</si>
  <si>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</si>
  <si>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</si>
  <si>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</si>
  <si>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</si>
  <si>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</si>
  <si>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</si>
  <si>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</si>
  <si>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</si>
  <si>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</si>
  <si>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</si>
  <si>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</si>
  <si>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</si>
  <si>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</si>
  <si>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</si>
  <si>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</si>
  <si>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</si>
  <si>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</si>
  <si>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</si>
  <si>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</si>
  <si>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</si>
  <si>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</si>
  <si>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</si>
  <si>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</si>
  <si>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</si>
  <si>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</si>
  <si>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</si>
  <si>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</si>
  <si>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</si>
  <si>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</si>
  <si>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</si>
  <si>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</si>
  <si>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</si>
  <si>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</si>
  <si>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</si>
  <si>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</si>
  <si>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</si>
  <si>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</si>
  <si>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</si>
  <si>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</si>
  <si>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</si>
  <si>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</si>
  <si>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</si>
  <si>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</si>
  <si>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</si>
  <si>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</si>
  <si>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</si>
  <si>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</si>
  <si>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</si>
  <si>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</si>
  <si>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</si>
  <si>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</si>
  <si>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</si>
  <si>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</si>
  <si>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</si>
  <si>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</si>
  <si>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</si>
  <si>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</si>
  <si>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</si>
  <si>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</si>
  <si>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</si>
  <si>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</si>
  <si>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</si>
  <si>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</si>
  <si>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</si>
  <si>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</si>
  <si>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</si>
  <si>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</si>
  <si>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</si>
  <si>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</si>
  <si>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</si>
  <si>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</si>
  <si>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</si>
  <si>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</si>
  <si>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</si>
  <si>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</si>
  <si>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</si>
  <si>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</si>
  <si>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</si>
  <si>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</si>
  <si>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</si>
  <si>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</si>
  <si>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</si>
  <si>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</si>
  <si>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</si>
  <si>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</si>
  <si>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</si>
  <si>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</si>
  <si>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</si>
  <si>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</si>
  <si>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</si>
  <si>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</si>
  <si>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</si>
  <si>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</si>
  <si>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</si>
  <si>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</si>
  <si>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</si>
  <si>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</si>
  <si>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</si>
  <si>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</si>
  <si>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</si>
  <si>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</si>
  <si>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</si>
  <si>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</si>
  <si>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</si>
  <si>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</si>
  <si>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</si>
  <si>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</si>
  <si>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</si>
  <si>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</si>
  <si>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</si>
  <si>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</si>
  <si>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</si>
  <si>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</si>
  <si>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</si>
  <si>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</si>
  <si>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</si>
  <si>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</si>
  <si>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</si>
  <si>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</si>
  <si>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</si>
  <si>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</si>
  <si>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</si>
  <si>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</si>
  <si>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</si>
  <si>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</si>
  <si>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</si>
  <si>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</si>
  <si>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</si>
  <si>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</si>
  <si>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</si>
  <si>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</si>
  <si>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</si>
  <si>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</si>
  <si>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</si>
  <si>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</si>
  <si>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</si>
  <si>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</si>
  <si>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</si>
  <si>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</si>
  <si>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</si>
  <si>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</si>
  <si>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</si>
  <si>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</si>
  <si>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</si>
  <si>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</si>
  <si>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</si>
  <si>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</si>
  <si>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</si>
  <si>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</si>
  <si>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</si>
  <si>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</si>
  <si>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</si>
  <si>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</si>
  <si>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</si>
  <si>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</si>
  <si>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</si>
  <si>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</si>
  <si>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</si>
  <si>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</si>
  <si>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</si>
  <si>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</si>
  <si>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</si>
  <si>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</si>
  <si>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</si>
  <si>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</si>
  <si>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</si>
  <si>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</si>
  <si>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</si>
  <si>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</si>
  <si>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</si>
  <si>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</si>
  <si>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</si>
  <si>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</si>
  <si>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</si>
  <si>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</si>
  <si>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</si>
  <si>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</si>
  <si>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</si>
  <si>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</si>
  <si>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</si>
  <si>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</si>
  <si>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</si>
  <si>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</si>
  <si>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</si>
  <si>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</si>
  <si>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</si>
  <si>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</si>
  <si>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</si>
  <si>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</si>
  <si>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</si>
  <si>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</si>
  <si>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</si>
  <si>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</si>
  <si>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</si>
  <si>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</si>
  <si>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</si>
  <si>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</si>
  <si>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</si>
  <si>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</si>
  <si>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</si>
  <si>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</si>
  <si>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</si>
  <si>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</si>
  <si>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</si>
  <si>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</si>
  <si>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</si>
  <si>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</si>
  <si>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</si>
  <si>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</si>
  <si>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</si>
  <si>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</si>
  <si>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</si>
  <si>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</si>
  <si>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</si>
  <si>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</si>
  <si>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</si>
  <si>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</si>
  <si>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</si>
  <si>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</si>
  <si>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</si>
  <si>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</si>
  <si>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</si>
  <si>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</si>
  <si>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</si>
  <si>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</si>
  <si>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</si>
  <si>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</si>
  <si>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</si>
  <si>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</si>
  <si>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</si>
  <si>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</si>
  <si>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</si>
  <si>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</si>
  <si>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</si>
  <si>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</si>
  <si>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</si>
  <si>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</si>
  <si>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</si>
  <si>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</si>
  <si>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</si>
  <si>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</si>
  <si>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</si>
  <si>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</si>
  <si>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</si>
  <si>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</si>
  <si>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</si>
  <si>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</si>
  <si>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</si>
  <si>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</si>
  <si>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</si>
  <si>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</si>
  <si>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</si>
  <si>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</si>
  <si>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</si>
  <si>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</si>
  <si>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</si>
  <si>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</si>
  <si>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</si>
  <si>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</si>
  <si>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</si>
  <si>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</si>
  <si>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</si>
  <si>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</si>
  <si>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</si>
  <si>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</si>
  <si>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</si>
  <si>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</si>
  <si>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</si>
  <si>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</si>
  <si>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</si>
  <si>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</si>
  <si>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</si>
  <si>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</si>
  <si>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</si>
  <si>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</si>
  <si>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</si>
  <si>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</si>
  <si>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</si>
  <si>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</si>
  <si>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</si>
  <si>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</si>
  <si>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</si>
  <si>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</si>
  <si>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</si>
  <si>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</si>
  <si>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</si>
  <si>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</si>
  <si>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</si>
  <si>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</si>
  <si>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</si>
  <si>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</si>
  <si>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</si>
  <si>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</si>
  <si>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</si>
  <si>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</si>
  <si>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</si>
  <si>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</si>
  <si>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</si>
  <si>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</si>
  <si>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</si>
  <si>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</si>
  <si>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</si>
  <si>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</si>
  <si>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</si>
  <si>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</si>
  <si>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</si>
  <si>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</si>
  <si>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</si>
  <si>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</si>
  <si>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</si>
  <si>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</si>
  <si>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</si>
  <si>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</si>
  <si>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</si>
  <si>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</si>
  <si>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</si>
  <si>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</si>
  <si>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</si>
  <si>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</si>
  <si>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</si>
  <si>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</si>
  <si>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</si>
  <si>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</si>
  <si>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</si>
  <si>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</si>
  <si>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</si>
  <si>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</si>
  <si>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</si>
  <si>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</si>
  <si>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</si>
  <si>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</si>
  <si>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</si>
  <si>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</si>
  <si>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</si>
  <si>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</si>
  <si>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</si>
  <si>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</si>
  <si>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</si>
  <si>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</si>
  <si>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</si>
  <si>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</si>
  <si>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</si>
  <si>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</si>
  <si>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</si>
  <si>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</si>
  <si>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</si>
  <si>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</si>
  <si>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</si>
  <si>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</si>
  <si>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</si>
  <si>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</si>
  <si>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</si>
  <si>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</si>
  <si>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</si>
  <si>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</si>
  <si>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</si>
  <si>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</si>
  <si>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</si>
  <si>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</si>
  <si>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</si>
  <si>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</si>
  <si>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</si>
  <si>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</si>
  <si>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</si>
  <si>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</si>
  <si>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</si>
  <si>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</si>
  <si>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</si>
  <si>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</si>
  <si>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</si>
  <si>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</si>
  <si>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</si>
  <si>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</si>
  <si>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</si>
  <si>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</si>
  <si>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</si>
  <si>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</si>
  <si>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</si>
  <si>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</si>
  <si>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</si>
  <si>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</si>
  <si>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</si>
  <si>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</si>
  <si>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</si>
  <si>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</si>
  <si>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</si>
  <si>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</si>
  <si>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</si>
  <si>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</si>
  <si>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</si>
  <si>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</si>
  <si>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</si>
  <si>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</si>
  <si>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</si>
  <si>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</si>
  <si>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</si>
  <si>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</si>
  <si>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</si>
  <si>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</si>
  <si>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</si>
  <si>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</si>
  <si>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</si>
  <si>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</si>
  <si>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</si>
  <si>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</si>
  <si>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</si>
  <si>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</si>
  <si>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</si>
  <si>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</si>
  <si>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</si>
  <si>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</si>
  <si>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</si>
  <si>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</si>
  <si>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</si>
  <si>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</si>
  <si>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</si>
  <si>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</si>
  <si>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</si>
  <si>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</si>
  <si>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</si>
  <si>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</si>
  <si>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</si>
  <si>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</si>
  <si>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</si>
  <si>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</si>
  <si>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</si>
  <si>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</si>
  <si>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</si>
  <si>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</si>
  <si>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</si>
  <si>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</si>
  <si>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</si>
  <si>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</si>
  <si>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</si>
  <si>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</si>
  <si>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</si>
  <si>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</si>
  <si>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</si>
  <si>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</si>
  <si>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</si>
  <si>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</si>
  <si>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</si>
  <si>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</si>
  <si>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</si>
  <si>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</si>
  <si>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</si>
  <si>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</si>
  <si>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</si>
  <si>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</si>
  <si>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</si>
  <si>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</si>
  <si>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</si>
  <si>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</si>
  <si>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</si>
  <si>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</si>
  <si>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</si>
  <si>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</si>
  <si>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</si>
  <si>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</si>
  <si>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</si>
  <si>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</si>
  <si>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</si>
  <si>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</si>
  <si>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</si>
  <si>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</si>
  <si>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</si>
  <si>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</si>
  <si>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</si>
  <si>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</si>
  <si>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</si>
  <si>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</si>
  <si>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</si>
  <si>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</si>
  <si>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</si>
  <si>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</si>
  <si>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</si>
  <si>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</si>
  <si>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</si>
  <si>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</si>
  <si>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</si>
  <si>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</si>
  <si>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</si>
  <si>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</si>
  <si>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</si>
  <si>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</si>
  <si>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</si>
  <si>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</si>
  <si>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</si>
  <si>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</si>
  <si>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</si>
  <si>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</si>
  <si>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</si>
  <si>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</si>
  <si>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</si>
  <si>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</si>
  <si>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</si>
  <si>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</si>
  <si>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</si>
  <si>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</si>
  <si>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</si>
  <si>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</si>
  <si>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</si>
  <si>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</si>
  <si>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</si>
  <si>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</si>
  <si>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</si>
  <si>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</si>
  <si>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</si>
  <si>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</si>
  <si>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</si>
  <si>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</si>
  <si>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</si>
  <si>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</si>
  <si>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</si>
  <si>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</si>
  <si>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</si>
  <si>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</si>
  <si>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</si>
  <si>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</si>
  <si>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</si>
  <si>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</si>
  <si>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</si>
  <si>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</si>
  <si>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</si>
  <si>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</si>
  <si>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</si>
  <si>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</si>
  <si>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</si>
  <si>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</si>
  <si>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</si>
  <si>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</si>
  <si>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</si>
  <si>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</si>
  <si>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</si>
  <si>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</si>
  <si>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</si>
  <si>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</si>
  <si>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</si>
  <si>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</si>
  <si>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</si>
  <si>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</si>
  <si>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</si>
  <si>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</si>
  <si>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</si>
  <si>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</si>
  <si>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</si>
  <si>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</si>
  <si>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</si>
  <si>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</si>
  <si>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</si>
  <si>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</si>
  <si>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</si>
  <si>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</si>
  <si>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</si>
  <si>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</si>
  <si>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</si>
  <si>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</si>
  <si>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</si>
  <si>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</si>
  <si>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</si>
  <si>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</si>
  <si>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</si>
  <si>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</si>
  <si>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</si>
  <si>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</si>
  <si>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</si>
  <si>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</si>
  <si>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</si>
  <si>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</si>
  <si>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</si>
  <si>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</si>
  <si>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</si>
  <si>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</si>
  <si>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</si>
  <si>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</si>
  <si>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</si>
  <si>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</si>
  <si>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</si>
  <si>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</si>
  <si>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</si>
  <si>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</si>
  <si>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</si>
  <si>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</si>
  <si>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</si>
  <si>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</si>
  <si>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</si>
  <si>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</si>
  <si>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</si>
  <si>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</si>
  <si>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</si>
  <si>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</si>
  <si>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</si>
  <si>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</si>
  <si>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</si>
  <si>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</si>
  <si>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</si>
  <si>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</si>
  <si>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</si>
  <si>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</si>
  <si>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</si>
  <si>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</si>
  <si>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</si>
  <si>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</si>
  <si>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</si>
  <si>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</si>
  <si>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</si>
  <si>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</si>
  <si>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</si>
  <si>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</si>
  <si>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</si>
  <si>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</si>
  <si>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</si>
  <si>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</si>
  <si>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</si>
  <si>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</si>
  <si>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</si>
  <si>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</si>
  <si>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</si>
  <si>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</si>
  <si>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</si>
  <si>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</si>
  <si>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</si>
  <si>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</si>
  <si>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</si>
  <si>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</si>
  <si>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</si>
  <si>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</si>
  <si>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</si>
  <si>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</si>
  <si>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</si>
  <si>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</si>
  <si>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</si>
  <si>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</si>
  <si>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</si>
  <si>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</si>
  <si>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</si>
  <si>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</si>
  <si>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</si>
  <si>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</si>
  <si>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</si>
  <si>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</si>
  <si>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</si>
  <si>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</si>
  <si>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</si>
  <si>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</si>
  <si>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</si>
  <si>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</si>
  <si>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</si>
  <si>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</si>
  <si>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</si>
  <si>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</si>
  <si>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</si>
  <si>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</si>
  <si>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</si>
  <si>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</si>
  <si>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</si>
  <si>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</si>
  <si>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</si>
  <si>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</si>
  <si>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</si>
  <si>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</si>
  <si>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</si>
  <si>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</si>
  <si>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</si>
  <si>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</si>
  <si>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</si>
  <si>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</si>
  <si>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</si>
  <si>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</si>
  <si>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</si>
  <si>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</si>
  <si>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</si>
  <si>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</si>
  <si>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</si>
  <si>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</si>
  <si>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</si>
  <si>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</si>
  <si>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</si>
  <si>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</si>
  <si>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</si>
  <si>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</si>
  <si>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</si>
  <si>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</si>
  <si>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</si>
  <si>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</si>
  <si>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</si>
  <si>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</si>
  <si>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</si>
  <si>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</si>
  <si>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</si>
  <si>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</si>
  <si>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</si>
  <si>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</si>
  <si>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</si>
  <si>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</si>
  <si>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</si>
  <si>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</si>
  <si>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</si>
  <si>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</si>
  <si>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</si>
  <si>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</si>
  <si>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</si>
  <si>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</si>
  <si>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</si>
  <si>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</si>
  <si>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</si>
  <si>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</si>
  <si>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</si>
  <si>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</si>
  <si>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</si>
  <si>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</si>
  <si>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</si>
  <si>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</si>
  <si>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</si>
  <si>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</si>
  <si>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</si>
  <si>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</si>
  <si>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</si>
  <si>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</si>
  <si>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</si>
  <si>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</si>
  <si>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</si>
  <si>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</si>
  <si>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</si>
  <si>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</si>
  <si>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</si>
  <si>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</si>
  <si>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</si>
  <si>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</si>
  <si>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</si>
  <si>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</si>
  <si>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</si>
  <si>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</si>
  <si>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</si>
  <si>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</si>
  <si>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</si>
  <si>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</si>
  <si>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</si>
  <si>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</si>
  <si>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</si>
  <si>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</si>
  <si>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</si>
  <si>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</si>
  <si>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</si>
  <si>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</si>
  <si>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</si>
  <si>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</si>
  <si>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</si>
  <si>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</si>
  <si>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</si>
  <si>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</si>
  <si>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</si>
  <si>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</si>
  <si>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</si>
  <si>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</si>
  <si>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</si>
  <si>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</si>
  <si>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</si>
  <si>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</si>
  <si>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</si>
  <si>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</si>
  <si>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</si>
  <si>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</si>
  <si>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</si>
  <si>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</si>
  <si>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</si>
  <si>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</si>
  <si>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</si>
  <si>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</si>
  <si>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</si>
  <si>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</si>
  <si>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</si>
  <si>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</si>
  <si>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</si>
  <si>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</si>
  <si>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</si>
  <si>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</si>
  <si>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</si>
  <si>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</si>
  <si>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</si>
  <si>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</si>
  <si>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</si>
  <si>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</si>
  <si>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</si>
  <si>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</si>
  <si>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</si>
  <si>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</si>
  <si>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</si>
  <si>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</si>
  <si>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</si>
  <si>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</si>
  <si>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</si>
  <si>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</si>
  <si>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</si>
  <si>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</si>
  <si>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</si>
  <si>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</si>
  <si>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</si>
  <si>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</si>
  <si>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</si>
  <si>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</si>
  <si>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</si>
  <si>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</si>
  <si>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</si>
  <si>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</si>
  <si>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</si>
  <si>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</si>
  <si>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</si>
  <si>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</si>
  <si>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</si>
  <si>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</si>
  <si>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</si>
  <si>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</si>
  <si>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</si>
  <si>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</si>
  <si>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</si>
  <si>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</si>
  <si>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</si>
  <si>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</si>
  <si>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</si>
  <si>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</si>
  <si>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</si>
  <si>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</si>
  <si>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</si>
  <si>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</si>
  <si>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</si>
  <si>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</si>
  <si>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</si>
  <si>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</si>
  <si>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</si>
  <si>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</si>
  <si>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</si>
  <si>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</si>
  <si>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</si>
  <si>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</si>
  <si>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</si>
  <si>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</si>
  <si>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</si>
  <si>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</si>
  <si>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</si>
  <si>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</si>
  <si>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</si>
  <si>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</si>
  <si>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</si>
  <si>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</si>
  <si>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</si>
  <si>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</si>
  <si>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</si>
  <si>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</si>
  <si>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</si>
  <si>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</si>
  <si>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</si>
  <si>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</si>
  <si>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</si>
  <si>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</si>
  <si>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</si>
  <si>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</si>
  <si>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</si>
  <si>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</si>
  <si>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</si>
  <si>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</si>
  <si>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</si>
  <si>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</si>
  <si>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</si>
  <si>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</si>
  <si>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</si>
  <si>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</si>
  <si>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</si>
  <si>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</si>
  <si>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</si>
  <si>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</si>
  <si>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</si>
  <si>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</si>
  <si>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</si>
  <si>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</si>
  <si>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</si>
  <si>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</si>
  <si>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</si>
  <si>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</si>
  <si>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</si>
  <si>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</si>
  <si>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</si>
  <si>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</si>
  <si>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</si>
  <si>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</si>
  <si>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</si>
  <si>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</si>
  <si>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</si>
  <si>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</si>
  <si>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</si>
  <si>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</si>
  <si>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</si>
  <si>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</si>
  <si>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</si>
  <si>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</si>
  <si>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</si>
  <si>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</si>
  <si>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</si>
  <si>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</si>
  <si>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</si>
  <si>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</si>
  <si>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</si>
  <si>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</si>
  <si>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</si>
  <si>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</si>
  <si>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</si>
  <si>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</si>
  <si>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</si>
  <si>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</si>
  <si>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</si>
  <si>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</si>
  <si>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</si>
  <si>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</si>
  <si>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</si>
  <si>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</si>
  <si>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</si>
  <si>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</si>
  <si>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</si>
  <si>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</si>
  <si>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</si>
  <si>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</si>
  <si>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</si>
  <si>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</si>
  <si>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</si>
  <si>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</si>
  <si>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</si>
  <si>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</si>
  <si>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</si>
  <si>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</si>
  <si>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</si>
  <si>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</si>
  <si>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</si>
  <si>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</si>
  <si>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</si>
  <si>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</si>
  <si>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</si>
  <si>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</si>
  <si>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</si>
  <si>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</si>
  <si>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</si>
  <si>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</si>
  <si>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</si>
  <si>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</si>
  <si>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</si>
  <si>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</si>
  <si>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</si>
  <si>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</si>
  <si>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</si>
  <si>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</si>
  <si>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</si>
  <si>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</si>
  <si>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</si>
  <si>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</si>
  <si>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</si>
  <si>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</si>
  <si>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</si>
  <si>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</si>
  <si>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</si>
  <si>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</si>
  <si>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</si>
  <si>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</si>
  <si>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</si>
  <si>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</si>
  <si>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</si>
  <si>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</si>
  <si>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</si>
  <si>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</si>
  <si>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</si>
  <si>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</si>
  <si>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</si>
  <si>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</si>
  <si>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</si>
  <si>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</si>
  <si>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</si>
  <si>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</si>
  <si>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</si>
  <si>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</si>
  <si>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</si>
  <si>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</si>
  <si>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</si>
  <si>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</si>
  <si>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</si>
  <si>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</si>
  <si>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</si>
  <si>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</si>
  <si>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</si>
  <si>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</si>
  <si>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</si>
  <si>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</si>
  <si>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</si>
  <si>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</si>
  <si>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</si>
  <si>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</si>
  <si>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</si>
  <si>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</si>
  <si>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</si>
  <si>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</si>
  <si>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</si>
  <si>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</si>
  <si>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</si>
  <si>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</si>
  <si>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</si>
  <si>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</si>
  <si>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</si>
  <si>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</si>
  <si>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</si>
  <si>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</si>
  <si>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</si>
  <si>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</si>
  <si>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</si>
  <si>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</si>
  <si>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</si>
  <si>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</si>
  <si>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</si>
  <si>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</si>
  <si>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</si>
  <si>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</si>
  <si>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</si>
  <si>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</si>
  <si>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</si>
  <si>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</si>
  <si>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</si>
  <si>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</si>
  <si>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</si>
  <si>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</si>
  <si>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</si>
  <si>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</si>
  <si>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</si>
  <si>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</si>
  <si>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</si>
  <si>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</si>
  <si>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</si>
  <si>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</si>
  <si>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</si>
  <si>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</si>
  <si>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</si>
  <si>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</si>
  <si>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</si>
  <si>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</si>
  <si>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</si>
  <si>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</si>
  <si>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</si>
  <si>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</si>
  <si>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</si>
  <si>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</si>
  <si>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</si>
  <si>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</si>
  <si>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</si>
  <si>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</si>
  <si>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</si>
  <si>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</si>
  <si>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</si>
  <si>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</si>
  <si>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</si>
  <si>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</si>
  <si>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</si>
  <si>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</si>
  <si>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</si>
  <si>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</si>
  <si>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</si>
  <si>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</si>
  <si>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</si>
  <si>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</si>
  <si>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</si>
  <si>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</si>
  <si>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</si>
  <si>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</si>
  <si>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</si>
  <si>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</si>
  <si>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</si>
  <si>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</si>
  <si>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</si>
  <si>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</si>
  <si>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</si>
  <si>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</si>
  <si>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</si>
  <si>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</si>
  <si>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</si>
  <si>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</si>
  <si>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</si>
  <si>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</si>
  <si>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</si>
  <si>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</si>
  <si>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</si>
  <si>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</si>
  <si>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</si>
  <si>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</si>
  <si>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</si>
  <si>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</si>
  <si>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</si>
  <si>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</si>
  <si>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</si>
  <si>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</si>
  <si>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</si>
  <si>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</si>
  <si>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</si>
  <si>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</si>
  <si>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</si>
  <si>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</si>
  <si>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</si>
  <si>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</si>
  <si>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</si>
  <si>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</si>
  <si>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</si>
  <si>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</si>
  <si>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</si>
  <si>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</si>
  <si>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</si>
  <si>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</si>
  <si>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</si>
  <si>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</si>
  <si>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</si>
  <si>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</si>
  <si>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</si>
  <si>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</si>
  <si>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</si>
  <si>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</si>
  <si>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</si>
  <si>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</si>
  <si>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</si>
  <si>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</si>
  <si>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</si>
  <si>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</si>
  <si>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</si>
  <si>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</si>
  <si>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</si>
  <si>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</si>
  <si>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</si>
  <si>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</si>
  <si>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</si>
  <si>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</si>
  <si>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</si>
  <si>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</si>
  <si>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</si>
  <si>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</si>
  <si>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</si>
  <si>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</si>
  <si>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</si>
  <si>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</si>
  <si>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</si>
  <si>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</si>
  <si>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</si>
  <si>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</si>
  <si>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</si>
  <si>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</si>
  <si>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</si>
  <si>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</si>
  <si>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</si>
  <si>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</si>
  <si>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</si>
  <si>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</si>
  <si>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</si>
  <si>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</si>
  <si>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</si>
  <si>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</si>
  <si>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</si>
  <si>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</si>
  <si>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</si>
  <si>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</si>
  <si>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</si>
  <si>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</si>
  <si>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</si>
  <si>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</si>
  <si>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</si>
  <si>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</si>
  <si>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</si>
  <si>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</si>
  <si>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</si>
  <si>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</si>
  <si>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</si>
  <si>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</si>
  <si>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</si>
  <si>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</si>
  <si>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</si>
  <si>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</si>
  <si>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</si>
  <si>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</si>
  <si>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</si>
  <si>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</si>
  <si>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</si>
  <si>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</si>
  <si>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</si>
  <si>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</si>
  <si>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</si>
  <si>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</si>
  <si>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</si>
  <si>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</si>
  <si>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</si>
  <si>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</si>
  <si>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</si>
  <si>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</si>
  <si>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</si>
  <si>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</si>
  <si>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</si>
  <si>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</si>
  <si>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</si>
  <si>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</si>
  <si>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</si>
  <si>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</si>
  <si>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</si>
  <si>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</si>
  <si>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</si>
  <si>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</si>
  <si>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</si>
  <si>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</si>
  <si>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</si>
  <si>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</si>
  <si>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</si>
  <si>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</si>
  <si>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</si>
  <si>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</si>
  <si>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</si>
  <si>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</si>
  <si>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</si>
  <si>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</si>
  <si>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</si>
  <si>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</si>
  <si>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</si>
  <si>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</si>
  <si>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</si>
  <si>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</si>
  <si>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</si>
  <si>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</si>
  <si>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</si>
  <si>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</si>
  <si>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</si>
  <si>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</si>
  <si>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</si>
  <si>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</si>
  <si>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</si>
  <si>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</si>
  <si>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</si>
  <si>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</si>
  <si>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</si>
  <si>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</si>
  <si>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</si>
  <si>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</si>
  <si>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</si>
  <si>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</si>
  <si>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</si>
  <si>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</si>
  <si>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</si>
  <si>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</si>
  <si>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</si>
  <si>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</si>
  <si>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</si>
  <si>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</si>
  <si>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</si>
  <si>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</si>
  <si>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</si>
  <si>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</si>
  <si>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</si>
  <si>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</si>
  <si>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</si>
  <si>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</si>
  <si>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</si>
  <si>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</si>
  <si>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</si>
  <si>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</si>
  <si>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</si>
  <si>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</si>
  <si>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</si>
  <si>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</si>
  <si>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</si>
  <si>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</si>
  <si>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</si>
  <si>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</si>
  <si>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</si>
  <si>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</si>
  <si>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</si>
  <si>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</si>
  <si>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</si>
  <si>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</si>
  <si>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</si>
  <si>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</si>
  <si>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</si>
  <si>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</si>
  <si>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</si>
  <si>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</si>
  <si>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</si>
  <si>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</si>
  <si>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</si>
  <si>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</si>
  <si>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</si>
  <si>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</si>
  <si>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</si>
  <si>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</si>
  <si>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</si>
  <si>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</si>
  <si>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</si>
  <si>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</si>
  <si>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</si>
  <si>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</si>
  <si>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</si>
  <si>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</si>
  <si>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</si>
  <si>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</si>
  <si>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</si>
  <si>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</si>
  <si>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</si>
  <si>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</si>
  <si>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</si>
  <si>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</si>
  <si>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</si>
  <si>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</si>
  <si>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</si>
  <si>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</si>
  <si>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</si>
  <si>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</si>
  <si>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</si>
  <si>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</si>
  <si>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</si>
  <si>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</si>
  <si>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</si>
  <si>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</si>
  <si>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</si>
  <si>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</si>
  <si>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</si>
  <si>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</si>
  <si>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</si>
  <si>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</si>
  <si>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</si>
  <si>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</si>
  <si>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</si>
  <si>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</si>
  <si>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</si>
  <si>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</si>
  <si>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</si>
  <si>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</si>
  <si>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</si>
  <si>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</si>
  <si>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</si>
  <si>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</si>
  <si>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</si>
  <si>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</si>
  <si>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</si>
  <si>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</si>
  <si>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</si>
  <si>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</si>
  <si>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</si>
  <si>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</si>
  <si>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</si>
  <si>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</si>
  <si>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</si>
  <si>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</si>
  <si>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</si>
  <si>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</si>
  <si>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</si>
  <si>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</si>
  <si>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</si>
  <si>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</si>
  <si>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</si>
  <si>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</si>
  <si>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</si>
  <si>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</si>
  <si>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</si>
  <si>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</si>
  <si>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</si>
  <si>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</si>
  <si>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</si>
  <si>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</si>
  <si>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</si>
  <si>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</si>
  <si>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</si>
  <si>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</si>
  <si>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</si>
  <si>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</si>
  <si>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</si>
  <si>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</si>
  <si>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</si>
  <si>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</si>
  <si>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</si>
  <si>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</si>
  <si>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</si>
  <si>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</si>
  <si>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</si>
  <si>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</si>
  <si>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</si>
  <si>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</si>
  <si>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</si>
  <si>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</si>
  <si>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</si>
  <si>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</si>
  <si>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</si>
  <si>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</si>
  <si>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</si>
  <si>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</si>
  <si>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</si>
  <si>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</si>
  <si>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</si>
  <si>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</si>
  <si>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</si>
  <si>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</si>
  <si>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</si>
  <si>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</si>
  <si>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</si>
  <si>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</si>
  <si>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</si>
  <si>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</si>
  <si>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</si>
  <si>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</si>
  <si>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</si>
  <si>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</si>
  <si>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</si>
  <si>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</si>
  <si>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</si>
  <si>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</si>
  <si>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</si>
  <si>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</si>
  <si>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</si>
  <si>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</si>
  <si>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</si>
  <si>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</si>
  <si>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</si>
  <si>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</si>
  <si>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</si>
  <si>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</si>
  <si>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</si>
  <si>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</si>
  <si>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</si>
  <si>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</si>
  <si>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</si>
  <si>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</si>
  <si>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</si>
  <si>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</si>
  <si>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</si>
  <si>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</si>
  <si>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</si>
  <si>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</si>
  <si>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</si>
  <si>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</si>
  <si>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</si>
  <si>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</si>
  <si>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</si>
  <si>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</si>
  <si>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</si>
  <si>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</si>
  <si>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</si>
  <si>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</si>
  <si>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</si>
  <si>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</si>
  <si>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</si>
  <si>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</si>
  <si>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</si>
  <si>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</si>
  <si>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</si>
  <si>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</si>
  <si>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</si>
  <si>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</si>
  <si>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</si>
  <si>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</si>
  <si>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</si>
  <si>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</si>
  <si>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</si>
  <si>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</si>
  <si>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</si>
  <si>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</si>
  <si>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</si>
  <si>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</si>
  <si>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</si>
  <si>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</si>
  <si>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</si>
  <si>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</si>
  <si>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</si>
  <si>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</si>
  <si>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</si>
  <si>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</si>
  <si>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</si>
  <si>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</si>
  <si>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</si>
  <si>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</si>
  <si>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</si>
  <si>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</si>
  <si>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</si>
  <si>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</si>
  <si>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</si>
  <si>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</si>
  <si>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</si>
  <si>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</si>
  <si>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</si>
  <si>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</si>
  <si>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</si>
  <si>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</si>
  <si>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</si>
  <si>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</si>
  <si>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</si>
  <si>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</si>
  <si>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</si>
  <si>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</si>
  <si>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</si>
  <si>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</si>
  <si>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</si>
  <si>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</si>
  <si>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</si>
  <si>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</si>
  <si>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</si>
  <si>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</si>
  <si>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</si>
  <si>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</si>
  <si>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</si>
  <si>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</si>
  <si>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</si>
  <si>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</si>
  <si>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</si>
  <si>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</si>
  <si>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</si>
  <si>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</si>
  <si>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</si>
  <si>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</si>
  <si>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</si>
  <si>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</si>
  <si>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</si>
  <si>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</si>
  <si>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</si>
  <si>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</si>
  <si>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</si>
  <si>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</si>
  <si>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</si>
  <si>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</si>
  <si>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</si>
  <si>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</si>
  <si>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</si>
  <si>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</si>
  <si>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</si>
  <si>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</si>
  <si>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</si>
  <si>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</si>
  <si>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</si>
  <si>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</si>
  <si>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</si>
  <si>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</si>
  <si>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</si>
  <si>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</si>
  <si>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</si>
  <si>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</si>
  <si>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</si>
  <si>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</si>
  <si>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</si>
  <si>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</si>
  <si>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</si>
  <si>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</si>
  <si>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</si>
  <si>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</si>
  <si>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</si>
  <si>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</si>
  <si>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</si>
  <si>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</si>
  <si>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</si>
  <si>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</si>
  <si>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</si>
  <si>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</si>
  <si>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</si>
  <si>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</si>
  <si>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</si>
  <si>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</si>
  <si>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</si>
  <si>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</si>
  <si>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</si>
  <si>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</si>
  <si>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</si>
  <si>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</si>
  <si>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</si>
  <si>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</si>
  <si>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</si>
  <si>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</si>
  <si>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</si>
  <si>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</si>
  <si>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</si>
  <si>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</si>
  <si>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</si>
  <si>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</si>
  <si>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</si>
  <si>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</si>
  <si>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</si>
  <si>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</si>
  <si>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</si>
  <si>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</si>
  <si>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</si>
  <si>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</si>
  <si>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</si>
  <si>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</si>
  <si>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</si>
  <si>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</si>
  <si>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</si>
  <si>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</si>
  <si>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</si>
  <si>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</si>
  <si>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</si>
  <si>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</si>
  <si>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</si>
  <si>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</si>
  <si>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</si>
  <si>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</si>
  <si>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</si>
  <si>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</si>
  <si>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</si>
  <si>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</si>
  <si>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</si>
  <si>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</si>
  <si>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</si>
  <si>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</si>
  <si>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</si>
  <si>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</si>
  <si>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</si>
  <si>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</si>
  <si>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</si>
  <si>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</si>
  <si>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</si>
  <si>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</si>
  <si>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</si>
  <si>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</si>
  <si>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</si>
  <si>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</si>
  <si>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</si>
  <si>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</si>
  <si>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</si>
  <si>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</si>
  <si>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</si>
  <si>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</si>
  <si>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</si>
  <si>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</si>
  <si>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</si>
  <si>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</si>
  <si>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</si>
  <si>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</si>
  <si>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</si>
  <si>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</si>
  <si>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</si>
  <si>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</si>
  <si>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</si>
  <si>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</si>
  <si>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</si>
  <si>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</si>
  <si>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</si>
  <si>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</si>
  <si>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</si>
  <si>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</si>
  <si>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</si>
  <si>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</si>
  <si>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</si>
  <si>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</si>
  <si>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</si>
  <si>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</si>
  <si>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</si>
  <si>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</si>
  <si>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</si>
  <si>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</si>
  <si>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</si>
  <si>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</si>
  <si>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</si>
  <si>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</si>
  <si>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</si>
  <si>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</si>
  <si>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</si>
  <si>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</si>
  <si>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</si>
  <si>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</si>
  <si>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</si>
  <si>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</si>
  <si>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</si>
  <si>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</si>
  <si>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</si>
  <si>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</si>
  <si>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</si>
  <si>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</si>
  <si>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</si>
  <si>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</si>
  <si>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</si>
  <si>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</si>
  <si>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</si>
  <si>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</si>
  <si>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</si>
  <si>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</si>
  <si>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</si>
  <si>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</si>
  <si>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</si>
  <si>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</si>
  <si>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</si>
  <si>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</si>
  <si>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</si>
  <si>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</si>
  <si>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</si>
  <si>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</si>
  <si>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</si>
  <si>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</si>
  <si>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</si>
  <si>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</si>
  <si>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</si>
  <si>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</si>
  <si>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</si>
  <si>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</si>
  <si>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</si>
  <si>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</si>
  <si>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</si>
  <si>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</si>
  <si>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</si>
  <si>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</si>
  <si>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</si>
  <si>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</si>
  <si>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</si>
  <si>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</si>
  <si>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</si>
  <si>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</si>
  <si>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</si>
  <si>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</si>
  <si>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</si>
  <si>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</si>
  <si>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</si>
  <si>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</si>
  <si>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</si>
  <si>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</si>
  <si>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</si>
  <si>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</si>
  <si>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</si>
  <si>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</si>
  <si>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</si>
  <si>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</si>
  <si>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</si>
  <si>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</si>
  <si>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</si>
  <si>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</si>
  <si>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</si>
  <si>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</si>
  <si>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</si>
  <si>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</si>
  <si>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</si>
  <si>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</si>
  <si>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</si>
  <si>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</si>
  <si>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</si>
  <si>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</si>
  <si>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</si>
  <si>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</si>
  <si>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</si>
  <si>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</si>
  <si>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</si>
  <si>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</si>
  <si>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</si>
  <si>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</si>
  <si>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</si>
  <si>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</si>
  <si>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</si>
  <si>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</si>
  <si>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</si>
  <si>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</si>
  <si>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</si>
  <si>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</si>
  <si>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</si>
  <si>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</si>
  <si>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</si>
  <si>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</si>
  <si>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</si>
  <si>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</si>
  <si>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</si>
  <si>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</si>
  <si>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</si>
  <si>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</si>
  <si>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</si>
  <si>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</si>
  <si>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</si>
  <si>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</si>
  <si>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</si>
  <si>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</si>
  <si>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</si>
  <si>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</si>
  <si>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</si>
  <si>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</si>
  <si>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</si>
  <si>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</si>
  <si>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</si>
  <si>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</si>
  <si>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</si>
  <si>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</si>
  <si>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</si>
  <si>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</si>
  <si>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</si>
  <si>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</si>
  <si>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</si>
  <si>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</si>
  <si>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</si>
  <si>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</si>
  <si>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</si>
  <si>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</si>
  <si>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</si>
  <si>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</si>
  <si>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</si>
  <si>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</si>
  <si>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</si>
  <si>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</si>
  <si>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</si>
  <si>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</si>
  <si>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</si>
  <si>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</si>
  <si>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</si>
  <si>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</si>
  <si>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</si>
  <si>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</si>
  <si>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</si>
  <si>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</si>
  <si>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</si>
  <si>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</si>
  <si>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</si>
  <si>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</si>
  <si>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</si>
  <si>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</si>
  <si>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</si>
  <si>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</si>
  <si>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</si>
  <si>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</si>
  <si>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</si>
  <si>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</si>
  <si>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</si>
  <si>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</si>
  <si>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</si>
  <si>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</si>
  <si>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</si>
  <si>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</si>
  <si>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</si>
  <si>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</si>
  <si>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</si>
  <si>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</si>
  <si>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</si>
  <si>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</si>
  <si>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</si>
  <si>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</si>
  <si>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</si>
  <si>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</si>
  <si>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</si>
  <si>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</si>
  <si>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</si>
  <si>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</si>
  <si>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</si>
  <si>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</si>
  <si>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</si>
  <si>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</si>
  <si>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</si>
  <si>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</si>
  <si>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</si>
  <si>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</si>
  <si>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</si>
  <si>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</si>
  <si>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</si>
  <si>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</si>
  <si>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</si>
  <si>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</si>
  <si>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</si>
  <si>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</si>
  <si>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</si>
  <si>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</si>
  <si>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</si>
  <si>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</si>
  <si>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</si>
  <si>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</si>
  <si>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</si>
  <si>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</si>
  <si>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</si>
  <si>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</si>
  <si>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</si>
  <si>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</si>
  <si>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</si>
  <si>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</si>
  <si>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</si>
  <si>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</si>
  <si>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</si>
  <si>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</si>
  <si>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</si>
  <si>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</si>
  <si>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</si>
  <si>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</si>
  <si>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</si>
  <si>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</si>
  <si>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</si>
  <si>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</si>
  <si>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</si>
  <si>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</si>
  <si>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</si>
  <si>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</si>
  <si>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</si>
  <si>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</si>
  <si>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</si>
  <si>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</si>
  <si>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</si>
  <si>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</si>
  <si>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</si>
  <si>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</si>
  <si>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</si>
  <si>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</si>
  <si>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</si>
  <si>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</si>
  <si>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</si>
  <si>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</si>
  <si>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</si>
  <si>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</si>
  <si>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</si>
  <si>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</si>
  <si>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</si>
  <si>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</si>
  <si>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</si>
  <si>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</si>
  <si>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</si>
  <si>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</si>
  <si>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</si>
  <si>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</si>
  <si>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</si>
  <si>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</si>
  <si>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</si>
  <si>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</si>
  <si>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</si>
  <si>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</si>
  <si>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</si>
  <si>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</si>
  <si>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</si>
  <si>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</si>
  <si>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</si>
  <si>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</si>
  <si>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</si>
  <si>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</si>
  <si>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</si>
  <si>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</si>
  <si>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</si>
  <si>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</si>
  <si>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</si>
  <si>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</si>
  <si>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</si>
  <si>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</si>
  <si>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</si>
  <si>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</si>
  <si>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</si>
  <si>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</si>
  <si>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</si>
  <si>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</si>
  <si>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</si>
  <si>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</si>
  <si>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</si>
  <si>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</si>
  <si>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</si>
  <si>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</si>
  <si>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</si>
  <si>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</si>
  <si>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</si>
  <si>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</si>
  <si>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</si>
  <si>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</si>
  <si>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</si>
  <si>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</si>
  <si>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</si>
  <si>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</si>
  <si>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</si>
  <si>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</si>
  <si>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</si>
  <si>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</si>
  <si>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</si>
  <si>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</si>
  <si>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</si>
  <si>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</si>
  <si>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</si>
  <si>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</si>
  <si>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</si>
  <si>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</si>
  <si>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</si>
  <si>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</si>
  <si>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</si>
  <si>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</si>
  <si>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</si>
  <si>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</si>
  <si>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</si>
  <si>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</si>
  <si>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</si>
  <si>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</si>
  <si>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</si>
  <si>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</si>
  <si>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</si>
  <si>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</si>
  <si>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</si>
  <si>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</si>
  <si>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</si>
  <si>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</si>
  <si>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</si>
  <si>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</si>
  <si>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</si>
  <si>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</si>
  <si>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</si>
  <si>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</si>
  <si>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</si>
  <si>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</si>
  <si>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</si>
  <si>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</si>
  <si>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</si>
  <si>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</si>
  <si>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</si>
  <si>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</si>
  <si>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</si>
  <si>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</si>
  <si>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</si>
  <si>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</si>
  <si>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</si>
  <si>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</si>
  <si>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</si>
  <si>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</si>
  <si>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</si>
  <si>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</si>
  <si>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</si>
  <si>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</si>
  <si>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</si>
  <si>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</si>
  <si>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</si>
  <si>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</si>
  <si>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</si>
  <si>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</si>
  <si>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</si>
  <si>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</si>
  <si>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</si>
  <si>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</si>
  <si>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</si>
  <si>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</si>
  <si>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</si>
  <si>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</si>
  <si>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</si>
  <si>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</si>
  <si>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</si>
  <si>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</si>
  <si>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</si>
  <si>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</si>
  <si>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</si>
  <si>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</si>
  <si>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</si>
  <si>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</si>
  <si>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</si>
  <si>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</si>
  <si>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</si>
  <si>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</si>
  <si>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</si>
  <si>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</si>
  <si>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</si>
  <si>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</si>
  <si>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</si>
  <si>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</si>
  <si>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</si>
  <si>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</si>
  <si>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</si>
  <si>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</si>
  <si>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</si>
  <si>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</si>
  <si>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</si>
  <si>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</si>
  <si>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</si>
  <si>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</si>
  <si>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</si>
  <si>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</si>
  <si>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</si>
  <si>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</si>
  <si>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</si>
  <si>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</si>
  <si>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</si>
  <si>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</si>
  <si>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</si>
  <si>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</si>
  <si>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</si>
  <si>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</si>
  <si>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</si>
  <si>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</si>
  <si>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</si>
  <si>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</si>
  <si>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</si>
  <si>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</si>
  <si>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</si>
  <si>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</si>
  <si>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</si>
  <si>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</si>
  <si>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</si>
  <si>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</si>
  <si>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</si>
  <si>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</si>
  <si>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</si>
  <si>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</si>
  <si>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</si>
  <si>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</si>
  <si>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</si>
  <si>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</si>
  <si>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</si>
  <si>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</si>
  <si>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</si>
  <si>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</si>
  <si>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</si>
  <si>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</si>
  <si>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</si>
  <si>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</si>
  <si>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</si>
  <si>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</si>
  <si>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</si>
  <si>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</si>
  <si>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</si>
  <si>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</si>
  <si>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</si>
  <si>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</si>
  <si>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</si>
  <si>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</si>
  <si>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</si>
  <si>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</si>
  <si>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</si>
  <si>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</si>
  <si>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</si>
  <si>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</si>
  <si>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</si>
  <si>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</si>
  <si>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</si>
  <si>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</si>
  <si>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</si>
  <si>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</si>
  <si>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</si>
  <si>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</si>
  <si>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</si>
  <si>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</si>
  <si>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</si>
  <si>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</si>
  <si>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</si>
  <si>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</si>
  <si>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</si>
  <si>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</si>
  <si>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</si>
  <si>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</si>
  <si>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</si>
  <si>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</si>
  <si>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</si>
  <si>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</si>
  <si>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</si>
  <si>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</si>
  <si>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</si>
  <si>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</si>
  <si>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</si>
  <si>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</si>
  <si>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</si>
  <si>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</si>
  <si>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</si>
  <si>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</si>
  <si>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</si>
  <si>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</si>
  <si>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</si>
  <si>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</si>
  <si>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</si>
  <si>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</si>
  <si>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</si>
  <si>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</si>
  <si>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</si>
  <si>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</si>
  <si>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</si>
  <si>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</si>
  <si>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</si>
  <si>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</si>
  <si>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</si>
  <si>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</si>
  <si>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</si>
  <si>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</si>
  <si>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</si>
  <si>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</si>
  <si>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</si>
  <si>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</si>
  <si>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</si>
  <si>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</si>
  <si>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</si>
  <si>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</si>
  <si>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</si>
  <si>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</si>
  <si>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</si>
  <si>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</si>
  <si>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</si>
  <si>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</si>
  <si>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</si>
  <si>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</si>
  <si>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</si>
  <si>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</si>
  <si>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</si>
  <si>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</si>
  <si>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</si>
  <si>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</si>
  <si>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</si>
  <si>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</si>
  <si>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</si>
  <si>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</si>
  <si>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</si>
  <si>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</si>
  <si>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</si>
  <si>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</si>
  <si>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</si>
  <si>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</si>
  <si>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</si>
  <si>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</si>
  <si>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</si>
  <si>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</si>
  <si>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</si>
  <si>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</si>
  <si>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</si>
  <si>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</si>
  <si>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</si>
  <si>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</si>
  <si>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</si>
  <si>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</si>
  <si>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</si>
  <si>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</si>
  <si>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</si>
  <si>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</si>
  <si>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</si>
  <si>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</si>
  <si>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</si>
  <si>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</si>
  <si>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</si>
  <si>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</si>
  <si>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</si>
  <si>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</si>
  <si>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</si>
  <si>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</si>
  <si>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</si>
  <si>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</si>
  <si>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</si>
  <si>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</si>
  <si>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</si>
  <si>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</si>
  <si>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</si>
  <si>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</si>
  <si>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</si>
  <si>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</si>
  <si>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</si>
  <si>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</si>
  <si>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</si>
  <si>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</si>
  <si>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</si>
  <si>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</si>
  <si>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</si>
  <si>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</si>
  <si>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</si>
  <si>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</si>
  <si>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</si>
  <si>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</si>
  <si>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</si>
  <si>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</si>
  <si>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</si>
  <si>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</si>
  <si>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</si>
  <si>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</si>
  <si>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</si>
  <si>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</si>
  <si>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</si>
  <si>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</si>
  <si>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</si>
  <si>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</si>
  <si>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</si>
  <si>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</si>
  <si>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</si>
  <si>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</si>
  <si>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</si>
  <si>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</si>
  <si>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</si>
  <si>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</si>
  <si>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</si>
  <si>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</si>
  <si>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</si>
  <si>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</si>
  <si>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</si>
  <si>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</si>
  <si>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</si>
  <si>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</si>
  <si>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</si>
  <si>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</si>
  <si>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</si>
  <si>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</si>
  <si>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</si>
  <si>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</si>
  <si>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</si>
  <si>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</si>
  <si>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</si>
  <si>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</si>
  <si>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</si>
  <si>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</si>
  <si>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</si>
  <si>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</si>
  <si>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</si>
  <si>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</si>
  <si>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</si>
  <si>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</si>
  <si>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</si>
  <si>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</si>
  <si>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</si>
  <si>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</si>
  <si>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</si>
  <si>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</si>
  <si>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</si>
  <si>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</si>
  <si>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</si>
  <si>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</si>
  <si>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</si>
  <si>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</si>
  <si>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</si>
  <si>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</si>
  <si>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</si>
  <si>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</si>
  <si>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</si>
  <si>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</si>
  <si>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</si>
  <si>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</si>
  <si>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</si>
  <si>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</si>
  <si>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</si>
  <si>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</si>
  <si>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</si>
  <si>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</si>
  <si>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</si>
  <si>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</si>
  <si>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</si>
  <si>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</si>
  <si>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</si>
  <si>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</si>
  <si>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</si>
  <si>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</si>
  <si>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</si>
  <si>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</si>
  <si>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</si>
  <si>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</si>
  <si>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</si>
  <si>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</si>
  <si>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</si>
  <si>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</si>
  <si>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</si>
  <si>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</si>
  <si>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</si>
  <si>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</si>
  <si>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</si>
  <si>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</si>
  <si>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</si>
  <si>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</si>
  <si>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</si>
  <si>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</si>
  <si>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</si>
  <si>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</si>
  <si>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</si>
  <si>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</si>
  <si>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</si>
  <si>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</si>
  <si>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</si>
  <si>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</si>
  <si>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</si>
  <si>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</si>
  <si>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</si>
  <si>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</si>
  <si>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</si>
  <si>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</si>
  <si>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</si>
  <si>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</si>
  <si>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</si>
  <si>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</si>
  <si>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</si>
  <si>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</si>
  <si>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</si>
  <si>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</si>
  <si>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</si>
  <si>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</si>
  <si>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</si>
  <si>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</si>
  <si>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</si>
  <si>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</si>
  <si>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</si>
  <si>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</si>
  <si>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</si>
  <si>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</si>
  <si>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</si>
  <si>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</si>
  <si>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</si>
  <si>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</si>
  <si>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</si>
  <si>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</si>
  <si>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</si>
  <si>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</si>
  <si>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</si>
  <si>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</si>
  <si>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</si>
  <si>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</si>
  <si>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</si>
  <si>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</si>
  <si>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</si>
  <si>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</si>
  <si>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</si>
  <si>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</si>
  <si>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</si>
  <si>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</si>
  <si>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</si>
  <si>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</si>
  <si>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</si>
  <si>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</si>
  <si>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</si>
  <si>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</si>
  <si>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</si>
  <si>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</si>
  <si>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</si>
  <si>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</si>
  <si>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</si>
  <si>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</si>
  <si>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</si>
  <si>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</si>
  <si>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</si>
  <si>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</si>
  <si>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</si>
  <si>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</si>
  <si>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</si>
  <si>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</si>
  <si>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</si>
  <si>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</si>
  <si>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</si>
  <si>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</si>
  <si>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</si>
  <si>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</si>
  <si>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</si>
  <si>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</si>
  <si>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</si>
  <si>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</si>
  <si>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</si>
  <si>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</si>
  <si>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</si>
  <si>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</si>
  <si>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</si>
  <si>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</si>
  <si>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</si>
  <si>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</si>
  <si>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</si>
  <si>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</si>
  <si>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</si>
  <si>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</si>
  <si>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</si>
  <si>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</si>
  <si>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</si>
  <si>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</si>
  <si>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</si>
  <si>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</si>
  <si>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</si>
  <si>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</si>
  <si>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</si>
  <si>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</si>
  <si>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</si>
  <si>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</si>
  <si>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</si>
  <si>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</si>
  <si>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</si>
  <si>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</si>
  <si>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</si>
  <si>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</si>
  <si>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</si>
  <si>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</si>
  <si>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</si>
  <si>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</si>
  <si>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</si>
  <si>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</si>
  <si>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</si>
  <si>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</si>
  <si>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</si>
  <si>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</si>
  <si>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</si>
  <si>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</si>
  <si>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</si>
  <si>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</si>
  <si>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</si>
  <si>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</si>
  <si>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</si>
  <si>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</si>
  <si>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</si>
  <si>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</si>
  <si>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</si>
  <si>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</si>
  <si>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</si>
  <si>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</si>
  <si>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</si>
  <si>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</si>
  <si>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</si>
  <si>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</si>
  <si>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</si>
  <si>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</si>
  <si>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</si>
  <si>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</si>
  <si>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</si>
  <si>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</si>
  <si>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</si>
  <si>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</si>
  <si>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</si>
  <si>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</si>
  <si>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</si>
  <si>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</si>
  <si>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</si>
  <si>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</si>
  <si>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</si>
  <si>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</si>
  <si>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</si>
  <si>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</si>
  <si>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</si>
  <si>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</si>
  <si>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</si>
  <si>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</si>
  <si>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</si>
  <si>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</si>
  <si>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</si>
  <si>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</si>
  <si>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</si>
  <si>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</si>
  <si>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</si>
  <si>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</si>
  <si>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</si>
  <si>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</si>
  <si>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</si>
  <si>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</si>
  <si>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</si>
  <si>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</si>
  <si>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</si>
  <si>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</si>
  <si>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</si>
  <si>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</si>
  <si>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</si>
  <si>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</si>
  <si>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</si>
  <si>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</si>
  <si>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</si>
  <si>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</si>
  <si>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</si>
  <si>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</si>
  <si>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</si>
  <si>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</si>
  <si>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</si>
  <si>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</si>
  <si>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</si>
  <si>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</si>
  <si>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</si>
  <si>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</si>
  <si>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</si>
  <si>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</si>
  <si>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</si>
  <si>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</si>
  <si>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</si>
  <si>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</si>
  <si>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</si>
  <si>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</si>
  <si>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</si>
  <si>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</si>
  <si>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</si>
  <si>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</si>
  <si>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</si>
  <si>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</si>
  <si>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</si>
  <si>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</si>
  <si>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</si>
  <si>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</si>
  <si>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</si>
  <si>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</si>
  <si>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</si>
  <si>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</si>
  <si>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</si>
  <si>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</si>
  <si>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</si>
  <si>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</si>
  <si>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已注销及未注销</t>
  </si>
  <si>
    <t>房地产抵押价值</t>
  </si>
  <si>
    <t>北京市</t>
  </si>
  <si>
    <t>企业</t>
  </si>
  <si>
    <t>出让</t>
  </si>
  <si>
    <t>商业项目</t>
  </si>
  <si>
    <t>现房</t>
  </si>
  <si>
    <t>地上</t>
  </si>
  <si>
    <t>地下</t>
  </si>
  <si>
    <t>是</t>
  </si>
  <si>
    <t>商业</t>
    <phoneticPr fontId="7" type="noConversion"/>
  </si>
  <si>
    <t>成新度</t>
  </si>
  <si>
    <t>收益法</t>
  </si>
  <si>
    <t>不临58条商业街</t>
  </si>
  <si>
    <t>通路</t>
  </si>
  <si>
    <t>通电</t>
  </si>
  <si>
    <t>通讯</t>
  </si>
  <si>
    <t>通上水</t>
  </si>
  <si>
    <t>通下水</t>
  </si>
  <si>
    <t>平整</t>
  </si>
  <si>
    <t>楼层修正</t>
  </si>
  <si>
    <t>较好</t>
  </si>
  <si>
    <t>好</t>
  </si>
  <si>
    <t>押一</t>
  </si>
  <si>
    <t>按租金收入计税</t>
  </si>
  <si>
    <t>钢混</t>
  </si>
  <si>
    <t>非生产用房</t>
  </si>
  <si>
    <t>否</t>
  </si>
  <si>
    <t>2020-3</t>
    <phoneticPr fontId="3" type="noConversion"/>
  </si>
  <si>
    <t>2020-4</t>
    <phoneticPr fontId="140" type="noConversion"/>
  </si>
  <si>
    <t>项目全部</t>
  </si>
  <si>
    <t>成本法</t>
  </si>
  <si>
    <t>未包含在土地购买价格中</t>
  </si>
  <si>
    <t>已包含在土地取得成本中</t>
  </si>
  <si>
    <t>总价</t>
  </si>
  <si>
    <t>成本比率</t>
  </si>
  <si>
    <t>正常</t>
  </si>
  <si>
    <t>售价</t>
  </si>
  <si>
    <t>一般</t>
  </si>
  <si>
    <t>农商行</t>
    <phoneticPr fontId="6" type="noConversion"/>
  </si>
  <si>
    <t>估价对象容积率</t>
  </si>
  <si>
    <t>车库</t>
  </si>
  <si>
    <t>环保嘉苑车库售价</t>
    <phoneticPr fontId="140" type="noConversion"/>
  </si>
  <si>
    <t>元/车位</t>
  </si>
  <si>
    <t>百旺府</t>
    <phoneticPr fontId="3" type="noConversion"/>
  </si>
  <si>
    <t>中创芯中心</t>
    <phoneticPr fontId="3" type="noConversion"/>
  </si>
  <si>
    <t>自定义</t>
  </si>
  <si>
    <t>比较法-车位</t>
  </si>
  <si>
    <t>收益法-车位</t>
  </si>
  <si>
    <t>收益法-车位</t>
    <phoneticPr fontId="16" type="noConversion"/>
  </si>
  <si>
    <r>
      <rPr>
        <sz val="10"/>
        <color indexed="8"/>
        <rFont val="宋体"/>
        <family val="3"/>
        <charset val="134"/>
      </rPr>
      <t>车位总价（万元</t>
    </r>
    <r>
      <rPr>
        <sz val="10"/>
        <color indexed="8"/>
        <rFont val="Arial"/>
        <family val="2"/>
      </rPr>
      <t>/</t>
    </r>
    <r>
      <rPr>
        <sz val="10"/>
        <color indexed="8"/>
        <rFont val="宋体"/>
        <family val="3"/>
        <charset val="134"/>
      </rPr>
      <t>个）</t>
    </r>
    <phoneticPr fontId="140" type="noConversion"/>
  </si>
  <si>
    <t>较差</t>
  </si>
  <si>
    <r>
      <rPr>
        <sz val="10"/>
        <color theme="9" tint="-0.249977111117893"/>
        <rFont val="宋体"/>
        <family val="3"/>
        <charset val="134"/>
      </rPr>
      <t>海淀大街</t>
    </r>
    <r>
      <rPr>
        <sz val="10"/>
        <color theme="9" tint="-0.249977111117893"/>
        <rFont val="Arial"/>
        <family val="2"/>
      </rPr>
      <t>5</t>
    </r>
    <r>
      <rPr>
        <sz val="10"/>
        <color theme="9" tint="-0.249977111117893"/>
        <rFont val="宋体"/>
        <family val="3"/>
        <charset val="134"/>
      </rPr>
      <t>号</t>
    </r>
    <phoneticPr fontId="6" type="noConversion"/>
  </si>
  <si>
    <t>序号</t>
    <phoneticPr fontId="140" type="noConversion"/>
  </si>
  <si>
    <t>产权人</t>
    <phoneticPr fontId="140" type="noConversion"/>
  </si>
  <si>
    <t>土地证</t>
    <phoneticPr fontId="140" type="noConversion"/>
  </si>
  <si>
    <t>房产证</t>
    <phoneticPr fontId="140" type="noConversion"/>
  </si>
  <si>
    <t>坐落</t>
    <phoneticPr fontId="140" type="noConversion"/>
  </si>
  <si>
    <t>用途</t>
    <phoneticPr fontId="140" type="noConversion"/>
  </si>
  <si>
    <t>土地面积</t>
    <phoneticPr fontId="140" type="noConversion"/>
  </si>
  <si>
    <t>建筑面积</t>
    <phoneticPr fontId="140" type="noConversion"/>
  </si>
  <si>
    <t>终止日期</t>
    <phoneticPr fontId="140" type="noConversion"/>
  </si>
  <si>
    <t>北京天盛智达投资管理有限公司</t>
    <phoneticPr fontId="140" type="noConversion"/>
  </si>
  <si>
    <t>京海国用（2014出）第00038号</t>
    <phoneticPr fontId="140" type="noConversion"/>
  </si>
  <si>
    <t>X京房权证海字第407867号</t>
    <phoneticPr fontId="140" type="noConversion"/>
  </si>
  <si>
    <t>海淀区海淀大街5号</t>
    <phoneticPr fontId="140" type="noConversion"/>
  </si>
  <si>
    <t>商业</t>
    <phoneticPr fontId="140" type="noConversion"/>
  </si>
  <si>
    <t>1-3层</t>
    <phoneticPr fontId="140" type="noConversion"/>
  </si>
  <si>
    <t>京海国用（2014出）第00041号</t>
    <phoneticPr fontId="140" type="noConversion"/>
  </si>
  <si>
    <t>X京房权证海字第408131号</t>
    <phoneticPr fontId="140" type="noConversion"/>
  </si>
  <si>
    <t>海淀区海淀大街15号15-17号</t>
    <phoneticPr fontId="140" type="noConversion"/>
  </si>
  <si>
    <t>地下商业、设备用房</t>
    <phoneticPr fontId="140" type="noConversion"/>
  </si>
  <si>
    <t>B2-B1层</t>
    <phoneticPr fontId="140" type="noConversion"/>
  </si>
  <si>
    <t>北京汇众智达投资管理有限公司</t>
    <phoneticPr fontId="140" type="noConversion"/>
  </si>
  <si>
    <t>京海国用（2014出）第00012号</t>
    <phoneticPr fontId="140" type="noConversion"/>
  </si>
  <si>
    <t>X京房权证海字第402632号</t>
    <phoneticPr fontId="140" type="noConversion"/>
  </si>
  <si>
    <t>海淀区海淀大街15-9号</t>
    <phoneticPr fontId="140" type="noConversion"/>
  </si>
  <si>
    <t>商业、地下商业、地下车库、走廊、设备用房</t>
    <phoneticPr fontId="140" type="noConversion"/>
  </si>
  <si>
    <t>商业2043-11-23；地下车库2053-11-23</t>
    <phoneticPr fontId="140" type="noConversion"/>
  </si>
  <si>
    <t>B2-3层</t>
    <phoneticPr fontId="140" type="noConversion"/>
  </si>
  <si>
    <t>北京华信恒盛投资管理有限公司</t>
    <phoneticPr fontId="140" type="noConversion"/>
  </si>
  <si>
    <t>京海国用（2014出）第00033号</t>
    <phoneticPr fontId="140" type="noConversion"/>
  </si>
  <si>
    <t>X京房权证海字第407889号</t>
    <phoneticPr fontId="140" type="noConversion"/>
  </si>
  <si>
    <t>海淀区海淀大街15-11号</t>
    <phoneticPr fontId="140" type="noConversion"/>
  </si>
  <si>
    <t>商业、走廊、设备用房</t>
    <phoneticPr fontId="140" type="noConversion"/>
  </si>
  <si>
    <t>B2-1层</t>
    <phoneticPr fontId="140" type="noConversion"/>
  </si>
  <si>
    <t>京海国用（2014出）第00032号</t>
    <phoneticPr fontId="140" type="noConversion"/>
  </si>
  <si>
    <t>X京房权证海字第407882号</t>
    <phoneticPr fontId="140" type="noConversion"/>
  </si>
  <si>
    <t>海淀区海淀大街15-10号</t>
    <phoneticPr fontId="140" type="noConversion"/>
  </si>
  <si>
    <t>商业、地下商业、走廊</t>
    <phoneticPr fontId="140" type="noConversion"/>
  </si>
  <si>
    <t>B2-2层</t>
    <phoneticPr fontId="140" type="noConversion"/>
  </si>
  <si>
    <t>京海国用（2014出）第00039号</t>
    <phoneticPr fontId="140" type="noConversion"/>
  </si>
  <si>
    <t>X京房权证海字第408137号</t>
    <phoneticPr fontId="140" type="noConversion"/>
  </si>
  <si>
    <t>海淀区海淀大街15-15号</t>
    <phoneticPr fontId="140" type="noConversion"/>
  </si>
  <si>
    <t>办公、地下车库</t>
    <phoneticPr fontId="140" type="noConversion"/>
  </si>
  <si>
    <t>B1-3层</t>
    <phoneticPr fontId="140" type="noConversion"/>
  </si>
  <si>
    <t>京海国用（2014出）第00040号</t>
    <phoneticPr fontId="140" type="noConversion"/>
  </si>
  <si>
    <t>X京房权证海字第408139号</t>
    <phoneticPr fontId="140" type="noConversion"/>
  </si>
  <si>
    <t>海淀区海淀大街15-16号</t>
  </si>
  <si>
    <t>地下商业</t>
    <phoneticPr fontId="140" type="noConversion"/>
  </si>
  <si>
    <t>总楼层</t>
    <phoneticPr fontId="140" type="noConversion"/>
  </si>
  <si>
    <t>所在楼层</t>
    <phoneticPr fontId="140" type="noConversion"/>
  </si>
  <si>
    <t>分层面积</t>
    <phoneticPr fontId="140" type="noConversion"/>
  </si>
  <si>
    <t>1层</t>
    <phoneticPr fontId="140" type="noConversion"/>
  </si>
  <si>
    <t>B1层</t>
    <phoneticPr fontId="140" type="noConversion"/>
  </si>
  <si>
    <t>B2层</t>
    <phoneticPr fontId="140" type="noConversion"/>
  </si>
  <si>
    <t>商业</t>
    <phoneticPr fontId="140" type="noConversion"/>
  </si>
  <si>
    <t>商业、走廊、设备用房</t>
    <phoneticPr fontId="140" type="noConversion"/>
  </si>
  <si>
    <t>设备</t>
    <phoneticPr fontId="140" type="noConversion"/>
  </si>
  <si>
    <t>2层</t>
    <phoneticPr fontId="140" type="noConversion"/>
  </si>
  <si>
    <t>B2层</t>
    <phoneticPr fontId="140" type="noConversion"/>
  </si>
  <si>
    <t>商业、走廊</t>
    <phoneticPr fontId="140" type="noConversion"/>
  </si>
  <si>
    <t>商业2043-11-23</t>
    <phoneticPr fontId="140" type="noConversion"/>
  </si>
  <si>
    <t>地下车库</t>
    <phoneticPr fontId="140" type="noConversion"/>
  </si>
  <si>
    <t>办公</t>
    <phoneticPr fontId="140" type="noConversion"/>
  </si>
  <si>
    <t>3层</t>
    <phoneticPr fontId="140" type="noConversion"/>
  </si>
  <si>
    <t>B1层</t>
    <phoneticPr fontId="140" type="noConversion"/>
  </si>
  <si>
    <t>夹层</t>
    <phoneticPr fontId="140" type="noConversion"/>
  </si>
  <si>
    <t>B2层</t>
    <phoneticPr fontId="140" type="noConversion"/>
  </si>
  <si>
    <t>商业</t>
    <phoneticPr fontId="140" type="noConversion"/>
  </si>
  <si>
    <t>车库</t>
    <phoneticPr fontId="140" type="noConversion"/>
  </si>
  <si>
    <t>商业、设备、走廊</t>
    <phoneticPr fontId="140" type="noConversion"/>
  </si>
  <si>
    <r>
      <t>5</t>
    </r>
    <r>
      <rPr>
        <sz val="10"/>
        <color indexed="8"/>
        <rFont val="宋体"/>
        <family val="3"/>
        <charset val="134"/>
      </rPr>
      <t>号楼</t>
    </r>
    <phoneticPr fontId="3" type="noConversion"/>
  </si>
  <si>
    <t>商务金融用地（商业类）</t>
  </si>
  <si>
    <t>与级别开发程度不一致</t>
  </si>
  <si>
    <t>地价指数</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</si>
  <si>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</si>
  <si>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</si>
  <si>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</si>
  <si>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合计</t>
    <phoneticPr fontId="3" type="noConversion"/>
  </si>
  <si>
    <t>租金</t>
    <phoneticPr fontId="3" type="noConversion"/>
  </si>
  <si>
    <t>系数</t>
    <phoneticPr fontId="3" type="noConversion"/>
  </si>
  <si>
    <t>评估总值</t>
    <phoneticPr fontId="140" type="noConversion"/>
  </si>
  <si>
    <t>合计</t>
    <phoneticPr fontId="140" type="noConversion"/>
  </si>
  <si>
    <t>单价</t>
    <phoneticPr fontId="140" type="noConversion"/>
  </si>
  <si>
    <t>序号</t>
    <phoneticPr fontId="140" type="noConversion"/>
  </si>
  <si>
    <t>产权人</t>
    <phoneticPr fontId="140" type="noConversion"/>
  </si>
  <si>
    <t>土地证</t>
    <phoneticPr fontId="140" type="noConversion"/>
  </si>
  <si>
    <t>房产证</t>
    <phoneticPr fontId="140" type="noConversion"/>
  </si>
  <si>
    <t>坐落</t>
    <phoneticPr fontId="140" type="noConversion"/>
  </si>
  <si>
    <t>用途</t>
    <phoneticPr fontId="140" type="noConversion"/>
  </si>
  <si>
    <t>北京天盛智达投资管理有限公司</t>
    <phoneticPr fontId="140" type="noConversion"/>
  </si>
  <si>
    <t>京海国用（2014出）第00038号</t>
    <phoneticPr fontId="140" type="noConversion"/>
  </si>
  <si>
    <t>X京房权证海字第407867号</t>
    <phoneticPr fontId="140" type="noConversion"/>
  </si>
  <si>
    <t>海淀区海淀大街5号</t>
    <phoneticPr fontId="140" type="noConversion"/>
  </si>
  <si>
    <t>商业</t>
    <phoneticPr fontId="140" type="noConversion"/>
  </si>
  <si>
    <t>京海国用（2014出）第00041号</t>
    <phoneticPr fontId="140" type="noConversion"/>
  </si>
  <si>
    <t>X京房权证海字第408131号</t>
    <phoneticPr fontId="140" type="noConversion"/>
  </si>
  <si>
    <t>海淀区海淀大街15号15-17号</t>
    <phoneticPr fontId="140" type="noConversion"/>
  </si>
  <si>
    <t>地下商业、设备用房</t>
    <phoneticPr fontId="140" type="noConversion"/>
  </si>
  <si>
    <t>北京汇众智达投资管理有限公司</t>
    <phoneticPr fontId="140" type="noConversion"/>
  </si>
  <si>
    <t>京海国用（2014出）第00012号</t>
    <phoneticPr fontId="140" type="noConversion"/>
  </si>
  <si>
    <t>X京房权证海字第402632号</t>
    <phoneticPr fontId="140" type="noConversion"/>
  </si>
  <si>
    <t>海淀区海淀大街15-9号</t>
    <phoneticPr fontId="140" type="noConversion"/>
  </si>
  <si>
    <t>商业、地下商业、地下车库、走廊、设备用房</t>
    <phoneticPr fontId="140" type="noConversion"/>
  </si>
  <si>
    <t>北京华信恒盛投资管理有限公司</t>
    <phoneticPr fontId="140" type="noConversion"/>
  </si>
  <si>
    <t>京海国用（2014出）第00033号</t>
    <phoneticPr fontId="140" type="noConversion"/>
  </si>
  <si>
    <t>X京房权证海字第407889号</t>
    <phoneticPr fontId="140" type="noConversion"/>
  </si>
  <si>
    <t>海淀区海淀大街15-11号</t>
    <phoneticPr fontId="140" type="noConversion"/>
  </si>
  <si>
    <t>商业、走廊、设备用房</t>
    <phoneticPr fontId="140" type="noConversion"/>
  </si>
  <si>
    <t>京海国用（2014出）第00032号</t>
    <phoneticPr fontId="140" type="noConversion"/>
  </si>
  <si>
    <t>X京房权证海字第407882号</t>
    <phoneticPr fontId="140" type="noConversion"/>
  </si>
  <si>
    <t>海淀区海淀大街15-10号</t>
    <phoneticPr fontId="140" type="noConversion"/>
  </si>
  <si>
    <t>商业、地下商业、走廊</t>
    <phoneticPr fontId="140" type="noConversion"/>
  </si>
  <si>
    <t>京海国用（2014出）第00039号</t>
    <phoneticPr fontId="140" type="noConversion"/>
  </si>
  <si>
    <t>X京房权证海字第408137号</t>
    <phoneticPr fontId="140" type="noConversion"/>
  </si>
  <si>
    <t>海淀区海淀大街15-15号</t>
    <phoneticPr fontId="140" type="noConversion"/>
  </si>
  <si>
    <t>办公、地下车库</t>
    <phoneticPr fontId="140" type="noConversion"/>
  </si>
  <si>
    <t>京海国用（2014出）第00040号</t>
    <phoneticPr fontId="140" type="noConversion"/>
  </si>
  <si>
    <t>X京房权证海字第408139号</t>
    <phoneticPr fontId="140" type="noConversion"/>
  </si>
  <si>
    <t>地下商业</t>
    <phoneticPr fontId="140" type="noConversion"/>
  </si>
  <si>
    <t>合计</t>
    <phoneticPr fontId="140" type="noConversion"/>
  </si>
  <si>
    <t>——</t>
    <phoneticPr fontId="140" type="noConversion"/>
  </si>
  <si>
    <t>评估总值（万元）</t>
    <phoneticPr fontId="140" type="noConversion"/>
  </si>
  <si>
    <t>单价（元/平方米）</t>
    <phoneticPr fontId="140" type="noConversion"/>
  </si>
  <si>
    <t>建筑面积（㎡）</t>
    <phoneticPr fontId="140" type="noConversion"/>
  </si>
  <si>
    <t>土地面积（㎡）</t>
    <phoneticPr fontId="140" type="noConversion"/>
  </si>
  <si>
    <t>备注：上述未分层面积按每层面积一致来设定。设备用房按经营性用途20%面积比例来设定。</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</si>
</sst>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quot;￥&quot;\-#,##0"/>
    <numFmt numFmtId="198"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name val="宋体"/>
      <family val="2"/>
      <scheme val="minor"/>
    </font>
    <font>
      <sz val="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7" fontId="37" fillId="0" borderId="0" applyFont="0" applyFill="0" applyBorder="0" applyAlignment="0" applyProtection="0">
      <alignment vertical="center"/>
    </xf>
  </cellStyleXfs>
  <cellXfs count="34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149" fillId="14" borderId="125" xfId="9" applyFont="1" applyFill="1" applyBorder="1" applyAlignment="1" applyProtection="1">
      <alignment horizontal="left" vertical="center" wrapText="1"/>
    </xf>
    <xf numFmtId="0" fontId="98" fillId="0" borderId="0" xfId="0" applyFont="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Font="1" applyBorder="1" applyAlignment="1" applyProtection="1">
      <alignment vertical="center" wrapText="1"/>
      <protection locked="0"/>
    </xf>
    <xf numFmtId="0" fontId="111" fillId="0" borderId="0" xfId="0" applyFont="1" applyAlignment="1">
      <alignment wrapText="1"/>
    </xf>
    <xf numFmtId="9" fontId="111" fillId="0" borderId="0" xfId="0" applyNumberFormat="1" applyFont="1" applyAlignment="1">
      <alignment wrapText="1"/>
    </xf>
    <xf numFmtId="0" fontId="79" fillId="13" borderId="0" xfId="0" applyFont="1" applyFill="1" applyAlignment="1" applyProtection="1">
      <alignment vertical="center"/>
      <protection locked="0"/>
    </xf>
    <xf numFmtId="198" fontId="49" fillId="13" borderId="0" xfId="0" applyNumberFormat="1" applyFont="1" applyFill="1" applyAlignment="1" applyProtection="1">
      <alignment vertical="center"/>
      <protection locked="0"/>
    </xf>
    <xf numFmtId="198" fontId="46" fillId="0" borderId="23" xfId="0" applyNumberFormat="1" applyFont="1" applyBorder="1" applyAlignment="1" applyProtection="1">
      <alignment vertical="center"/>
      <protection locked="0"/>
    </xf>
    <xf numFmtId="0" fontId="111" fillId="0" borderId="1" xfId="0" applyFont="1" applyBorder="1" applyAlignment="1">
      <alignment horizontal="left"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11" fillId="0" borderId="1" xfId="0" applyFont="1" applyBorder="1" applyAlignment="1">
      <alignment horizontal="left"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0" borderId="1" xfId="0" applyFont="1" applyBorder="1" applyAlignment="1">
      <alignment horizontal="left" vertical="center" wrapText="1"/>
    </xf>
    <xf numFmtId="14" fontId="255" fillId="0" borderId="1" xfId="0" applyNumberFormat="1" applyFont="1" applyBorder="1" applyAlignment="1">
      <alignment horizontal="left" vertical="center" wrapText="1"/>
    </xf>
    <xf numFmtId="0" fontId="255" fillId="0" borderId="1" xfId="0" applyNumberFormat="1" applyFont="1" applyBorder="1" applyAlignment="1">
      <alignment horizontal="left" vertical="center" wrapText="1"/>
    </xf>
    <xf numFmtId="58" fontId="255" fillId="0" borderId="1" xfId="0" applyNumberFormat="1" applyFont="1" applyBorder="1" applyAlignment="1">
      <alignment horizontal="left" vertical="center" wrapText="1"/>
    </xf>
    <xf numFmtId="0" fontId="255" fillId="0" borderId="13" xfId="0" applyFont="1" applyBorder="1" applyAlignment="1">
      <alignment horizontal="left" vertical="center" wrapText="1"/>
    </xf>
    <xf numFmtId="0" fontId="255" fillId="0" borderId="13" xfId="0" applyFont="1" applyFill="1" applyBorder="1" applyAlignment="1">
      <alignment horizontal="left" vertical="center" wrapText="1"/>
    </xf>
    <xf numFmtId="0" fontId="255" fillId="0" borderId="15" xfId="0" applyFont="1" applyBorder="1" applyAlignment="1">
      <alignment horizontal="left" vertical="center" wrapText="1"/>
    </xf>
    <xf numFmtId="0" fontId="255" fillId="0" borderId="15" xfId="0" applyFont="1" applyFill="1" applyBorder="1" applyAlignment="1">
      <alignment horizontal="left" vertical="center" wrapText="1"/>
    </xf>
    <xf numFmtId="0" fontId="255" fillId="0" borderId="2" xfId="0" applyFont="1" applyBorder="1" applyAlignment="1">
      <alignment horizontal="left" vertical="center" wrapText="1"/>
    </xf>
    <xf numFmtId="0" fontId="255" fillId="0" borderId="2" xfId="0" applyFont="1" applyFill="1" applyBorder="1" applyAlignment="1">
      <alignment horizontal="left" vertical="center" wrapText="1"/>
    </xf>
    <xf numFmtId="14" fontId="255" fillId="0" borderId="13" xfId="0" applyNumberFormat="1" applyFont="1" applyBorder="1" applyAlignment="1">
      <alignment horizontal="left" vertical="center" wrapText="1"/>
    </xf>
    <xf numFmtId="14" fontId="255" fillId="0" borderId="15" xfId="0" applyNumberFormat="1" applyFont="1" applyBorder="1" applyAlignment="1">
      <alignment horizontal="left" vertical="center" wrapText="1"/>
    </xf>
    <xf numFmtId="14" fontId="255" fillId="0" borderId="2" xfId="0" applyNumberFormat="1" applyFont="1" applyBorder="1" applyAlignment="1">
      <alignment horizontal="left" vertical="center" wrapText="1"/>
    </xf>
    <xf numFmtId="0" fontId="255" fillId="0" borderId="1" xfId="0" applyFont="1" applyBorder="1" applyAlignment="1">
      <alignment horizontal="left" vertical="center" wrapText="1"/>
    </xf>
    <xf numFmtId="0" fontId="255" fillId="0" borderId="1" xfId="0" applyFont="1" applyBorder="1" applyAlignment="1">
      <alignment horizontal="left" vertical="center" wrapText="1"/>
    </xf>
    <xf numFmtId="14" fontId="255" fillId="0" borderId="1" xfId="0" applyNumberFormat="1" applyFont="1" applyBorder="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1" fillId="0" borderId="1" xfId="0" applyFont="1" applyBorder="1" applyAlignment="1">
      <alignment horizontal="left" vertical="center" wrapText="1"/>
    </xf>
    <xf numFmtId="0" fontId="111" fillId="0" borderId="0" xfId="0" applyFont="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125</xdr:row>
      <xdr:rowOff>0</xdr:rowOff>
    </xdr:from>
    <xdr:to>
      <xdr:col>8</xdr:col>
      <xdr:colOff>104775</xdr:colOff>
      <xdr:row>141</xdr:row>
      <xdr:rowOff>39263</xdr:rowOff>
    </xdr:to>
    <xdr:pic>
      <xdr:nvPicPr>
        <xdr:cNvPr id="16" name="图片 15"/>
        <xdr:cNvPicPr>
          <a:picLocks noChangeAspect="1"/>
        </xdr:cNvPicPr>
      </xdr:nvPicPr>
      <xdr:blipFill>
        <a:blip xmlns:r="http://schemas.openxmlformats.org/officeDocument/2006/relationships" r:embed="rId1"/>
        <a:stretch>
          <a:fillRect/>
        </a:stretch>
      </xdr:blipFill>
      <xdr:spPr>
        <a:xfrm>
          <a:off x="0" y="21431250"/>
          <a:ext cx="5591175" cy="2782463"/>
        </a:xfrm>
        <a:prstGeom prst="rect">
          <a:avLst/>
        </a:prstGeom>
      </xdr:spPr>
    </xdr:pic>
    <xdr:clientData/>
  </xdr:twoCellAnchor>
  <xdr:twoCellAnchor editAs="oneCell">
    <xdr:from>
      <xdr:col>0</xdr:col>
      <xdr:colOff>0</xdr:colOff>
      <xdr:row>140</xdr:row>
      <xdr:rowOff>85533</xdr:rowOff>
    </xdr:from>
    <xdr:to>
      <xdr:col>8</xdr:col>
      <xdr:colOff>47625</xdr:colOff>
      <xdr:row>148</xdr:row>
      <xdr:rowOff>112532</xdr:rowOff>
    </xdr:to>
    <xdr:pic>
      <xdr:nvPicPr>
        <xdr:cNvPr id="17" name="图片 16"/>
        <xdr:cNvPicPr>
          <a:picLocks noChangeAspect="1"/>
        </xdr:cNvPicPr>
      </xdr:nvPicPr>
      <xdr:blipFill>
        <a:blip xmlns:r="http://schemas.openxmlformats.org/officeDocument/2006/relationships" r:embed="rId2"/>
        <a:stretch>
          <a:fillRect/>
        </a:stretch>
      </xdr:blipFill>
      <xdr:spPr>
        <a:xfrm>
          <a:off x="0" y="24088533"/>
          <a:ext cx="5534025" cy="1398599"/>
        </a:xfrm>
        <a:prstGeom prst="rect">
          <a:avLst/>
        </a:prstGeom>
      </xdr:spPr>
    </xdr:pic>
    <xdr:clientData/>
  </xdr:twoCellAnchor>
  <xdr:twoCellAnchor editAs="oneCell">
    <xdr:from>
      <xdr:col>0</xdr:col>
      <xdr:colOff>0</xdr:colOff>
      <xdr:row>0</xdr:row>
      <xdr:rowOff>0</xdr:rowOff>
    </xdr:from>
    <xdr:to>
      <xdr:col>10</xdr:col>
      <xdr:colOff>542001</xdr:colOff>
      <xdr:row>49</xdr:row>
      <xdr:rowOff>27522</xdr:rowOff>
    </xdr:to>
    <xdr:pic>
      <xdr:nvPicPr>
        <xdr:cNvPr id="18" name="图片 17"/>
        <xdr:cNvPicPr>
          <a:picLocks noChangeAspect="1"/>
        </xdr:cNvPicPr>
      </xdr:nvPicPr>
      <xdr:blipFill>
        <a:blip xmlns:r="http://schemas.openxmlformats.org/officeDocument/2006/relationships" r:embed="rId3"/>
        <a:stretch>
          <a:fillRect/>
        </a:stretch>
      </xdr:blipFill>
      <xdr:spPr>
        <a:xfrm>
          <a:off x="0" y="0"/>
          <a:ext cx="7400001" cy="84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271;&#27001;&#22825;&#34903;/2019-1-0632-F01DYGJ2-&#40857;&#28246;-&#29579;&#28165;&#38597;-&#20108;&#23457;-&#23828;&#38196;20191028-171921-&#29579;&#28165;&#38597;20191030-1616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023;&#28096;&#22823;&#34903;15-17&#21495;&#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023;&#28096;&#22823;&#34903;15-9&#21495;&#21830;&#19994;&#12289;&#22320;&#19979;&#36710;&#24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023;&#28096;&#22823;&#34903;15-11&#21495;&#21830;&#1999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8023;&#28096;&#22823;&#34903;15-10&#21495;&#21830;&#1999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8023;&#28096;&#22823;&#34903;15-15&#21495;&#21150;&#20844;&#12289;&#22320;&#19979;&#36710;&#242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8023;&#28096;&#22823;&#34903;15-16&#2149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8">
          <cell r="C48">
            <v>8.4</v>
          </cell>
        </row>
      </sheetData>
      <sheetData sheetId="28">
        <row r="119">
          <cell r="B119" t="str">
            <v>层高</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商业"/>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结果表-车位"/>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中指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26369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车库"/>
      <sheetName val="收益法-商业"/>
      <sheetName val="收益法 (元)"/>
      <sheetName val="收益法（汇总）"/>
      <sheetName val="酒店收入计算"/>
      <sheetName val="比较法-住宅"/>
      <sheetName val="比较法-商业"/>
      <sheetName val="比较法-办公"/>
      <sheetName val="比较法-工业"/>
      <sheetName val="结果表-车位"/>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中指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136730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商业"/>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结果表-车位"/>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中指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51060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商业"/>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结果表-车位"/>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中指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44416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车库"/>
      <sheetName val="收益法-办公"/>
      <sheetName val="收益法 (元)"/>
      <sheetName val="收益法（汇总）"/>
      <sheetName val="酒店收入计算"/>
      <sheetName val="比较法-住宅"/>
      <sheetName val="比较法-商业"/>
      <sheetName val="比较法-办公"/>
      <sheetName val="比较法-工业"/>
      <sheetName val="结果表-车位"/>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中指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111472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商业"/>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结果表-车位"/>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车位"/>
      <sheetName val="中指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4470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北京市海淀大街5号房地产抵押价值预评估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受贵公司委托，我公司对北京市海淀大街5号房地产抵押价值进行了预评估。</v>
      </c>
    </row>
    <row r="7" spans="1:2" s="1365" customFormat="1">
      <c r="A7" s="1363" t="s">
        <v>1231</v>
      </c>
      <c r="B7" s="1364" t="str">
        <f>'预评函-1'!A7</f>
        <v>估价对象为北京市海淀大街5号房地产，为所有。根据《国有土地使用证》[]，估价对象（分摊）出让国有建设用地使用权面积为6283.43平方米，建筑面积为18583.03平方米。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大街5号房地产,为开发建设的商业项目，该项目尚在开发建设中。根据《国有土地使用证》[]，估价对象（分摊）出让国有建设用地使用权面积为6283.43平方米，规划建筑面积为18583.03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为估价委托人在向农商行办理贷款手续过程中，确定房地产抵押贷款额度提供参考依据而评估房地产抵押价值。</v>
      </c>
    </row>
    <row r="12" spans="1:2" s="1365" customFormat="1">
      <c r="A12" s="1363" t="s">
        <v>1193</v>
      </c>
      <c r="B12" s="1364" t="str">
        <f>'预评函-1'!A15</f>
        <v>2020年11月20日（评估专业人员实地查勘之日）</v>
      </c>
    </row>
    <row r="13" spans="1:2" s="1365" customFormat="1">
      <c r="A13" s="1363" t="s">
        <v>1194</v>
      </c>
      <c r="B13" s="1364" t="str">
        <f>'预评函-1'!A18</f>
        <v>本次估价的“房地产价值”是指在正常市场情况下，在价值时点2020年11月20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72712</v>
      </c>
    </row>
    <row r="21" spans="1:2" s="1365" customFormat="1">
      <c r="A21" s="1363" t="s">
        <v>1202</v>
      </c>
      <c r="B21" s="1364">
        <f ca="1">'预评函-2'!D7</f>
        <v>39128</v>
      </c>
    </row>
    <row r="22" spans="1:2" s="1365" customFormat="1">
      <c r="A22" s="1363" t="s">
        <v>1203</v>
      </c>
      <c r="B22" s="1364" t="str">
        <f ca="1">'预评函-2'!D6</f>
        <v>柒亿贰仟柒佰壹拾贰万元整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72712</v>
      </c>
    </row>
    <row r="31" spans="1:2" s="1365" customFormat="1">
      <c r="A31" s="1363" t="s">
        <v>1241</v>
      </c>
      <c r="B31" s="1364">
        <f ca="1">'预评函-2'!D15</f>
        <v>39128</v>
      </c>
    </row>
    <row r="32" spans="1:2" s="1365" customFormat="1">
      <c r="A32" s="1363" t="s">
        <v>1208</v>
      </c>
      <c r="B32" s="1364" t="str">
        <f ca="1">'预评函-2'!D14</f>
        <v>柒亿贰仟柒佰壹拾贰万元整</v>
      </c>
    </row>
    <row r="33" spans="1:2" s="1365" customFormat="1">
      <c r="A33" s="1363" t="s">
        <v>1243</v>
      </c>
      <c r="B33" s="1364" t="str">
        <f>'预评函-2'!B16</f>
        <v>4.抵押担保权已注销时的房地产抵押价值</v>
      </c>
    </row>
    <row r="34" spans="1:2" s="1365" customFormat="1">
      <c r="A34" s="1363" t="s">
        <v>1261</v>
      </c>
      <c r="B34" s="1364">
        <f ca="1">'预评函-2'!D16</f>
        <v>72712</v>
      </c>
    </row>
    <row r="35" spans="1:2" s="1365" customFormat="1">
      <c r="A35" s="1363" t="s">
        <v>1242</v>
      </c>
      <c r="B35" s="1364">
        <f ca="1">'预评函-2'!D18</f>
        <v>39128</v>
      </c>
    </row>
    <row r="36" spans="1:2" s="1365" customFormat="1">
      <c r="A36" s="1363" t="s">
        <v>1209</v>
      </c>
      <c r="B36" s="1364" t="str">
        <f ca="1">'预评函-2'!D17</f>
        <v>柒亿贰仟柒佰壹拾贰万元整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北京市海淀大街5号房地产</v>
      </c>
    </row>
    <row r="42" spans="1:2" s="1365" customFormat="1">
      <c r="A42" s="1363" t="s">
        <v>1255</v>
      </c>
      <c r="B42" s="1364" t="str">
        <f>'预评函-3'!B2</f>
        <v>建筑面积</v>
      </c>
    </row>
    <row r="43" spans="1:2" s="1365" customFormat="1">
      <c r="A43" s="1363" t="s">
        <v>1256</v>
      </c>
      <c r="B43" s="1364">
        <f>'预评函-3'!B4</f>
        <v>18583.03</v>
      </c>
    </row>
    <row r="44" spans="1:2" s="1365" customFormat="1">
      <c r="A44" s="1363" t="s">
        <v>1240</v>
      </c>
      <c r="B44" s="1364" t="str">
        <f>'预评函-3'!C2</f>
        <v>(分摊)土地面积</v>
      </c>
    </row>
    <row r="45" spans="1:2" s="1365" customFormat="1">
      <c r="A45" s="1363" t="s">
        <v>1212</v>
      </c>
      <c r="B45" s="1364">
        <f>'预评函-3'!C4</f>
        <v>6283.43</v>
      </c>
    </row>
    <row r="46" spans="1:2" s="1365" customFormat="1">
      <c r="A46" s="1363" t="s">
        <v>1238</v>
      </c>
      <c r="B46" s="1364" t="str">
        <f>'预评函-3'!D2</f>
        <v>出让国有建设用地使用权价值</v>
      </c>
    </row>
    <row r="47" spans="1:2" s="1365" customFormat="1">
      <c r="A47" s="1363" t="s">
        <v>1213</v>
      </c>
      <c r="B47" s="1364">
        <f ca="1">'预评函-3'!D4</f>
        <v>66459</v>
      </c>
    </row>
    <row r="48" spans="1:2" s="1365" customFormat="1">
      <c r="A48" s="1363" t="s">
        <v>1214</v>
      </c>
      <c r="B48" s="1364">
        <f ca="1">'预评函-3'!E4</f>
        <v>35763</v>
      </c>
    </row>
    <row r="49" spans="1:2" s="1365" customFormat="1">
      <c r="A49" s="1363" t="s">
        <v>1215</v>
      </c>
      <c r="B49" s="1364" t="str">
        <f ca="1">'预评函-3'!D5</f>
        <v>陆亿陆仟肆佰伍拾玖万元整</v>
      </c>
    </row>
    <row r="50" spans="1:2" s="1365" customFormat="1">
      <c r="A50" s="1363" t="s">
        <v>1239</v>
      </c>
      <c r="B50" s="1364" t="str">
        <f>'预评函-3'!F2</f>
        <v>在建建筑物价值</v>
      </c>
    </row>
    <row r="51" spans="1:2" s="1365" customFormat="1">
      <c r="A51" s="1363" t="s">
        <v>1216</v>
      </c>
      <c r="B51" s="1364">
        <f ca="1">'预评函-3'!F4</f>
        <v>6253</v>
      </c>
    </row>
    <row r="52" spans="1:2" s="1365" customFormat="1">
      <c r="A52" s="1363" t="s">
        <v>1217</v>
      </c>
      <c r="B52" s="1364">
        <f ca="1">'预评函-3'!G4</f>
        <v>3365</v>
      </c>
    </row>
    <row r="53" spans="1:2" s="1365" customFormat="1">
      <c r="A53" s="1363" t="s">
        <v>1245</v>
      </c>
      <c r="B53" s="1364" t="str">
        <f ca="1">'预评函-3'!F5</f>
        <v>陆仟贰佰伍拾叁万元整</v>
      </c>
    </row>
    <row r="54" spans="1:2" s="1365" customFormat="1">
      <c r="A54" s="1363" t="s">
        <v>1263</v>
      </c>
      <c r="B54" s="1364" t="str">
        <f>'预评函-3'!A8</f>
        <v>房地产抵押价值</v>
      </c>
    </row>
    <row r="55" spans="1:2" s="1365" customFormat="1">
      <c r="A55" s="1363" t="s">
        <v>1246</v>
      </c>
      <c r="B55" s="1364" t="str">
        <f>'预评函-3'!A10</f>
        <v>抵押担保权已注销时的房地产抵押价值</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3108</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为估价委托人在向农商行办理贷款手续过程中，确定房地产抵押贷款额度提供参考依据而评估房地产抵押价值。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大街5号房地产作为抵押担保物，向农商行办理贷款手续。农商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20"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0"/>
      <c r="B54" s="1741" t="s">
        <v>832</v>
      </c>
      <c r="C54" s="1738" t="s">
        <v>1248</v>
      </c>
    </row>
    <row r="55" spans="1:4">
      <c r="A55" s="3120"/>
      <c r="B55" s="1741" t="s">
        <v>833</v>
      </c>
      <c r="C55" s="1738" t="s">
        <v>1249</v>
      </c>
    </row>
    <row r="56" spans="1:4">
      <c r="A56" s="3120"/>
      <c r="B56" s="1741" t="s">
        <v>834</v>
      </c>
      <c r="C56" s="1738" t="s">
        <v>1253</v>
      </c>
    </row>
    <row r="57" spans="1:4">
      <c r="A57" s="3120"/>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42" sqref="M42"/>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2913</v>
      </c>
      <c r="B1" s="3121" t="str">
        <f>IF(B10="北京市","北京市",C10)&amp;F10&amp;IF('结果表-商业'!G1="在建","出让国有建设用地使用权及在建建筑物",IF('结果表-商业'!G1="土地","出让国有建设用地使用权",))&amp;B9&amp;"预评估"</f>
        <v>北京市海淀大街5号房地产抵押价值预评估</v>
      </c>
      <c r="C1" s="3122"/>
      <c r="D1" s="3122"/>
      <c r="E1" s="3122"/>
      <c r="F1" s="3122"/>
      <c r="G1" s="3122"/>
      <c r="H1" s="3122"/>
      <c r="I1" s="3123"/>
      <c r="J1" s="2697"/>
      <c r="K1" s="2593"/>
      <c r="L1" s="2594"/>
      <c r="M1" s="2594"/>
      <c r="N1" s="2595"/>
      <c r="O1" s="1763"/>
      <c r="P1" s="2595"/>
      <c r="Q1" s="2595"/>
      <c r="R1" s="2595"/>
      <c r="S1" s="1870" t="str">
        <f>IF(B10="北京市","北京市",C10)&amp;F10&amp;IF('结果表-商业'!G1="在建","出让国有建设用地使用权及在建建筑物房地产抵押价值",IF('结果表-商业'!G1="土地","出让国有建设用地使用权抵押价值",B9))</f>
        <v>北京市海淀大街5号房地产抵押价值</v>
      </c>
      <c r="T1" s="1933"/>
      <c r="U1" s="1933"/>
      <c r="V1" s="1933"/>
      <c r="W1" s="1933"/>
      <c r="X1" s="1933"/>
      <c r="Y1" s="1933"/>
      <c r="Z1" s="1933"/>
      <c r="AA1" s="1933"/>
      <c r="AB1" s="1933"/>
    </row>
    <row r="2" spans="1:28">
      <c r="A2" s="2592" t="s">
        <v>2914</v>
      </c>
      <c r="B2" s="2596"/>
      <c r="C2" s="2597"/>
      <c r="D2" s="2899"/>
      <c r="E2" s="2889"/>
      <c r="F2" s="2889"/>
      <c r="G2" s="2890"/>
      <c r="H2" s="2890"/>
      <c r="I2" s="2890"/>
      <c r="J2" s="2697"/>
      <c r="K2" s="2593"/>
      <c r="L2" s="2594"/>
      <c r="M2" s="2594"/>
      <c r="N2" s="2595"/>
      <c r="O2" s="1763"/>
      <c r="P2" s="2595"/>
      <c r="Q2" s="2595"/>
      <c r="R2" s="2595"/>
      <c r="S2" s="1870" t="str">
        <f>IF(B10="北京市","北京市",C10)&amp;F10&amp;IF('结果表-商业'!G1="在建","出让国有建设用地使用权及在建建筑物房地产",IF('结果表-商业'!G1="土地","出让国有建设用地使用权","房地产"))</f>
        <v>北京市海淀大街5号房地产</v>
      </c>
      <c r="T2" s="1933"/>
      <c r="U2" s="1933"/>
      <c r="V2" s="1933"/>
      <c r="W2" s="1933"/>
      <c r="X2" s="1933"/>
      <c r="Y2" s="1933"/>
      <c r="Z2" s="1933"/>
      <c r="AA2" s="1933"/>
      <c r="AB2" s="1933"/>
    </row>
    <row r="3" spans="1:28">
      <c r="A3" s="308" t="s">
        <v>2915</v>
      </c>
      <c r="B3" s="2598">
        <v>44155</v>
      </c>
      <c r="C3" s="2599" t="s">
        <v>2916</v>
      </c>
      <c r="D3" s="2598">
        <f>B3</f>
        <v>44155</v>
      </c>
      <c r="E3" s="2890"/>
      <c r="F3" s="2890"/>
      <c r="G3" s="2890"/>
      <c r="H3" s="2890"/>
      <c r="I3" s="2890"/>
      <c r="J3" s="2697"/>
      <c r="K3" s="2593"/>
      <c r="L3" s="2594"/>
      <c r="M3" s="2594"/>
      <c r="N3" s="2595"/>
      <c r="O3" s="1763"/>
      <c r="P3" s="2595"/>
      <c r="Q3" s="2595"/>
      <c r="R3" s="2595"/>
      <c r="S3" s="1870"/>
      <c r="T3" s="1933"/>
      <c r="U3" s="1933"/>
      <c r="V3" s="1933"/>
      <c r="W3" s="1933"/>
      <c r="X3" s="1933"/>
      <c r="Y3" s="1933"/>
      <c r="Z3" s="1933"/>
      <c r="AA3" s="1933"/>
      <c r="AB3" s="1933"/>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5"/>
      <c r="K4" s="2603" t="str">
        <f>CONCATENATE(B4,"（注册号：",C4,")、",D4,"（注册号：",E4,")")</f>
        <v>（注册号：0)、（注册号：0)</v>
      </c>
      <c r="L4" s="2594"/>
      <c r="M4" s="2594"/>
      <c r="N4" s="2595"/>
      <c r="O4" s="1763"/>
      <c r="P4" s="2595"/>
      <c r="Q4" s="2595"/>
      <c r="R4" s="2595"/>
      <c r="S4" s="1870"/>
      <c r="T4" s="1933"/>
      <c r="U4" s="1933"/>
      <c r="V4" s="1933"/>
      <c r="W4" s="1933"/>
      <c r="X4" s="1933"/>
      <c r="Y4" s="1933"/>
      <c r="Z4" s="1933"/>
      <c r="AA4" s="1933"/>
      <c r="AB4" s="1933"/>
    </row>
    <row r="5" spans="1:28" ht="13.5" thickTop="1">
      <c r="A5" s="2604" t="s">
        <v>2918</v>
      </c>
      <c r="B5" s="2605"/>
      <c r="C5" s="2606"/>
      <c r="D5" s="2607"/>
      <c r="E5" s="2891"/>
      <c r="F5" s="2891"/>
      <c r="G5" s="2891"/>
      <c r="H5" s="2891"/>
      <c r="I5" s="2891"/>
      <c r="J5" s="2665"/>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8" t="s">
        <v>2919</v>
      </c>
      <c r="B6" s="3043" t="s">
        <v>3098</v>
      </c>
      <c r="C6" s="2609"/>
      <c r="D6" s="2610"/>
      <c r="E6" s="2889"/>
      <c r="F6" s="2891"/>
      <c r="G6" s="2891"/>
      <c r="H6" s="2891"/>
      <c r="I6" s="2891"/>
      <c r="J6" s="2665"/>
      <c r="K6" s="2841" t="str">
        <f>IF(COUNTIF(B6,"*上海银行*"),"上海银行","")</f>
        <v/>
      </c>
      <c r="L6" s="2839"/>
      <c r="M6" s="2839"/>
      <c r="N6" s="2665"/>
      <c r="O6" s="2676"/>
      <c r="P6" s="2665"/>
      <c r="Q6" s="2665"/>
      <c r="R6" s="2665"/>
    </row>
    <row r="7" spans="1:28">
      <c r="A7" s="2608" t="s">
        <v>2920</v>
      </c>
      <c r="B7" s="2611"/>
      <c r="C7" s="2609"/>
      <c r="D7" s="2610"/>
      <c r="E7" s="2889"/>
      <c r="F7" s="2891"/>
      <c r="G7" s="2891"/>
      <c r="H7" s="2891"/>
      <c r="I7" s="2891"/>
      <c r="J7" s="2665"/>
      <c r="K7" s="2842"/>
      <c r="L7" s="2839"/>
      <c r="M7" s="2839"/>
      <c r="N7" s="2665"/>
      <c r="O7" s="2676"/>
      <c r="P7" s="2665"/>
      <c r="Q7" s="2665"/>
      <c r="R7" s="2665"/>
    </row>
    <row r="8" spans="1:28">
      <c r="A8" s="2612" t="s">
        <v>2921</v>
      </c>
      <c r="B8" s="2613" t="s">
        <v>3058</v>
      </c>
      <c r="C8" s="2614"/>
      <c r="D8" s="3124" t="s">
        <v>2922</v>
      </c>
      <c r="E8" s="2615" t="s">
        <v>3059</v>
      </c>
      <c r="F8" s="2616"/>
      <c r="G8" s="2890"/>
      <c r="H8" s="2890"/>
      <c r="I8" s="2890"/>
      <c r="J8" s="2665"/>
      <c r="K8" s="2840"/>
      <c r="L8" s="2839"/>
      <c r="M8" s="2839"/>
      <c r="N8" s="2665"/>
      <c r="O8" s="2676"/>
      <c r="P8" s="2665"/>
      <c r="Q8" s="2665"/>
      <c r="R8" s="2665"/>
    </row>
    <row r="9" spans="1:28" ht="13.5" thickBot="1">
      <c r="A9" s="2617" t="s">
        <v>2923</v>
      </c>
      <c r="B9" s="2618" t="s">
        <v>3060</v>
      </c>
      <c r="C9" s="2619"/>
      <c r="D9" s="3125"/>
      <c r="E9" s="2618"/>
      <c r="F9" s="2620"/>
      <c r="G9" s="2892"/>
      <c r="H9" s="2892"/>
      <c r="I9" s="2892"/>
      <c r="J9" s="2665"/>
      <c r="K9" s="2842"/>
      <c r="L9" s="2839"/>
      <c r="M9" s="2839"/>
      <c r="N9" s="2665"/>
      <c r="O9" s="2676"/>
      <c r="P9" s="2665"/>
      <c r="Q9" s="2665"/>
      <c r="R9" s="2665"/>
    </row>
    <row r="10" spans="1:28" ht="13.5" thickTop="1">
      <c r="A10" s="2621" t="s">
        <v>2924</v>
      </c>
      <c r="B10" s="2622" t="s">
        <v>3061</v>
      </c>
      <c r="C10" s="2623"/>
      <c r="D10" s="2607"/>
      <c r="E10" s="2624" t="s">
        <v>2925</v>
      </c>
      <c r="F10" s="2893" t="s">
        <v>3111</v>
      </c>
      <c r="G10" s="2894"/>
      <c r="H10" s="2895"/>
      <c r="I10" s="2896"/>
      <c r="J10" s="2665"/>
      <c r="K10" s="2842"/>
      <c r="L10" s="2839"/>
      <c r="M10" s="2839"/>
      <c r="N10" s="2665"/>
      <c r="O10" s="2676"/>
      <c r="P10" s="2665"/>
      <c r="Q10" s="2665"/>
      <c r="R10" s="2665"/>
    </row>
    <row r="11" spans="1:28">
      <c r="A11" s="2625" t="s">
        <v>2926</v>
      </c>
      <c r="B11" s="2626" t="s">
        <v>3062</v>
      </c>
      <c r="C11" s="2627"/>
      <c r="D11" s="2628"/>
      <c r="E11" s="2595"/>
      <c r="F11" s="2595"/>
      <c r="G11" s="2595"/>
      <c r="H11" s="2595"/>
      <c r="I11" s="2595"/>
      <c r="J11" s="2665"/>
      <c r="K11" s="2842"/>
      <c r="L11" s="2839"/>
      <c r="M11" s="2839"/>
      <c r="N11" s="2665"/>
      <c r="O11" s="2676"/>
      <c r="P11" s="2665"/>
      <c r="Q11" s="2665"/>
      <c r="R11" s="2665"/>
    </row>
    <row r="12" spans="1:28">
      <c r="A12" s="2629" t="s">
        <v>2927</v>
      </c>
      <c r="B12" s="2626" t="s">
        <v>3063</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v>54018</v>
      </c>
      <c r="F13" s="965"/>
      <c r="G13" s="965"/>
      <c r="H13" s="965"/>
      <c r="I13" s="965"/>
      <c r="J13" s="2665"/>
      <c r="K13" s="2842"/>
      <c r="L13" s="2839"/>
      <c r="M13" s="2839"/>
      <c r="N13" s="2665"/>
      <c r="O13" s="2676"/>
      <c r="P13" s="2665"/>
      <c r="Q13" s="2665"/>
      <c r="R13" s="2665"/>
    </row>
    <row r="14" spans="1:28">
      <c r="A14" s="1241"/>
      <c r="B14" s="2631"/>
      <c r="C14" s="2632" t="s">
        <v>2936</v>
      </c>
      <c r="D14" s="2633"/>
      <c r="E14" s="2633">
        <v>40</v>
      </c>
      <c r="F14" s="2633"/>
      <c r="G14" s="2633">
        <v>50</v>
      </c>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f>IF(B12="出让",IF(E13="","",ROUNDDOWN(MIN((E13-$D$3)/365,E14),2)),E14)</f>
        <v>27.02</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31"/>
      <c r="C16" s="3132"/>
      <c r="D16" s="3133"/>
      <c r="E16" s="2639" t="s">
        <v>2939</v>
      </c>
      <c r="F16" s="3134"/>
      <c r="G16" s="3135"/>
      <c r="H16" s="3135"/>
      <c r="I16" s="3136"/>
      <c r="J16" s="2665"/>
      <c r="K16" s="2844"/>
      <c r="L16" s="2677"/>
      <c r="M16" s="2677"/>
      <c r="N16" s="2735"/>
      <c r="O16" s="2677"/>
      <c r="P16" s="2735"/>
      <c r="Q16" s="2665"/>
      <c r="R16" s="2665"/>
    </row>
    <row r="17" spans="1:28">
      <c r="A17" s="319" t="s">
        <v>2940</v>
      </c>
      <c r="B17" s="308" t="s">
        <v>2941</v>
      </c>
      <c r="C17" s="11">
        <f>'数据-汇总表'!E3</f>
        <v>18583.03</v>
      </c>
      <c r="D17" s="2546" t="s">
        <v>2942</v>
      </c>
      <c r="E17" s="3137" t="s">
        <v>2943</v>
      </c>
      <c r="F17" s="3138"/>
      <c r="G17" s="3138"/>
      <c r="H17" s="3138"/>
      <c r="I17" s="3139"/>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6283.43</v>
      </c>
      <c r="D18" s="1252" t="s">
        <v>2946</v>
      </c>
      <c r="E18" s="3140" t="s">
        <v>2947</v>
      </c>
      <c r="F18" s="3141"/>
      <c r="G18" s="3141"/>
      <c r="H18" s="3141"/>
      <c r="I18" s="3142"/>
      <c r="J18" s="2665"/>
      <c r="K18" s="2845"/>
      <c r="L18" s="2677"/>
      <c r="M18" s="2677"/>
      <c r="N18" s="2735"/>
      <c r="O18" s="2677"/>
      <c r="P18" s="2735"/>
      <c r="Q18" s="2665"/>
      <c r="R18" s="2665"/>
      <c r="S18" s="2665"/>
      <c r="T18" s="2665"/>
      <c r="U18" s="2665"/>
      <c r="V18" s="2665"/>
    </row>
    <row r="19" spans="1:28" ht="37.5" thickTop="1" thickBot="1">
      <c r="A19" s="333" t="s">
        <v>1741</v>
      </c>
      <c r="B19" s="313" t="s">
        <v>2948</v>
      </c>
      <c r="C19" s="1750"/>
      <c r="D19" s="1751" t="s">
        <v>2949</v>
      </c>
      <c r="E19" s="1752"/>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c r="A20" s="2859" t="s">
        <v>2950</v>
      </c>
      <c r="B20" s="3127" t="s">
        <v>2951</v>
      </c>
      <c r="C20" s="3128"/>
      <c r="D20" s="3129" t="s">
        <v>2952</v>
      </c>
      <c r="E20" s="3130"/>
      <c r="F20" s="2874" t="s">
        <v>1742</v>
      </c>
      <c r="G20" s="2891"/>
      <c r="H20" s="2891"/>
      <c r="I20" s="2891"/>
      <c r="J20" s="2665"/>
      <c r="K20" s="3126"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3"/>
      <c r="X20" s="1933"/>
      <c r="Y20" s="1933"/>
      <c r="Z20" s="1933"/>
      <c r="AA20" s="1933"/>
      <c r="AB20" s="1933"/>
    </row>
    <row r="21" spans="1:28" ht="24.75" thickBot="1">
      <c r="A21" s="2859"/>
      <c r="B21" s="2860" t="s">
        <v>2954</v>
      </c>
      <c r="C21" s="2861" t="s">
        <v>1743</v>
      </c>
      <c r="D21" s="1755" t="s">
        <v>2955</v>
      </c>
      <c r="E21" s="2862" t="s">
        <v>1743</v>
      </c>
      <c r="F21" s="2875"/>
      <c r="G21" s="2891"/>
      <c r="H21" s="2891"/>
      <c r="I21" s="2891"/>
      <c r="J21" s="2665"/>
      <c r="K21" s="31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3"/>
      <c r="X21" s="1933"/>
      <c r="Y21" s="1933"/>
      <c r="Z21" s="1933"/>
      <c r="AA21" s="1933"/>
      <c r="AB21" s="1933"/>
    </row>
    <row r="22" spans="1:28" ht="24.75" thickBot="1">
      <c r="A22" s="2859"/>
      <c r="B22" s="2863" t="s">
        <v>2956</v>
      </c>
      <c r="C22" s="2861" t="s">
        <v>1744</v>
      </c>
      <c r="D22" s="2890"/>
      <c r="E22" s="2890"/>
      <c r="F22" s="2890"/>
      <c r="G22" s="2891"/>
      <c r="H22" s="2891"/>
      <c r="I22" s="2891"/>
      <c r="J22" s="2665"/>
      <c r="K22" s="3126"/>
      <c r="L22" s="693"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3"/>
      <c r="X22" s="1933"/>
      <c r="Y22" s="1933"/>
      <c r="Z22" s="1933"/>
      <c r="AA22" s="1933"/>
      <c r="AB22" s="1933"/>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44" t="s">
        <v>2959</v>
      </c>
      <c r="B27" s="326" t="s">
        <v>2960</v>
      </c>
      <c r="C27" s="2642" t="s">
        <v>3064</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44"/>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44"/>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45"/>
      <c r="B30" s="308" t="s">
        <v>2963</v>
      </c>
      <c r="C30" s="3146"/>
      <c r="D30" s="3147"/>
      <c r="E30" s="2891"/>
      <c r="F30" s="2891"/>
      <c r="G30" s="2891"/>
      <c r="H30" s="2891"/>
      <c r="I30" s="2891"/>
      <c r="J30" s="2665"/>
      <c r="K30" s="2842"/>
      <c r="L30" s="2839"/>
      <c r="M30" s="2839"/>
      <c r="N30" s="2665"/>
      <c r="O30" s="2676"/>
      <c r="P30" s="2665"/>
      <c r="Q30" s="2665"/>
      <c r="R30" s="2665"/>
      <c r="S30" s="2665"/>
      <c r="T30" s="2665"/>
      <c r="U30" s="2665"/>
      <c r="V30" s="2665"/>
    </row>
    <row r="31" spans="1:28">
      <c r="A31" s="3148" t="s">
        <v>2964</v>
      </c>
      <c r="B31" s="2648" t="s">
        <v>3065</v>
      </c>
      <c r="C31" s="2547"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c r="A32" s="3149"/>
      <c r="B32" s="2648"/>
      <c r="C32" s="2547"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c r="A33" s="3149"/>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6"/>
      <c r="C34" s="2216"/>
      <c r="D34" s="2216"/>
      <c r="E34" s="2216"/>
      <c r="F34" s="2216"/>
      <c r="G34" s="2216"/>
      <c r="H34" s="2216"/>
      <c r="I34" s="2891"/>
      <c r="J34" s="2665"/>
      <c r="K34" s="2653">
        <f>COUNTIF(B34:H34,"——")</f>
        <v>0</v>
      </c>
      <c r="L34" s="329" t="s">
        <v>2966</v>
      </c>
      <c r="M34" s="329" t="s">
        <v>2967</v>
      </c>
      <c r="N34" s="329" t="s">
        <v>2968</v>
      </c>
      <c r="O34" s="329" t="s">
        <v>2969</v>
      </c>
      <c r="P34" s="329" t="s">
        <v>2970</v>
      </c>
      <c r="Q34" s="329" t="s">
        <v>2971</v>
      </c>
      <c r="R34" s="329" t="s">
        <v>2972</v>
      </c>
      <c r="S34" s="3143" t="s">
        <v>2973</v>
      </c>
      <c r="T34" s="2654" t="str">
        <f>NUMBERSTRING(7-K34,1)&amp;"通"</f>
        <v>七通</v>
      </c>
      <c r="U34" s="2665"/>
      <c r="V34" s="2665"/>
    </row>
    <row r="35" spans="1:30">
      <c r="A35" s="2655"/>
      <c r="B35" s="3150" t="s">
        <v>2974</v>
      </c>
      <c r="C35" s="3150"/>
      <c r="D35" s="3150"/>
      <c r="E35" s="3150"/>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3"/>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t="s">
        <v>442</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t="s">
        <v>238</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5"/>
      <c r="J40" s="2735"/>
      <c r="K40" s="2841"/>
      <c r="L40" s="2677"/>
      <c r="M40" s="2677"/>
      <c r="N40" s="2735"/>
      <c r="O40" s="2677"/>
      <c r="P40" s="2665"/>
      <c r="Q40" s="2665"/>
      <c r="R40" s="2665"/>
      <c r="S40" s="2665"/>
      <c r="T40" s="2665"/>
      <c r="U40" s="2665"/>
      <c r="V40" s="2665"/>
    </row>
    <row r="41" spans="1:30">
      <c r="A41" s="2662" t="s">
        <v>2978</v>
      </c>
      <c r="B41" s="1945"/>
      <c r="C41" s="1559"/>
      <c r="D41" s="2595"/>
      <c r="E41" s="2595"/>
      <c r="F41" s="2595"/>
      <c r="G41" s="2595"/>
      <c r="H41" s="2595"/>
      <c r="I41" s="1763"/>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4"/>
  <sheetViews>
    <sheetView zoomScale="85" zoomScaleNormal="85" workbookViewId="0">
      <selection activeCell="S3" sqref="S3:T24"/>
    </sheetView>
  </sheetViews>
  <sheetFormatPr defaultRowHeight="12"/>
  <cols>
    <col min="1" max="1" width="5.25" style="3072" customWidth="1"/>
    <col min="2" max="7" width="9" style="3072"/>
    <col min="8" max="8" width="11.75" style="3072" bestFit="1" customWidth="1"/>
    <col min="9" max="9" width="11.625" style="3072" bestFit="1" customWidth="1"/>
    <col min="10" max="11" width="11.625" style="3072" customWidth="1"/>
    <col min="12" max="15" width="9" style="3072"/>
    <col min="16" max="16" width="11.75" style="3072" bestFit="1" customWidth="1"/>
    <col min="17" max="17" width="9.625" style="3072" bestFit="1" customWidth="1"/>
    <col min="18" max="21" width="9" style="3072"/>
    <col min="22" max="22" width="11.75" style="3072" bestFit="1" customWidth="1"/>
    <col min="23" max="16384" width="9" style="3072"/>
  </cols>
  <sheetData>
    <row r="1" spans="1:20">
      <c r="O1" s="3073">
        <v>0.2</v>
      </c>
    </row>
    <row r="2" spans="1:20">
      <c r="N2" s="3072" t="s">
        <v>3165</v>
      </c>
      <c r="O2" s="3072" t="s">
        <v>3167</v>
      </c>
      <c r="P2" s="3072" t="s">
        <v>3173</v>
      </c>
      <c r="Q2" s="3072" t="s">
        <v>3172</v>
      </c>
    </row>
    <row r="3" spans="1:20">
      <c r="A3" s="3420" t="s">
        <v>3112</v>
      </c>
      <c r="B3" s="3420" t="s">
        <v>3113</v>
      </c>
      <c r="C3" s="3420" t="s">
        <v>3114</v>
      </c>
      <c r="D3" s="3420" t="s">
        <v>3115</v>
      </c>
      <c r="E3" s="3420" t="s">
        <v>3116</v>
      </c>
      <c r="F3" s="3420" t="s">
        <v>3117</v>
      </c>
      <c r="G3" s="3420" t="s">
        <v>3118</v>
      </c>
      <c r="H3" s="3420" t="s">
        <v>3119</v>
      </c>
      <c r="I3" s="3420" t="s">
        <v>3120</v>
      </c>
      <c r="J3" s="3420" t="s">
        <v>3161</v>
      </c>
      <c r="K3" s="3420" t="s">
        <v>3160</v>
      </c>
      <c r="L3" s="3420" t="s">
        <v>3159</v>
      </c>
      <c r="S3" s="3077" t="s">
        <v>3191</v>
      </c>
      <c r="T3" s="3077" t="s">
        <v>3193</v>
      </c>
    </row>
    <row r="4" spans="1:20" ht="36">
      <c r="A4" s="3420">
        <v>1</v>
      </c>
      <c r="B4" s="3420" t="s">
        <v>3121</v>
      </c>
      <c r="C4" s="3420" t="s">
        <v>3122</v>
      </c>
      <c r="D4" s="3420" t="s">
        <v>3123</v>
      </c>
      <c r="E4" s="3420" t="s">
        <v>3124</v>
      </c>
      <c r="F4" s="3420" t="s">
        <v>3125</v>
      </c>
      <c r="G4" s="3420">
        <v>6283.43</v>
      </c>
      <c r="H4" s="3420">
        <v>18583.03</v>
      </c>
      <c r="I4" s="3421">
        <v>54018</v>
      </c>
      <c r="J4" s="3422"/>
      <c r="K4" s="3422"/>
      <c r="L4" s="3423" t="s">
        <v>3126</v>
      </c>
      <c r="S4" s="3077">
        <f ca="1">'结果表-商业'!G19</f>
        <v>72712</v>
      </c>
      <c r="T4" s="3077">
        <f ca="1">ROUND(S4/H4*10000,0)</f>
        <v>39128</v>
      </c>
    </row>
    <row r="5" spans="1:20" ht="36">
      <c r="A5" s="3420">
        <v>2</v>
      </c>
      <c r="B5" s="3420" t="s">
        <v>3121</v>
      </c>
      <c r="C5" s="3420" t="s">
        <v>3127</v>
      </c>
      <c r="D5" s="3420" t="s">
        <v>3128</v>
      </c>
      <c r="E5" s="3420" t="s">
        <v>3129</v>
      </c>
      <c r="F5" s="3420" t="s">
        <v>3130</v>
      </c>
      <c r="G5" s="3420">
        <v>10788.17</v>
      </c>
      <c r="H5" s="3420">
        <v>17823.330000000002</v>
      </c>
      <c r="I5" s="3421">
        <v>53350</v>
      </c>
      <c r="J5" s="3422"/>
      <c r="K5" s="3422"/>
      <c r="L5" s="3420" t="s">
        <v>3131</v>
      </c>
      <c r="S5" s="3077">
        <f ca="1">'[2]结果表-商业'!$G$19</f>
        <v>26369</v>
      </c>
      <c r="T5" s="3077">
        <f ca="1">ROUND(S5/H5*10000,0)</f>
        <v>14795</v>
      </c>
    </row>
    <row r="6" spans="1:20" ht="13.5" customHeight="1">
      <c r="A6" s="3424">
        <v>3</v>
      </c>
      <c r="B6" s="3424" t="s">
        <v>3132</v>
      </c>
      <c r="C6" s="3424" t="s">
        <v>3133</v>
      </c>
      <c r="D6" s="3424" t="s">
        <v>3134</v>
      </c>
      <c r="E6" s="3424" t="s">
        <v>3135</v>
      </c>
      <c r="F6" s="3424" t="s">
        <v>3136</v>
      </c>
      <c r="G6" s="3424">
        <v>35234.239999999998</v>
      </c>
      <c r="H6" s="3424">
        <v>68134.5</v>
      </c>
      <c r="I6" s="3424" t="s">
        <v>3137</v>
      </c>
      <c r="J6" s="3422">
        <v>183.52</v>
      </c>
      <c r="K6" s="3422" t="s">
        <v>3174</v>
      </c>
      <c r="L6" s="3425" t="s">
        <v>3138</v>
      </c>
      <c r="M6" s="3072" t="s">
        <v>3178</v>
      </c>
      <c r="N6" s="3072">
        <f>J6</f>
        <v>183.52</v>
      </c>
      <c r="S6" s="3151">
        <f ca="1">[3]结果表!$G$19</f>
        <v>136730</v>
      </c>
      <c r="T6" s="3151">
        <f ca="1">ROUND(S6/H6*10000,0)</f>
        <v>20068</v>
      </c>
    </row>
    <row r="7" spans="1:20">
      <c r="A7" s="3426"/>
      <c r="B7" s="3426"/>
      <c r="C7" s="3426"/>
      <c r="D7" s="3426"/>
      <c r="E7" s="3426"/>
      <c r="F7" s="3426"/>
      <c r="G7" s="3426"/>
      <c r="H7" s="3426"/>
      <c r="I7" s="3426"/>
      <c r="J7" s="3422">
        <v>3633.91</v>
      </c>
      <c r="K7" s="3422" t="s">
        <v>3168</v>
      </c>
      <c r="L7" s="3427"/>
      <c r="M7" s="3072" t="s">
        <v>3178</v>
      </c>
      <c r="N7" s="3072">
        <f t="shared" ref="N7:N8" si="0">J7</f>
        <v>3633.91</v>
      </c>
      <c r="S7" s="3151"/>
      <c r="T7" s="3151"/>
    </row>
    <row r="8" spans="1:20">
      <c r="A8" s="3426"/>
      <c r="B8" s="3426"/>
      <c r="C8" s="3426"/>
      <c r="D8" s="3426"/>
      <c r="E8" s="3426"/>
      <c r="F8" s="3426"/>
      <c r="G8" s="3426"/>
      <c r="H8" s="3426"/>
      <c r="I8" s="3426"/>
      <c r="J8" s="3422">
        <v>11962.7</v>
      </c>
      <c r="K8" s="3422" t="s">
        <v>3162</v>
      </c>
      <c r="L8" s="3427"/>
      <c r="M8" s="3072" t="s">
        <v>3178</v>
      </c>
      <c r="N8" s="3072">
        <f t="shared" si="0"/>
        <v>11962.7</v>
      </c>
      <c r="S8" s="3151"/>
      <c r="T8" s="3151"/>
    </row>
    <row r="9" spans="1:20">
      <c r="A9" s="3426"/>
      <c r="B9" s="3426"/>
      <c r="C9" s="3426"/>
      <c r="D9" s="3426"/>
      <c r="E9" s="3426"/>
      <c r="F9" s="3426"/>
      <c r="G9" s="3426"/>
      <c r="H9" s="3426"/>
      <c r="I9" s="3426"/>
      <c r="J9" s="3422">
        <v>6014.39</v>
      </c>
      <c r="K9" s="3422" t="s">
        <v>3175</v>
      </c>
      <c r="L9" s="3427"/>
      <c r="M9" s="3072" t="s">
        <v>3179</v>
      </c>
      <c r="Q9" s="3072">
        <f>J9</f>
        <v>6014.39</v>
      </c>
      <c r="S9" s="3151"/>
      <c r="T9" s="3151"/>
    </row>
    <row r="10" spans="1:20" ht="24">
      <c r="A10" s="3426"/>
      <c r="B10" s="3426"/>
      <c r="C10" s="3426"/>
      <c r="D10" s="3426"/>
      <c r="E10" s="3426"/>
      <c r="F10" s="3426"/>
      <c r="G10" s="3426"/>
      <c r="H10" s="3426"/>
      <c r="I10" s="3426"/>
      <c r="J10" s="3422">
        <v>13777.93</v>
      </c>
      <c r="K10" s="3422" t="s">
        <v>3175</v>
      </c>
      <c r="L10" s="3427"/>
      <c r="M10" s="3072" t="s">
        <v>3180</v>
      </c>
      <c r="N10" s="3072">
        <f>J10-O10</f>
        <v>11022.34</v>
      </c>
      <c r="O10" s="3072">
        <f>ROUND(J10*0.2,2)</f>
        <v>2755.59</v>
      </c>
      <c r="S10" s="3151"/>
      <c r="T10" s="3151"/>
    </row>
    <row r="11" spans="1:20" ht="24">
      <c r="A11" s="3426"/>
      <c r="B11" s="3426"/>
      <c r="C11" s="3426"/>
      <c r="D11" s="3426"/>
      <c r="E11" s="3426"/>
      <c r="F11" s="3426"/>
      <c r="G11" s="3426"/>
      <c r="H11" s="3426"/>
      <c r="I11" s="3426"/>
      <c r="J11" s="3422">
        <v>283.77999999999997</v>
      </c>
      <c r="K11" s="3422" t="s">
        <v>3176</v>
      </c>
      <c r="L11" s="3427"/>
      <c r="M11" s="3072" t="s">
        <v>3180</v>
      </c>
      <c r="N11" s="3072">
        <f>J11-O11</f>
        <v>227.01999999999998</v>
      </c>
      <c r="O11" s="3072">
        <f>ROUND(J11*0.2,2)</f>
        <v>56.76</v>
      </c>
      <c r="S11" s="3151"/>
      <c r="T11" s="3151"/>
    </row>
    <row r="12" spans="1:20">
      <c r="A12" s="3426"/>
      <c r="B12" s="3426"/>
      <c r="C12" s="3426"/>
      <c r="D12" s="3426"/>
      <c r="E12" s="3426"/>
      <c r="F12" s="3426"/>
      <c r="G12" s="3426"/>
      <c r="H12" s="3426"/>
      <c r="I12" s="3426"/>
      <c r="J12" s="3422">
        <v>6610.44</v>
      </c>
      <c r="K12" s="3422" t="s">
        <v>3176</v>
      </c>
      <c r="L12" s="3427"/>
      <c r="M12" s="3072" t="s">
        <v>3179</v>
      </c>
      <c r="Q12" s="3072">
        <f>J12</f>
        <v>6610.44</v>
      </c>
      <c r="S12" s="3151"/>
      <c r="T12" s="3151"/>
    </row>
    <row r="13" spans="1:20">
      <c r="A13" s="3426"/>
      <c r="B13" s="3426"/>
      <c r="C13" s="3426"/>
      <c r="D13" s="3426"/>
      <c r="E13" s="3426"/>
      <c r="F13" s="3426"/>
      <c r="G13" s="3426"/>
      <c r="H13" s="3426"/>
      <c r="I13" s="3426"/>
      <c r="J13" s="3422">
        <v>6579.02</v>
      </c>
      <c r="K13" s="3422" t="s">
        <v>3177</v>
      </c>
      <c r="L13" s="3427"/>
      <c r="M13" s="3072" t="s">
        <v>3179</v>
      </c>
      <c r="Q13" s="3072">
        <f>J13</f>
        <v>6579.02</v>
      </c>
      <c r="S13" s="3151"/>
      <c r="T13" s="3151"/>
    </row>
    <row r="14" spans="1:20" ht="24">
      <c r="A14" s="3428"/>
      <c r="B14" s="3428"/>
      <c r="C14" s="3428"/>
      <c r="D14" s="3428"/>
      <c r="E14" s="3428"/>
      <c r="F14" s="3428"/>
      <c r="G14" s="3428"/>
      <c r="H14" s="3428"/>
      <c r="I14" s="3428"/>
      <c r="J14" s="3422">
        <v>19088.8</v>
      </c>
      <c r="K14" s="3422" t="s">
        <v>3177</v>
      </c>
      <c r="L14" s="3429"/>
      <c r="M14" s="3072" t="s">
        <v>3166</v>
      </c>
      <c r="N14" s="3072">
        <f>J14-O14</f>
        <v>15271.039999999999</v>
      </c>
      <c r="O14" s="3072">
        <f>ROUND(J14*0.2,2)</f>
        <v>3817.76</v>
      </c>
      <c r="S14" s="3151"/>
      <c r="T14" s="3151"/>
    </row>
    <row r="15" spans="1:20">
      <c r="A15" s="3424">
        <v>4</v>
      </c>
      <c r="B15" s="3424" t="s">
        <v>3139</v>
      </c>
      <c r="C15" s="3424" t="s">
        <v>3140</v>
      </c>
      <c r="D15" s="3424" t="s">
        <v>3141</v>
      </c>
      <c r="E15" s="3424" t="s">
        <v>3142</v>
      </c>
      <c r="F15" s="3424" t="s">
        <v>3143</v>
      </c>
      <c r="G15" s="3424">
        <v>33077.82</v>
      </c>
      <c r="H15" s="3424">
        <v>44382.53</v>
      </c>
      <c r="I15" s="3430">
        <v>52558</v>
      </c>
      <c r="J15" s="3422">
        <v>221.33</v>
      </c>
      <c r="K15" s="3421" t="s">
        <v>3162</v>
      </c>
      <c r="L15" s="3424" t="s">
        <v>3144</v>
      </c>
      <c r="M15" s="3072" t="s">
        <v>3165</v>
      </c>
      <c r="N15" s="3072">
        <f>J15</f>
        <v>221.33</v>
      </c>
      <c r="S15" s="3151">
        <f ca="1">'[4]结果表-商业'!$G$19</f>
        <v>51060</v>
      </c>
      <c r="T15" s="3151">
        <f ca="1">ROUND(S15/H15*10000,0)</f>
        <v>11505</v>
      </c>
    </row>
    <row r="16" spans="1:20" ht="24">
      <c r="A16" s="3426"/>
      <c r="B16" s="3426"/>
      <c r="C16" s="3426"/>
      <c r="D16" s="3426"/>
      <c r="E16" s="3426"/>
      <c r="F16" s="3426"/>
      <c r="G16" s="3426"/>
      <c r="H16" s="3426"/>
      <c r="I16" s="3431"/>
      <c r="J16" s="3422">
        <v>11259.84</v>
      </c>
      <c r="K16" s="3421" t="s">
        <v>3163</v>
      </c>
      <c r="L16" s="3426"/>
      <c r="M16" s="3072" t="s">
        <v>3166</v>
      </c>
      <c r="N16" s="3072">
        <f>J16-O16</f>
        <v>9007.8700000000008</v>
      </c>
      <c r="O16" s="3072">
        <f>ROUND(J16*0.2,2)</f>
        <v>2251.9699999999998</v>
      </c>
      <c r="S16" s="3151"/>
      <c r="T16" s="3151"/>
    </row>
    <row r="17" spans="1:20" ht="24">
      <c r="A17" s="3428"/>
      <c r="B17" s="3428"/>
      <c r="C17" s="3428"/>
      <c r="D17" s="3428"/>
      <c r="E17" s="3428"/>
      <c r="F17" s="3428"/>
      <c r="G17" s="3428"/>
      <c r="H17" s="3428"/>
      <c r="I17" s="3432"/>
      <c r="J17" s="3422">
        <v>32901.360000000001</v>
      </c>
      <c r="K17" s="3421" t="s">
        <v>3164</v>
      </c>
      <c r="L17" s="3428"/>
      <c r="M17" s="3072" t="s">
        <v>3166</v>
      </c>
      <c r="N17" s="3072">
        <f>J17-O17</f>
        <v>26321.09</v>
      </c>
      <c r="O17" s="3072">
        <f>ROUND(J17*0.2,2)</f>
        <v>6580.27</v>
      </c>
      <c r="S17" s="3151"/>
      <c r="T17" s="3151"/>
    </row>
    <row r="18" spans="1:20" ht="36" customHeight="1">
      <c r="A18" s="3424">
        <v>5</v>
      </c>
      <c r="B18" s="3424" t="s">
        <v>3139</v>
      </c>
      <c r="C18" s="3424" t="s">
        <v>3145</v>
      </c>
      <c r="D18" s="3424" t="s">
        <v>3146</v>
      </c>
      <c r="E18" s="3424" t="s">
        <v>3147</v>
      </c>
      <c r="F18" s="3424" t="s">
        <v>3148</v>
      </c>
      <c r="G18" s="3424">
        <v>4134.5200000000004</v>
      </c>
      <c r="H18" s="3424">
        <v>12342.56</v>
      </c>
      <c r="I18" s="3424" t="s">
        <v>3171</v>
      </c>
      <c r="J18" s="3420">
        <v>2473.7399999999998</v>
      </c>
      <c r="K18" s="3420" t="s">
        <v>3168</v>
      </c>
      <c r="L18" s="3424" t="s">
        <v>3149</v>
      </c>
      <c r="M18" s="3072" t="s">
        <v>3165</v>
      </c>
      <c r="N18" s="3072">
        <f>J18</f>
        <v>2473.7399999999998</v>
      </c>
      <c r="S18" s="3151">
        <f ca="1">'[5]结果表-商业'!$G$19</f>
        <v>44416</v>
      </c>
      <c r="T18" s="3151">
        <f ca="1">ROUND(S18/H18*10000,0)</f>
        <v>35986</v>
      </c>
    </row>
    <row r="19" spans="1:20">
      <c r="A19" s="3426"/>
      <c r="B19" s="3426"/>
      <c r="C19" s="3426"/>
      <c r="D19" s="3426"/>
      <c r="E19" s="3426"/>
      <c r="F19" s="3426"/>
      <c r="G19" s="3426"/>
      <c r="H19" s="3426"/>
      <c r="I19" s="3426"/>
      <c r="J19" s="3420">
        <v>4552.72</v>
      </c>
      <c r="K19" s="3420" t="s">
        <v>3162</v>
      </c>
      <c r="L19" s="3426"/>
      <c r="M19" s="3072" t="s">
        <v>3165</v>
      </c>
      <c r="N19" s="3072">
        <f>J19</f>
        <v>4552.72</v>
      </c>
      <c r="S19" s="3151"/>
      <c r="T19" s="3151"/>
    </row>
    <row r="20" spans="1:20">
      <c r="A20" s="3428"/>
      <c r="B20" s="3428"/>
      <c r="C20" s="3428"/>
      <c r="D20" s="3428"/>
      <c r="E20" s="3428"/>
      <c r="F20" s="3428"/>
      <c r="G20" s="3428"/>
      <c r="H20" s="3428"/>
      <c r="I20" s="3428"/>
      <c r="J20" s="3420">
        <v>5316.1</v>
      </c>
      <c r="K20" s="3420" t="s">
        <v>3169</v>
      </c>
      <c r="L20" s="3428"/>
      <c r="M20" s="3072" t="s">
        <v>3170</v>
      </c>
      <c r="N20" s="3072">
        <f>J20</f>
        <v>5316.1</v>
      </c>
      <c r="O20" s="3072">
        <f>ROUND(J20*0.2,2)</f>
        <v>1063.22</v>
      </c>
      <c r="S20" s="3151"/>
      <c r="T20" s="3151"/>
    </row>
    <row r="21" spans="1:20" ht="36">
      <c r="A21" s="3420">
        <v>6</v>
      </c>
      <c r="B21" s="3433" t="s">
        <v>3121</v>
      </c>
      <c r="C21" s="3420" t="s">
        <v>3150</v>
      </c>
      <c r="D21" s="3420" t="s">
        <v>3151</v>
      </c>
      <c r="E21" s="3420" t="s">
        <v>3152</v>
      </c>
      <c r="F21" s="3420" t="s">
        <v>3153</v>
      </c>
      <c r="G21" s="3420">
        <v>13475.25</v>
      </c>
      <c r="H21" s="3420">
        <v>35370.410000000003</v>
      </c>
      <c r="I21" s="3421">
        <v>57002</v>
      </c>
      <c r="J21" s="3421"/>
      <c r="K21" s="3421"/>
      <c r="L21" s="3420" t="s">
        <v>3154</v>
      </c>
      <c r="P21" s="3072">
        <f>H21-Q21</f>
        <v>26527.810000000005</v>
      </c>
      <c r="Q21" s="3072">
        <f>ROUND(H21/4,2)</f>
        <v>8842.6</v>
      </c>
      <c r="S21" s="3077">
        <f ca="1">[6]结果表!$G$19</f>
        <v>111472</v>
      </c>
      <c r="T21" s="3077">
        <f ca="1">ROUND(S21/H21*10000,0)</f>
        <v>31516</v>
      </c>
    </row>
    <row r="22" spans="1:20">
      <c r="A22" s="3434">
        <v>7</v>
      </c>
      <c r="B22" s="3434" t="s">
        <v>3121</v>
      </c>
      <c r="C22" s="3434" t="s">
        <v>3155</v>
      </c>
      <c r="D22" s="3434" t="s">
        <v>3156</v>
      </c>
      <c r="E22" s="3434" t="s">
        <v>3157</v>
      </c>
      <c r="F22" s="3434" t="s">
        <v>3158</v>
      </c>
      <c r="G22" s="3434">
        <v>2349.66</v>
      </c>
      <c r="H22" s="3434">
        <v>2454.9</v>
      </c>
      <c r="I22" s="3435">
        <v>53350</v>
      </c>
      <c r="J22" s="3420">
        <f>H22/2</f>
        <v>1227.45</v>
      </c>
      <c r="K22" s="3421" t="s">
        <v>3163</v>
      </c>
      <c r="L22" s="3434" t="s">
        <v>3131</v>
      </c>
      <c r="N22" s="3072">
        <f>J22</f>
        <v>1227.45</v>
      </c>
      <c r="S22" s="3151">
        <f ca="1">'[7]结果表-商业'!$G$19</f>
        <v>4470</v>
      </c>
      <c r="T22" s="3151">
        <f ca="1">ROUND(S22/H22*10000,0)</f>
        <v>18208</v>
      </c>
    </row>
    <row r="23" spans="1:20">
      <c r="A23" s="3434"/>
      <c r="B23" s="3434"/>
      <c r="C23" s="3434"/>
      <c r="D23" s="3434"/>
      <c r="E23" s="3434"/>
      <c r="F23" s="3434"/>
      <c r="G23" s="3434"/>
      <c r="H23" s="3434"/>
      <c r="I23" s="3435"/>
      <c r="J23" s="3420">
        <f>H22/2</f>
        <v>1227.45</v>
      </c>
      <c r="K23" s="3421" t="s">
        <v>3164</v>
      </c>
      <c r="L23" s="3434"/>
      <c r="N23" s="3072">
        <f>J23</f>
        <v>1227.45</v>
      </c>
      <c r="S23" s="3151"/>
      <c r="T23" s="3151"/>
    </row>
    <row r="24" spans="1:20">
      <c r="R24" s="3072" t="s">
        <v>3192</v>
      </c>
      <c r="S24" s="3077">
        <f ca="1">SUM(S4:S23)</f>
        <v>447229</v>
      </c>
      <c r="T24" s="3077"/>
    </row>
  </sheetData>
  <mergeCells count="48">
    <mergeCell ref="F6:F14"/>
    <mergeCell ref="G6:G14"/>
    <mergeCell ref="H6:H14"/>
    <mergeCell ref="I6:I14"/>
    <mergeCell ref="L6:L14"/>
    <mergeCell ref="A6:A14"/>
    <mergeCell ref="B6:B14"/>
    <mergeCell ref="C6:C14"/>
    <mergeCell ref="D6:D14"/>
    <mergeCell ref="E6:E14"/>
    <mergeCell ref="D18:D20"/>
    <mergeCell ref="A18:A20"/>
    <mergeCell ref="B18:B20"/>
    <mergeCell ref="C18:C20"/>
    <mergeCell ref="L22:L23"/>
    <mergeCell ref="I22:I23"/>
    <mergeCell ref="H22:H23"/>
    <mergeCell ref="G22:G23"/>
    <mergeCell ref="F22:F23"/>
    <mergeCell ref="E22:E23"/>
    <mergeCell ref="D22:D23"/>
    <mergeCell ref="C22:C23"/>
    <mergeCell ref="B22:B23"/>
    <mergeCell ref="A22:A23"/>
    <mergeCell ref="D15:D17"/>
    <mergeCell ref="C15:C17"/>
    <mergeCell ref="B15:B17"/>
    <mergeCell ref="A15:A17"/>
    <mergeCell ref="L18:L20"/>
    <mergeCell ref="I18:I20"/>
    <mergeCell ref="H18:H20"/>
    <mergeCell ref="G18:G20"/>
    <mergeCell ref="F18:F20"/>
    <mergeCell ref="E18:E20"/>
    <mergeCell ref="L15:L17"/>
    <mergeCell ref="I15:I17"/>
    <mergeCell ref="H15:H17"/>
    <mergeCell ref="G15:G17"/>
    <mergeCell ref="F15:F17"/>
    <mergeCell ref="E15:E17"/>
    <mergeCell ref="S6:S14"/>
    <mergeCell ref="S15:S17"/>
    <mergeCell ref="S18:S20"/>
    <mergeCell ref="S22:S23"/>
    <mergeCell ref="T6:T14"/>
    <mergeCell ref="T15:T17"/>
    <mergeCell ref="T18:T20"/>
    <mergeCell ref="T22:T23"/>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29" sqref="AL29"/>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hidden="1" customWidth="1"/>
    <col min="11" max="11" width="11" style="1760" customWidth="1"/>
    <col min="12" max="12" width="9.5" style="1760" hidden="1" customWidth="1"/>
    <col min="13" max="13" width="9.5" style="1760" customWidth="1"/>
    <col min="14" max="14" width="9.5" style="1760" hidden="1" customWidth="1"/>
    <col min="15" max="15" width="9.875" style="1760"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7" width="9.5" style="1760" hidden="1" customWidth="1"/>
    <col min="38"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面积表!G4</f>
        <v>6283.43</v>
      </c>
      <c r="B3" s="14">
        <f>IF(C3="否",G5-AT5,G5)</f>
        <v>18583.03</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18583.03</v>
      </c>
      <c r="H5" s="16">
        <f t="shared" ref="H5:AT5" si="0">SUM(H13:H656)</f>
        <v>18583.03</v>
      </c>
      <c r="I5" s="16">
        <f t="shared" si="0"/>
        <v>18583.03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18583.03</v>
      </c>
      <c r="BA5" s="18">
        <f t="shared" si="1"/>
        <v>18583.03</v>
      </c>
      <c r="BB5" s="18">
        <f t="shared" si="1"/>
        <v>18583.03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6283.43</v>
      </c>
      <c r="F6" s="16" t="s">
        <v>1</v>
      </c>
      <c r="G6" s="16" t="s">
        <v>2</v>
      </c>
      <c r="H6" s="20">
        <f>SUMIF(I$12:AB$12,"总值",I6:AB6)</f>
        <v>6283.43</v>
      </c>
      <c r="I6" s="16">
        <f t="shared" ref="I6:AB6" si="2">ROUND($A$3*I5/$B$3,2)</f>
        <v>6283.43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6283.43</v>
      </c>
      <c r="AZ6" s="16" t="s">
        <v>3</v>
      </c>
      <c r="BA6" s="16">
        <f>ROUND($AY$6*BA5/$AZ$5,2)</f>
        <v>6283.43</v>
      </c>
      <c r="BB6" s="16">
        <f>ROUND($AY$6*BB5/$AZ$5,2)</f>
        <v>6283.43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3066</v>
      </c>
      <c r="J9" s="918"/>
      <c r="K9" s="1790" t="s">
        <v>3066</v>
      </c>
      <c r="L9" s="918"/>
      <c r="M9" s="1790" t="s">
        <v>3067</v>
      </c>
      <c r="N9" s="918"/>
      <c r="O9" s="1790" t="s">
        <v>3067</v>
      </c>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27</v>
      </c>
      <c r="L10" s="918"/>
      <c r="M10" s="1796" t="s">
        <v>1343</v>
      </c>
      <c r="N10" s="918"/>
      <c r="O10" s="1796" t="s">
        <v>3100</v>
      </c>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办公</v>
      </c>
      <c r="BD11" s="1786" t="str">
        <f>M10</f>
        <v>商业</v>
      </c>
      <c r="BE11" s="1786" t="str">
        <f>O10</f>
        <v>车库</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t="s">
        <v>3181</v>
      </c>
      <c r="D13" s="1812" t="s">
        <v>3068</v>
      </c>
      <c r="E13" s="16">
        <f>IF($C$3="是",ROUND($A$3*G13/$B$3,2),ROUND($A$3*(G13-AT13)/$B$3,2))</f>
        <v>6283.43</v>
      </c>
      <c r="F13" s="32"/>
      <c r="G13" s="33">
        <f>H13+AC13+AT13</f>
        <v>18583.03</v>
      </c>
      <c r="H13" s="20">
        <f>SUMIF(I$12:AB$12,"总值",I13:AB13)</f>
        <v>18583.03</v>
      </c>
      <c r="I13" s="1813">
        <f>面积表!H4</f>
        <v>18583.03</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5号楼</v>
      </c>
      <c r="AY13" s="1535">
        <f>ROUND($AY$6*AZ13/$AZ$5,2)</f>
        <v>6283.43</v>
      </c>
      <c r="AZ13" s="16">
        <f>BA13+BL13</f>
        <v>18583.03</v>
      </c>
      <c r="BA13" s="16">
        <f>SUM(BB13:BK13)</f>
        <v>18583.03</v>
      </c>
      <c r="BB13" s="16">
        <f>IF($D13="是",I13-J13,0)</f>
        <v>18583.03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3071"/>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2" t="s">
        <v>0</v>
      </c>
      <c r="B1" s="3152" t="s">
        <v>4</v>
      </c>
      <c r="C1" s="3152" t="s">
        <v>5</v>
      </c>
      <c r="D1" s="3153" t="s">
        <v>53</v>
      </c>
      <c r="E1" s="3153" t="s">
        <v>54</v>
      </c>
      <c r="F1" s="3153"/>
      <c r="G1" s="3153"/>
      <c r="H1" s="3153"/>
      <c r="I1" s="3153"/>
      <c r="J1" s="3153"/>
      <c r="K1" s="3153"/>
      <c r="L1" s="3153"/>
      <c r="M1" s="3153"/>
    </row>
    <row r="2" spans="1:13" ht="27" customHeight="1">
      <c r="A2" s="3152"/>
      <c r="B2" s="3152"/>
      <c r="C2" s="3152"/>
      <c r="D2" s="3153"/>
      <c r="E2" s="3153" t="s">
        <v>37</v>
      </c>
      <c r="F2" s="3153" t="s">
        <v>38</v>
      </c>
      <c r="G2" s="3153"/>
      <c r="H2" s="3153"/>
      <c r="I2" s="3153"/>
      <c r="J2" s="3153" t="s">
        <v>39</v>
      </c>
      <c r="K2" s="3153"/>
      <c r="L2" s="3153"/>
      <c r="M2" s="3153"/>
    </row>
    <row r="3" spans="1:13" ht="28.5">
      <c r="A3" s="3152"/>
      <c r="B3" s="3152"/>
      <c r="C3" s="3152"/>
      <c r="D3" s="3153"/>
      <c r="E3" s="31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3" t="s">
        <v>55</v>
      </c>
      <c r="B9" s="3153"/>
      <c r="C9" s="31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L42" sqref="L42"/>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6"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63" t="s">
        <v>1817</v>
      </c>
      <c r="B2" s="3163"/>
      <c r="C2" s="3163"/>
      <c r="D2" s="904" t="s">
        <v>1793</v>
      </c>
      <c r="E2" s="1826" t="s">
        <v>1794</v>
      </c>
      <c r="F2" s="2886"/>
      <c r="G2" s="2877"/>
      <c r="H2" s="2878"/>
      <c r="I2" s="2549" t="s">
        <v>1818</v>
      </c>
      <c r="J2" s="2886"/>
      <c r="K2" s="2886"/>
      <c r="L2" s="2886"/>
      <c r="M2" s="2886"/>
      <c r="N2" s="2888"/>
      <c r="O2" s="2886"/>
      <c r="P2" s="2886"/>
    </row>
    <row r="3" spans="1:16" ht="15.75" thickBot="1">
      <c r="A3" s="3164" t="s">
        <v>1791</v>
      </c>
      <c r="B3" s="3164"/>
      <c r="C3" s="3164"/>
      <c r="D3" s="46">
        <f>'数据-基础表'!AY6</f>
        <v>6283.43</v>
      </c>
      <c r="E3" s="46">
        <f>'数据-基础表'!AZ5</f>
        <v>18583.03</v>
      </c>
      <c r="F3" s="2886"/>
      <c r="G3" s="1307"/>
      <c r="H3" s="1157" t="s">
        <v>1792</v>
      </c>
      <c r="I3" s="964">
        <f>ROUND('数据-基础表'!B3/'数据-基础表'!A3,2)</f>
        <v>2.96</v>
      </c>
      <c r="J3" s="2886"/>
      <c r="K3" s="2886"/>
      <c r="L3" s="2886"/>
      <c r="M3" s="2886"/>
      <c r="N3" s="2888"/>
      <c r="O3" s="2886"/>
      <c r="P3" s="2886"/>
    </row>
    <row r="4" spans="1:16" ht="15">
      <c r="A4" s="3165"/>
      <c r="B4" s="3166"/>
      <c r="C4" s="3167"/>
      <c r="D4" s="1828" t="s">
        <v>1793</v>
      </c>
      <c r="E4" s="1829" t="s">
        <v>1794</v>
      </c>
      <c r="F4" s="2886"/>
      <c r="G4" s="2879" t="s">
        <v>1819</v>
      </c>
      <c r="H4" s="1157" t="s">
        <v>1799</v>
      </c>
      <c r="I4" s="964">
        <f>ROUND(SUMIF('数据-基础表'!I9:AS9,"地上",'数据-基础表'!I5:AS5)/'数据-基础表'!A3,2)</f>
        <v>2.96</v>
      </c>
      <c r="J4" s="2886"/>
      <c r="K4" s="2886"/>
      <c r="L4" s="2886"/>
      <c r="M4" s="2886"/>
      <c r="N4" s="2888"/>
      <c r="O4" s="2886"/>
      <c r="P4" s="2886"/>
    </row>
    <row r="5" spans="1:16">
      <c r="A5" s="47" t="s">
        <v>1795</v>
      </c>
      <c r="B5" s="3168" t="s">
        <v>1796</v>
      </c>
      <c r="C5" s="3168"/>
      <c r="D5" s="48">
        <f>ROUND($D$3*E5/$E$3,2)</f>
        <v>0</v>
      </c>
      <c r="E5" s="49">
        <f>SUMIF('数据-基础表'!$11:$11,"住宅",'数据-基础表'!$5:$5)</f>
        <v>0</v>
      </c>
      <c r="F5" s="2886"/>
      <c r="G5" s="1307"/>
      <c r="H5" s="1157" t="s">
        <v>1792</v>
      </c>
      <c r="I5" s="964">
        <f>ROUND(E31/D31,2)</f>
        <v>2.96</v>
      </c>
      <c r="J5" s="2886"/>
      <c r="K5" s="2886"/>
      <c r="L5" s="2886"/>
      <c r="M5" s="2886"/>
      <c r="N5" s="2886"/>
      <c r="O5" s="2886"/>
      <c r="P5" s="2886"/>
    </row>
    <row r="6" spans="1:16" ht="15" thickBot="1">
      <c r="A6" s="1831"/>
      <c r="B6" s="3168" t="s">
        <v>1797</v>
      </c>
      <c r="C6" s="3168"/>
      <c r="D6" s="48">
        <f>ROUND($D$3*E6/$E$3,2)</f>
        <v>6283.43</v>
      </c>
      <c r="E6" s="49">
        <f>E3-E5</f>
        <v>18583.03</v>
      </c>
      <c r="F6" s="2886"/>
      <c r="G6" s="2880" t="s">
        <v>1798</v>
      </c>
      <c r="H6" s="1308" t="s">
        <v>1799</v>
      </c>
      <c r="I6" s="2881">
        <f>ROUND(F31/D31,2)</f>
        <v>2.96</v>
      </c>
      <c r="J6" s="2886"/>
      <c r="K6" s="2886"/>
      <c r="L6" s="2886"/>
      <c r="M6" s="2886"/>
      <c r="N6" s="2886"/>
      <c r="O6" s="2886"/>
      <c r="P6" s="2886"/>
    </row>
    <row r="7" spans="1:16" ht="15.75" thickBot="1">
      <c r="A7" s="3160"/>
      <c r="B7" s="3161"/>
      <c r="C7" s="3162"/>
      <c r="D7" s="1828" t="s">
        <v>1793</v>
      </c>
      <c r="E7" s="1832"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6283.43</v>
      </c>
      <c r="E8" s="51">
        <f>SUMIF('数据-基础表'!BB10:BK10,"地上",'数据-基础表'!BB5:BK5)</f>
        <v>18583.03</v>
      </c>
      <c r="F8" s="2886"/>
      <c r="G8" s="2887"/>
      <c r="H8" s="2887"/>
      <c r="I8" s="2886"/>
      <c r="J8" s="2886"/>
      <c r="K8" s="2886"/>
      <c r="L8" s="2886"/>
      <c r="M8" s="2886"/>
      <c r="N8" s="2886"/>
      <c r="O8" s="2886"/>
      <c r="P8" s="2886"/>
    </row>
    <row r="9" spans="1:16">
      <c r="A9" s="1833"/>
      <c r="B9" s="1834"/>
      <c r="C9" s="48" t="s">
        <v>1805</v>
      </c>
      <c r="D9" s="48">
        <f t="shared" si="0"/>
        <v>0</v>
      </c>
      <c r="E9" s="52">
        <v>0</v>
      </c>
      <c r="F9" s="2886"/>
      <c r="G9" s="2887"/>
      <c r="H9" s="2887"/>
      <c r="I9" s="2886"/>
      <c r="J9" s="2886"/>
      <c r="K9" s="2886"/>
      <c r="L9" s="2886"/>
      <c r="M9" s="2886"/>
      <c r="N9" s="2886"/>
      <c r="O9" s="2886"/>
      <c r="P9" s="2886"/>
    </row>
    <row r="10" spans="1:16">
      <c r="A10" s="1833"/>
      <c r="B10" s="1834"/>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3"/>
      <c r="B11" s="1834"/>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1809</v>
      </c>
      <c r="D16" s="50">
        <f>SUM(D8:D15)</f>
        <v>6283.43</v>
      </c>
      <c r="E16" s="53">
        <f>SUM(E8:E15)</f>
        <v>18583.03</v>
      </c>
      <c r="F16" s="2886"/>
      <c r="G16" s="2887"/>
      <c r="H16" s="1835" t="s">
        <v>1821</v>
      </c>
      <c r="I16" s="1836"/>
      <c r="J16" s="1301"/>
      <c r="K16" s="3157" t="s">
        <v>1821</v>
      </c>
      <c r="L16" s="3158"/>
      <c r="M16" s="3158"/>
      <c r="N16" s="3158"/>
      <c r="O16" s="3158"/>
      <c r="P16" s="3159"/>
    </row>
    <row r="17" spans="1:19" ht="15">
      <c r="A17" s="1837" t="s">
        <v>1822</v>
      </c>
      <c r="B17" s="1838" t="s">
        <v>1823</v>
      </c>
      <c r="C17" s="1839" t="s">
        <v>1824</v>
      </c>
      <c r="D17" s="1840" t="s">
        <v>1812</v>
      </c>
      <c r="E17" s="1841" t="s">
        <v>1813</v>
      </c>
      <c r="F17" s="1842"/>
      <c r="G17" s="1843"/>
      <c r="H17" s="1844" t="s">
        <v>1825</v>
      </c>
      <c r="I17" s="1845" t="s">
        <v>1810</v>
      </c>
      <c r="J17" s="1301"/>
      <c r="K17" s="3154" t="s">
        <v>1826</v>
      </c>
      <c r="L17" s="3155"/>
      <c r="M17" s="3156"/>
      <c r="N17" s="3154" t="s">
        <v>1827</v>
      </c>
      <c r="O17" s="3155"/>
      <c r="P17" s="3156"/>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4" t="s">
        <v>3069</v>
      </c>
      <c r="D19" s="48">
        <f>ROUND($D$3*E19/$E$3,2)</f>
        <v>6283.43</v>
      </c>
      <c r="E19" s="56">
        <f t="shared" ref="E19:E26" si="1">SUM(F19:G19)</f>
        <v>18583.03</v>
      </c>
      <c r="F19" s="3026">
        <f>'数据-基础表'!I5</f>
        <v>18583.03</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6283.43</v>
      </c>
      <c r="S19" s="1158">
        <f t="shared" si="5"/>
        <v>18583.03</v>
      </c>
    </row>
    <row r="20" spans="1:19">
      <c r="A20" s="1858"/>
      <c r="B20" s="50" t="s">
        <v>1839</v>
      </c>
      <c r="C20" s="3044"/>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6283.43</v>
      </c>
      <c r="E27" s="1303">
        <f>IF(SUM(E19:E26)='数据-基础表'!BA5,SUM(E19:E26),IF(F27="地上面积有误","面积有误","地下面积有误"))</f>
        <v>18583.03</v>
      </c>
      <c r="F27" s="1302">
        <f>IF(SUM(F19:F26)=E8,SUM(F19:F26),"地上面积有误")</f>
        <v>18583.03</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6283.43</v>
      </c>
      <c r="S27" s="1157">
        <f>IF(SUM(S19:S26)=$E$3,SUM(S19:S26),SUM(S19:S26)&amp;"误差"&amp;ROUND(SUM(S19:S26)-E3,2))</f>
        <v>18583.03</v>
      </c>
    </row>
    <row r="28" spans="1:19">
      <c r="A28" s="1858"/>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8"/>
      <c r="B29" s="50" t="s">
        <v>1841</v>
      </c>
      <c r="C29" s="1862"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4"/>
      <c r="B31" s="1865"/>
      <c r="C31" s="944" t="s">
        <v>1844</v>
      </c>
      <c r="D31" s="685">
        <f>D27+D30</f>
        <v>6283.43</v>
      </c>
      <c r="E31" s="685">
        <f>E27+E30</f>
        <v>18583.03</v>
      </c>
      <c r="F31" s="686">
        <f>F27+F30</f>
        <v>18583.03</v>
      </c>
      <c r="G31" s="687">
        <f>G27+G30</f>
        <v>0</v>
      </c>
      <c r="H31" s="2886"/>
      <c r="I31" s="2886"/>
      <c r="J31" s="2886"/>
      <c r="K31" s="2886"/>
      <c r="L31" s="2886"/>
      <c r="M31" s="2886"/>
      <c r="N31" s="2886"/>
      <c r="O31" s="2886"/>
      <c r="P31" s="2886"/>
    </row>
    <row r="32" spans="1:19">
      <c r="A32" s="1830"/>
      <c r="B32" s="1830" t="s">
        <v>1845</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8.12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75" thickBot="1">
      <c r="A2" s="1871" t="s">
        <v>1847</v>
      </c>
      <c r="B2" s="1176">
        <f>项目基本情况!D3</f>
        <v>44155</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5"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3070</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54018</v>
      </c>
      <c r="F6" s="68">
        <f>SUMIF(项目基本情况!D$12:I$12,C6,项目基本情况!D$15:I$15)</f>
        <v>27.02</v>
      </c>
      <c r="G6" s="69">
        <f ca="1">IF(ISERROR(ROUND(POWER(1+H6,D6-F6)*(POWER(1+H6,F6)-1)/(POWER(1+H6,D6)-1),3)),0,ROUND(POWER(1+H6,D6-F6)*(POWER(1+H6,F6)-1)/(POWER(1+H6,D6)-1),3))</f>
        <v>0.86399999999999999</v>
      </c>
      <c r="H6" s="741">
        <f ca="1">基准地价修正!G20</f>
        <v>5.3999999999999999E-2</v>
      </c>
      <c r="I6" s="741">
        <v>0.06</v>
      </c>
      <c r="J6" s="70">
        <v>0.08</v>
      </c>
      <c r="K6" s="1161">
        <f>SUMIF('数据-汇总表'!C$19:C$33,A6,'数据-汇总表'!E$19:E$33)</f>
        <v>18583.03</v>
      </c>
      <c r="L6" s="742">
        <v>3500</v>
      </c>
      <c r="M6" s="71">
        <f t="shared" ref="M6:M14" si="0">ROUND(K6*L6/10000,0)</f>
        <v>6504</v>
      </c>
      <c r="N6" s="740">
        <v>0.8</v>
      </c>
      <c r="O6" s="71" t="str">
        <f>IF($N$5="成新度","——",ROUND(M6*N6,0))</f>
        <v>——</v>
      </c>
      <c r="P6" s="72" t="str">
        <f>IF($N$5="成新度","——",M6-O6)</f>
        <v>——</v>
      </c>
      <c r="Q6" s="743">
        <v>0.2</v>
      </c>
      <c r="R6" s="73">
        <f ca="1">SUMIF('数据-汇总表'!C$19:C$33,A6,'数据-汇总表'!R$19:R$27)</f>
        <v>6283.43</v>
      </c>
      <c r="S6" s="54">
        <f>IF('数据-汇总表'!$I$17="按面积比例",SUMIF('数据-汇总表'!C$19:C$33,A6,'数据-汇总表'!K$19:K$33),SUMIF('数据-汇总表'!C$19:C$33,A6,'数据-汇总表'!N$19:N$33))</f>
        <v>0</v>
      </c>
      <c r="T6" s="1334">
        <f>ROUND($L$14*S6/10000,0)</f>
        <v>0</v>
      </c>
      <c r="U6" s="3076">
        <f>W22</f>
        <v>7</v>
      </c>
      <c r="V6" s="75">
        <v>0.03</v>
      </c>
      <c r="W6" s="75">
        <v>0.1</v>
      </c>
      <c r="X6" s="1171"/>
      <c r="Y6" s="76">
        <f>N6</f>
        <v>0.8</v>
      </c>
      <c r="Z6" s="77"/>
      <c r="AA6" s="70"/>
      <c r="AB6" s="70"/>
      <c r="AC6" s="1171"/>
      <c r="AD6" s="78"/>
      <c r="AE6" s="1172">
        <f ca="1">IF(AN6="",0,SUMIF(INDIRECT("'"&amp;AN6&amp;"'"&amp;"!E:E"),$AE$5,INDIRECT("'"&amp;AN6&amp;"'"&amp;"!F:F")))</f>
        <v>27.02</v>
      </c>
      <c r="AF6" s="1534"/>
      <c r="AG6" s="143">
        <f>IF(AF6="",0,AE6-AF6)</f>
        <v>0</v>
      </c>
      <c r="AH6" s="79"/>
      <c r="AI6" s="81">
        <v>365</v>
      </c>
      <c r="AJ6" s="82"/>
      <c r="AK6" s="83">
        <v>1.4999999999999999E-2</v>
      </c>
      <c r="AL6" s="84">
        <v>1.5E-3</v>
      </c>
      <c r="AM6" s="85">
        <v>1.4999999999999999E-2</v>
      </c>
      <c r="AN6" s="1903" t="s">
        <v>3071</v>
      </c>
      <c r="AO6" s="55">
        <f ca="1">SUMIF(INDIRECT("'"&amp;AN6&amp;"'"&amp;"!A:A"),"总价",INDIRECT("'"&amp;AN6&amp;"'"&amp;"!B:B"))</f>
        <v>60224</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v>12</v>
      </c>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0.86399999999999999</v>
      </c>
      <c r="H16" s="95">
        <f ca="1">ROUND(SUMPRODUCT(H6:H13,K6:K13)/SUMPRODUCT((H6:H13&gt;0)*(K6:K13)),3)</f>
        <v>5.3999999999999999E-2</v>
      </c>
      <c r="I16" s="96"/>
      <c r="J16" s="96"/>
      <c r="K16" s="97">
        <f>SUM(K6:K15)</f>
        <v>18583.03</v>
      </c>
      <c r="L16" s="98">
        <f>ROUND(M16*10000/SUM(K6:K14),0)</f>
        <v>3500</v>
      </c>
      <c r="M16" s="98">
        <f>SUM(M6:M14)</f>
        <v>6504</v>
      </c>
      <c r="N16" s="99">
        <f>ROUND(SUMPRODUCT(M6:M14,N6:N14)/M16,3)</f>
        <v>0.8</v>
      </c>
      <c r="O16" s="98">
        <f>SUM(O6:O14)</f>
        <v>0</v>
      </c>
      <c r="P16" s="98">
        <f>SUM(P6:P14)</f>
        <v>0</v>
      </c>
      <c r="Q16" s="100">
        <f>ROUND(SUMPRODUCT(Q6:Q13,K6:K13)/SUMPRODUCT((Q6:Q13&gt;0)*(K6:K13)),2)</f>
        <v>0.2</v>
      </c>
      <c r="R16" s="1165">
        <f ca="1">SUM(R6:R13)</f>
        <v>6283.43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3074" t="s">
        <v>3189</v>
      </c>
      <c r="X18" s="3074" t="s">
        <v>3190</v>
      </c>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0"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t="s">
        <v>3185</v>
      </c>
      <c r="V19" s="2900">
        <f>ROUND(V22/3,2)</f>
        <v>6194.34</v>
      </c>
      <c r="W19" s="2900">
        <v>10</v>
      </c>
      <c r="X19" s="2900">
        <v>1</v>
      </c>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1" t="s">
        <v>1898</v>
      </c>
      <c r="B20" s="109">
        <v>1.5</v>
      </c>
      <c r="C20" s="3031" t="s">
        <v>3049</v>
      </c>
      <c r="D20" s="2905"/>
      <c r="E20" s="2902"/>
      <c r="F20" s="2902"/>
      <c r="G20" s="2902"/>
      <c r="H20" s="2902"/>
      <c r="I20" s="2902"/>
      <c r="J20" s="2902"/>
      <c r="K20" s="2901"/>
      <c r="L20" s="2901"/>
      <c r="M20" s="2900"/>
      <c r="N20" s="2900"/>
      <c r="O20" s="2900"/>
      <c r="P20" s="2900"/>
      <c r="Q20" s="2900"/>
      <c r="R20" s="2900"/>
      <c r="S20" s="2900"/>
      <c r="T20" s="2900"/>
      <c r="U20" s="2900" t="s">
        <v>3186</v>
      </c>
      <c r="V20" s="2900">
        <f>ROUND(V22/3,2)</f>
        <v>6194.34</v>
      </c>
      <c r="W20" s="2900">
        <f>W19*X20</f>
        <v>6</v>
      </c>
      <c r="X20" s="2900">
        <v>0.6</v>
      </c>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2" t="s">
        <v>1899</v>
      </c>
      <c r="B21" s="109">
        <f>B20</f>
        <v>1.5</v>
      </c>
      <c r="C21" s="2902"/>
      <c r="D21" s="2905"/>
      <c r="E21" s="2902"/>
      <c r="F21" s="2902"/>
      <c r="G21" s="2902"/>
      <c r="H21" s="2902"/>
      <c r="I21" s="2902"/>
      <c r="J21" s="2902"/>
      <c r="K21" s="2901"/>
      <c r="L21" s="2901"/>
      <c r="M21" s="2900"/>
      <c r="N21" s="2900"/>
      <c r="O21" s="2900"/>
      <c r="P21" s="2900"/>
      <c r="Q21" s="2900"/>
      <c r="R21" s="2900"/>
      <c r="S21" s="2900"/>
      <c r="T21" s="2900"/>
      <c r="U21" s="2900" t="s">
        <v>3187</v>
      </c>
      <c r="V21" s="2900">
        <f>V22-V19-V20</f>
        <v>6194.3499999999985</v>
      </c>
      <c r="W21" s="2900">
        <f>W19*X21</f>
        <v>5</v>
      </c>
      <c r="X21" s="2900">
        <v>0.5</v>
      </c>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1" t="s">
        <v>1900</v>
      </c>
      <c r="B22" s="110">
        <f>B19+B20</f>
        <v>1.5</v>
      </c>
      <c r="C22" s="2902"/>
      <c r="D22" s="2905"/>
      <c r="E22" s="2902"/>
      <c r="F22" s="2902"/>
      <c r="G22" s="2902"/>
      <c r="H22" s="2902"/>
      <c r="I22" s="2902"/>
      <c r="J22" s="2902"/>
      <c r="K22" s="2901"/>
      <c r="L22" s="2901"/>
      <c r="M22" s="2900"/>
      <c r="N22" s="2900"/>
      <c r="O22" s="2900"/>
      <c r="P22" s="2900"/>
      <c r="Q22" s="2900"/>
      <c r="R22" s="2900"/>
      <c r="S22" s="2900"/>
      <c r="T22" s="2900"/>
      <c r="U22" s="3074" t="s">
        <v>3188</v>
      </c>
      <c r="V22" s="2900">
        <f>面积表!H4</f>
        <v>18583.03</v>
      </c>
      <c r="W22" s="3075">
        <f>ROUND((V19*W19+V20*W20+V21*W21)/V22,2)</f>
        <v>7</v>
      </c>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2" t="s">
        <v>1901</v>
      </c>
      <c r="B23" s="110">
        <f>B19+B21</f>
        <v>1.5</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1903</v>
      </c>
      <c r="B26" s="1914"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7.75">
      <c r="A27" s="1915"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372</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4" t="s">
        <v>3041</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9"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7"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0"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1919</v>
      </c>
      <c r="B40" s="1210">
        <f ca="1">存贷款利率!G1</f>
        <v>4.7500000000000001E-2</v>
      </c>
      <c r="C40" s="3034" t="s">
        <v>3045</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5"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1"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1"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2" t="s">
        <v>1923</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2" t="s">
        <v>1924</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2" t="s">
        <v>1925</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1926</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4" t="s">
        <v>1927</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1928</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5"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5" t="s">
        <v>1931</v>
      </c>
      <c r="B52" s="129">
        <f>SUMIF(A54:A63,B53,B54:B63)</f>
        <v>24</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7" t="s">
        <v>1932</v>
      </c>
      <c r="B53" s="1926" t="s">
        <v>269</v>
      </c>
      <c r="C53" s="2888" t="s">
        <v>1933</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7"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7" t="s">
        <v>1935</v>
      </c>
      <c r="B55" s="80">
        <v>24</v>
      </c>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7"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7"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7" t="s">
        <v>1938</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7"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7"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7"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7"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4"/>
  </cols>
  <sheetData>
    <row r="1" spans="1:29" s="2683" customFormat="1" ht="18.75" thickBot="1">
      <c r="A1" s="3169" t="s">
        <v>3031</v>
      </c>
      <c r="B1" s="3170"/>
      <c r="C1" s="3170"/>
      <c r="D1" s="3170"/>
      <c r="E1" s="3170"/>
      <c r="F1" s="3170"/>
      <c r="G1" s="317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9"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9"/>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9"/>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27" sqref="H27:H28"/>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18583.03</v>
      </c>
      <c r="C1" s="2915"/>
      <c r="D1" s="2915"/>
      <c r="E1" s="2915"/>
      <c r="F1" s="2915"/>
      <c r="G1" s="2916"/>
      <c r="H1" s="2917"/>
      <c r="I1" s="2917"/>
      <c r="J1" s="2917"/>
      <c r="K1" s="2917"/>
    </row>
    <row r="2" spans="1:11" ht="16.5">
      <c r="A2" s="2738" t="s">
        <v>1319</v>
      </c>
      <c r="B2" s="2738">
        <f>SUM(C14:C23)</f>
        <v>6283.43</v>
      </c>
      <c r="C2" s="2915"/>
      <c r="D2" s="2915"/>
      <c r="E2" s="2915"/>
      <c r="F2" s="2915"/>
      <c r="G2" s="2916"/>
      <c r="H2" s="2917"/>
      <c r="I2" s="2917"/>
      <c r="J2" s="2917"/>
      <c r="K2" s="2917"/>
    </row>
    <row r="3" spans="1:11" ht="16.5">
      <c r="A3" s="2738" t="s">
        <v>1328</v>
      </c>
      <c r="B3" s="2740">
        <f>项目基本情况!D3</f>
        <v>44155</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72712</v>
      </c>
      <c r="C5" s="2738">
        <f ca="1">ROUND(B5*10000/$B$1,0)</f>
        <v>39128</v>
      </c>
      <c r="D5" s="2738">
        <f ca="1">ROUND(B5*10000/$B$2,0)</f>
        <v>115720</v>
      </c>
      <c r="E5" s="2915"/>
      <c r="F5" s="2916"/>
      <c r="G5" s="2916"/>
      <c r="H5" s="2917"/>
      <c r="I5" s="2917"/>
      <c r="J5" s="2917"/>
      <c r="K5" s="2917"/>
    </row>
    <row r="6" spans="1:11" ht="16.5">
      <c r="A6" s="2738" t="s">
        <v>1322</v>
      </c>
      <c r="B6" s="2738">
        <f ca="1">SUM(G14:G23)</f>
        <v>72712</v>
      </c>
      <c r="C6" s="2738">
        <f ca="1">ROUND(B6*10000/$B$1,0)</f>
        <v>39128</v>
      </c>
      <c r="D6" s="2738">
        <f ca="1">ROUND(B6*10000/$B$2,0)</f>
        <v>115720</v>
      </c>
      <c r="E6" s="2915"/>
      <c r="F6" s="2916"/>
      <c r="G6" s="2916"/>
      <c r="H6" s="2917"/>
      <c r="I6" s="2917"/>
      <c r="J6" s="2917"/>
      <c r="K6" s="2917"/>
    </row>
    <row r="7" spans="1:11" ht="16.5">
      <c r="A7" s="2738" t="s">
        <v>1330</v>
      </c>
      <c r="B7" s="2738">
        <f ca="1">SUM(H14:H23)</f>
        <v>72712</v>
      </c>
      <c r="C7" s="2738">
        <f ca="1">ROUND(B7*10000/$B$1,0)</f>
        <v>39128</v>
      </c>
      <c r="D7" s="2738">
        <f ca="1">ROUND(B7*10000/$B$2,0)</f>
        <v>115720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'数据-汇总表'!E27</f>
        <v>18583.03</v>
      </c>
      <c r="C14" s="2744">
        <f>'数据-汇总表'!D27</f>
        <v>6283.43</v>
      </c>
      <c r="D14" s="2744">
        <f ca="1">'结果表-商业'!G19</f>
        <v>72712</v>
      </c>
      <c r="E14" s="2744">
        <f ca="1">ROUND(D14*10000/B14,0)</f>
        <v>39128</v>
      </c>
      <c r="F14" s="2744">
        <f ca="1">ROUND(D14*10000/C14,0)</f>
        <v>115720</v>
      </c>
      <c r="G14" s="2744">
        <f ca="1">D14</f>
        <v>72712</v>
      </c>
      <c r="H14" s="2744">
        <f ca="1">G14</f>
        <v>72712</v>
      </c>
      <c r="I14" s="2744" t="str">
        <f>'结果表-商业'!D126</f>
        <v>——</v>
      </c>
      <c r="J14" s="2916"/>
      <c r="K14" s="2917"/>
    </row>
    <row r="15" spans="1:11" ht="16.5">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6.5">
      <c r="A16" s="2743" t="s">
        <v>1314</v>
      </c>
      <c r="B16" s="2745"/>
      <c r="C16" s="2745"/>
      <c r="D16" s="2745"/>
      <c r="E16" s="2744" t="e">
        <f t="shared" si="0"/>
        <v>#DIV/0!</v>
      </c>
      <c r="F16" s="2744" t="e">
        <f t="shared" si="1"/>
        <v>#DIV/0!</v>
      </c>
      <c r="G16" s="1502"/>
      <c r="H16" s="1502"/>
      <c r="I16" s="2745"/>
      <c r="J16" s="2917"/>
      <c r="K16" s="2917"/>
    </row>
    <row r="17" spans="1:11" ht="16.5">
      <c r="A17" s="2743" t="s">
        <v>1313</v>
      </c>
      <c r="B17" s="2745"/>
      <c r="C17" s="2745"/>
      <c r="D17" s="2745"/>
      <c r="E17" s="2744" t="e">
        <f t="shared" si="0"/>
        <v>#DIV/0!</v>
      </c>
      <c r="F17" s="2744" t="e">
        <f t="shared" si="1"/>
        <v>#DIV/0!</v>
      </c>
      <c r="G17" s="1502"/>
      <c r="H17" s="1502"/>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15" sqref="F15"/>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1343</v>
      </c>
      <c r="D1" s="1935"/>
      <c r="E1" s="1935"/>
      <c r="F1" s="1937" t="s">
        <v>1950</v>
      </c>
      <c r="G1" s="1748" t="s">
        <v>3065</v>
      </c>
      <c r="H1" s="1938" t="str">
        <f>IF(G1="现房","——","估价对象范围")</f>
        <v>——</v>
      </c>
      <c r="I1" s="1939" t="s">
        <v>3089</v>
      </c>
    </row>
    <row r="2" spans="1:12" ht="21.75" customHeight="1" thickBot="1">
      <c r="A2" s="3241" t="str">
        <f>项目基本情况!S2</f>
        <v>北京市海淀大街5号房地产</v>
      </c>
      <c r="B2" s="3242"/>
      <c r="C2" s="3242"/>
      <c r="D2" s="3242"/>
      <c r="E2" s="3242"/>
      <c r="F2" s="3242"/>
      <c r="G2" s="3242"/>
      <c r="H2" s="3242"/>
      <c r="I2" s="3243"/>
    </row>
    <row r="3" spans="1:12" ht="12.75">
      <c r="A3" s="3245" t="s">
        <v>1951</v>
      </c>
      <c r="B3" s="3246"/>
      <c r="C3" s="3246"/>
      <c r="D3" s="3246"/>
      <c r="E3" s="3246"/>
      <c r="F3" s="3246"/>
      <c r="G3" s="3246"/>
      <c r="H3" s="3246"/>
      <c r="I3" s="3246"/>
    </row>
    <row r="4" spans="1:12" ht="14.25">
      <c r="A4" s="1942" t="s">
        <v>1952</v>
      </c>
      <c r="B4" s="1943" t="s">
        <v>1953</v>
      </c>
      <c r="C4" s="1944" t="s">
        <v>3090</v>
      </c>
      <c r="D4" s="1944" t="s">
        <v>3071</v>
      </c>
      <c r="E4" s="3250" t="s">
        <v>1954</v>
      </c>
      <c r="F4" s="3251"/>
      <c r="G4" s="3251"/>
      <c r="H4" s="3251"/>
      <c r="I4" s="3252"/>
      <c r="K4" s="151" t="str">
        <f>IF(ISNUMBER(FIND("比较法",'结果表-商业'!C4)),"比较法",IF(ISNUMBER(FIND("成本法",'结果表-商业'!C4)),"成本法",IF(ISNUMBER(FIND("假设开发法",'结果表-商业'!C4)),"假设开发法",IF(ISNUMBER(FIND("收益法",'结果表-商业'!C4)),"收益法","基准地价系数修正法"))))</f>
        <v>成本法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86" t="s">
        <v>1955</v>
      </c>
      <c r="B5" s="3244">
        <v>25</v>
      </c>
      <c r="C5" s="3247"/>
      <c r="D5" s="3235"/>
      <c r="E5" s="136" t="s">
        <v>1956</v>
      </c>
      <c r="F5" s="1945"/>
      <c r="G5" s="1945"/>
      <c r="H5" s="1945"/>
      <c r="I5" s="1559"/>
    </row>
    <row r="6" spans="1:12" ht="12.75">
      <c r="A6" s="3186"/>
      <c r="B6" s="3244"/>
      <c r="C6" s="3249"/>
      <c r="D6" s="3235"/>
      <c r="E6" s="136" t="s">
        <v>1957</v>
      </c>
      <c r="F6" s="1945"/>
      <c r="G6" s="1945"/>
      <c r="H6" s="1945"/>
      <c r="I6" s="1559"/>
    </row>
    <row r="7" spans="1:12" ht="12.75">
      <c r="A7" s="3186"/>
      <c r="B7" s="3244"/>
      <c r="C7" s="3248"/>
      <c r="D7" s="3235"/>
      <c r="E7" s="136" t="s">
        <v>1958</v>
      </c>
      <c r="F7" s="1945"/>
      <c r="G7" s="1945"/>
      <c r="H7" s="1945"/>
      <c r="I7" s="1559"/>
    </row>
    <row r="8" spans="1:12" ht="12.75">
      <c r="A8" s="3186" t="s">
        <v>1959</v>
      </c>
      <c r="B8" s="3244">
        <v>15</v>
      </c>
      <c r="C8" s="3247"/>
      <c r="D8" s="3235"/>
      <c r="E8" s="136" t="s">
        <v>1960</v>
      </c>
      <c r="F8" s="1945"/>
      <c r="G8" s="1945"/>
      <c r="H8" s="1945"/>
      <c r="I8" s="1559"/>
    </row>
    <row r="9" spans="1:12" ht="12.75">
      <c r="A9" s="3186"/>
      <c r="B9" s="3244"/>
      <c r="C9" s="3248"/>
      <c r="D9" s="3235"/>
      <c r="E9" s="136" t="s">
        <v>1961</v>
      </c>
      <c r="F9" s="1945"/>
      <c r="G9" s="1945"/>
      <c r="H9" s="1945"/>
      <c r="I9" s="1559"/>
    </row>
    <row r="10" spans="1:12" ht="12.75">
      <c r="A10" s="3186" t="s">
        <v>1962</v>
      </c>
      <c r="B10" s="3244">
        <v>15</v>
      </c>
      <c r="C10" s="3247"/>
      <c r="D10" s="3235"/>
      <c r="E10" s="136" t="s">
        <v>1963</v>
      </c>
      <c r="F10" s="1945"/>
      <c r="G10" s="1945"/>
      <c r="H10" s="1945"/>
      <c r="I10" s="1559"/>
    </row>
    <row r="11" spans="1:12" ht="12.75">
      <c r="A11" s="3186"/>
      <c r="B11" s="3244"/>
      <c r="C11" s="3248"/>
      <c r="D11" s="3235"/>
      <c r="E11" s="136" t="s">
        <v>1964</v>
      </c>
      <c r="F11" s="1945"/>
      <c r="G11" s="1945"/>
      <c r="H11" s="1945"/>
      <c r="I11" s="1559"/>
    </row>
    <row r="12" spans="1:12" ht="12.75">
      <c r="A12" s="3186" t="s">
        <v>1965</v>
      </c>
      <c r="B12" s="3244">
        <v>15</v>
      </c>
      <c r="C12" s="3247"/>
      <c r="D12" s="3235"/>
      <c r="E12" s="136" t="s">
        <v>1966</v>
      </c>
      <c r="F12" s="1945"/>
      <c r="G12" s="1945"/>
      <c r="H12" s="1945"/>
      <c r="I12" s="1559"/>
    </row>
    <row r="13" spans="1:12" ht="12.75">
      <c r="A13" s="3186"/>
      <c r="B13" s="3244"/>
      <c r="C13" s="3248"/>
      <c r="D13" s="3235"/>
      <c r="E13" s="136" t="s">
        <v>1967</v>
      </c>
      <c r="F13" s="1945"/>
      <c r="G13" s="1945"/>
      <c r="H13" s="1945"/>
      <c r="I13" s="1559"/>
    </row>
    <row r="14" spans="1:12" ht="12.75">
      <c r="A14" s="3186" t="s">
        <v>1968</v>
      </c>
      <c r="B14" s="3244">
        <v>30</v>
      </c>
      <c r="C14" s="3247">
        <v>4</v>
      </c>
      <c r="D14" s="3235">
        <v>6</v>
      </c>
      <c r="E14" s="136" t="s">
        <v>1969</v>
      </c>
      <c r="F14" s="1945"/>
      <c r="G14" s="1945"/>
      <c r="H14" s="1945"/>
      <c r="I14" s="1559"/>
      <c r="K14" s="734">
        <f>3.8*B118</f>
        <v>70615.513999999996</v>
      </c>
    </row>
    <row r="15" spans="1:12" ht="12.75">
      <c r="A15" s="3186"/>
      <c r="B15" s="3244"/>
      <c r="C15" s="3249"/>
      <c r="D15" s="3235"/>
      <c r="E15" s="136" t="s">
        <v>1970</v>
      </c>
      <c r="F15" s="1945"/>
      <c r="G15" s="1945"/>
      <c r="H15" s="1945"/>
      <c r="I15" s="1559"/>
      <c r="K15" s="734">
        <f>4*B118</f>
        <v>74332.12</v>
      </c>
    </row>
    <row r="16" spans="1:12" ht="12.75">
      <c r="A16" s="3186"/>
      <c r="B16" s="3244"/>
      <c r="C16" s="3248"/>
      <c r="D16" s="3235"/>
      <c r="E16" s="136" t="s">
        <v>1971</v>
      </c>
      <c r="F16" s="1945"/>
      <c r="G16" s="1945"/>
      <c r="H16" s="1945"/>
      <c r="I16" s="1559"/>
    </row>
    <row r="17" spans="1:36" ht="15">
      <c r="A17" s="1946" t="s">
        <v>1972</v>
      </c>
      <c r="B17" s="60"/>
      <c r="C17" s="137">
        <f>SUM(C5:C16)</f>
        <v>4</v>
      </c>
      <c r="D17" s="137">
        <f>SUM(D5:D16)</f>
        <v>6</v>
      </c>
      <c r="E17" s="134"/>
      <c r="F17" s="134"/>
      <c r="G17" s="134"/>
      <c r="H17" s="134"/>
      <c r="I17" s="134"/>
      <c r="K17" s="308"/>
      <c r="L17" s="308" t="s">
        <v>1973</v>
      </c>
      <c r="M17" s="308" t="s">
        <v>1974</v>
      </c>
    </row>
    <row r="18" spans="1:36" ht="31.9" customHeight="1" thickBot="1">
      <c r="A18" s="1947" t="s">
        <v>1975</v>
      </c>
      <c r="B18" s="1948"/>
      <c r="C18" s="138">
        <f>ROUND(C17/SUM(C17:D17),2)</f>
        <v>0.4</v>
      </c>
      <c r="D18" s="138">
        <f>1-C18</f>
        <v>0.6</v>
      </c>
      <c r="E18" s="3266" t="s">
        <v>2872</v>
      </c>
      <c r="F18" s="3267"/>
      <c r="G18" s="3267"/>
      <c r="H18" s="3267"/>
      <c r="I18" s="3267"/>
      <c r="K18" s="308" t="s">
        <v>1976</v>
      </c>
      <c r="L18" s="308">
        <f>IF(C1="",'数据-汇总表'!E3,SUMIF(项目类型,C1,'数据-汇总表'!E17:E26)+SUMIF(项目类型,C1,'数据-汇总表'!I17:I26))</f>
        <v>18583.03</v>
      </c>
      <c r="M18" s="308">
        <f>IF(C1="",'数据-汇总表'!E3,SUMIF(项目类型,C1,'数据-汇总表'!E17:E26))</f>
        <v>18583.03</v>
      </c>
    </row>
    <row r="19" spans="1:36" ht="15">
      <c r="A19" s="1949" t="s">
        <v>1977</v>
      </c>
      <c r="B19" s="1950" t="s">
        <v>1978</v>
      </c>
      <c r="C19" s="139">
        <f ca="1">SUMIF(INDIRECT("'"&amp;C4&amp;"'"&amp;"!A:A"),'结果表-商业'!B19,INDIRECT("'"&amp;C4&amp;"'"&amp;"!B:B"))</f>
        <v>91444</v>
      </c>
      <c r="D19" s="140">
        <f ca="1">SUMIF(INDIRECT("'"&amp;D4&amp;"'"&amp;"!A:A"),'结果表-商业'!B19,INDIRECT("'"&amp;D4&amp;"'"&amp;"!B:B"))</f>
        <v>60224</v>
      </c>
      <c r="E19" s="1949" t="s">
        <v>1979</v>
      </c>
      <c r="F19" s="1950" t="s">
        <v>1978</v>
      </c>
      <c r="G19" s="141">
        <f ca="1">ROUND(C19*$C$18+D19*$D$18,0)</f>
        <v>72712</v>
      </c>
      <c r="H19" s="1951" t="s">
        <v>1980</v>
      </c>
      <c r="I19" s="134"/>
      <c r="K19" s="308" t="s">
        <v>1981</v>
      </c>
      <c r="L19" s="308">
        <f>IF(C1="",'数据-汇总表'!D3,SUMIF(项目类型,C1,'数据-汇总表'!D17:D26)+SUMIF(项目类型,C1,'数据-汇总表'!H17:H27))</f>
        <v>6283.43</v>
      </c>
      <c r="M19" s="308">
        <f>IF(C1="",'数据-汇总表'!D3,SUMIF(项目类型,C1,'数据-汇总表'!D17:D26))</f>
        <v>6283.43</v>
      </c>
    </row>
    <row r="20" spans="1:36" ht="15">
      <c r="A20" s="1952"/>
      <c r="B20" s="1157" t="s">
        <v>1982</v>
      </c>
      <c r="C20" s="142">
        <f ca="1">SUMIF(INDIRECT("'"&amp;C4&amp;"'"&amp;"!A:A"),'结果表-商业'!B20,INDIRECT("'"&amp;C4&amp;"'"&amp;"!B:B"))</f>
        <v>49208</v>
      </c>
      <c r="D20" s="143">
        <f ca="1">SUMIF(INDIRECT("'"&amp;D4&amp;"'"&amp;"!A:A"),'结果表-商业'!B20,INDIRECT("'"&amp;D4&amp;"'"&amp;"!B:B"))</f>
        <v>32408</v>
      </c>
      <c r="E20" s="1952"/>
      <c r="F20" s="1157" t="s">
        <v>1982</v>
      </c>
      <c r="G20" s="144">
        <f ca="1">ROUND(C20*$C$18+D20*$D$18,0)</f>
        <v>39128</v>
      </c>
      <c r="H20" s="917" t="s">
        <v>1983</v>
      </c>
      <c r="I20" s="134"/>
    </row>
    <row r="21" spans="1:36" ht="15" customHeight="1" thickBot="1">
      <c r="A21" s="937"/>
      <c r="B21" s="1953" t="s">
        <v>1984</v>
      </c>
      <c r="C21" s="728">
        <f ca="1">ROUND(C19*10000/L19,0)</f>
        <v>145532</v>
      </c>
      <c r="D21" s="729">
        <f ca="1">ROUND(D19*10000/L19,0)</f>
        <v>95846</v>
      </c>
      <c r="E21" s="937"/>
      <c r="F21" s="1953" t="s">
        <v>1984</v>
      </c>
      <c r="G21" s="145">
        <f ca="1">ROUND(G19*10000/L19,0)</f>
        <v>115720</v>
      </c>
      <c r="H21" s="1954" t="s">
        <v>1983</v>
      </c>
      <c r="I21" s="134"/>
    </row>
    <row r="22" spans="1:36" ht="15" thickBot="1">
      <c r="A22" s="1876" t="s">
        <v>1985</v>
      </c>
      <c r="B22" s="1955"/>
      <c r="C22" s="1956"/>
      <c r="D22" s="730">
        <f ca="1">IF(C19&lt;D19,D19/C19-1,C19/D19-1)</f>
        <v>0.51839798087141342</v>
      </c>
      <c r="E22" s="134"/>
      <c r="F22" s="134"/>
      <c r="G22" s="134"/>
      <c r="H22" s="134"/>
      <c r="I22" s="134"/>
    </row>
    <row r="23" spans="1:36" ht="13.5" thickBot="1">
      <c r="A23" s="1935"/>
      <c r="B23" s="1935"/>
      <c r="C23" s="1935"/>
      <c r="D23" s="1935"/>
      <c r="E23" s="134"/>
      <c r="F23" s="134"/>
      <c r="G23" s="134"/>
      <c r="H23" s="134"/>
      <c r="I23" s="134"/>
    </row>
    <row r="24" spans="1:36" ht="14.25">
      <c r="A24" s="3259" t="s">
        <v>1986</v>
      </c>
      <c r="B24" s="1950" t="s">
        <v>1978</v>
      </c>
      <c r="C24" s="141">
        <f>IF(B30=0,0,D30)</f>
        <v>0</v>
      </c>
      <c r="D24" s="1957"/>
      <c r="E24" s="134"/>
      <c r="F24" s="134"/>
      <c r="G24" s="134"/>
      <c r="H24" s="134"/>
      <c r="I24" s="134"/>
    </row>
    <row r="25" spans="1:36" ht="14.25">
      <c r="A25" s="326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72712</v>
      </c>
      <c r="D32" s="1963" t="s">
        <v>3093</v>
      </c>
      <c r="E32" s="134"/>
      <c r="F32" s="134"/>
      <c r="G32" s="134"/>
      <c r="H32" s="134"/>
      <c r="I32" s="134"/>
    </row>
    <row r="33" spans="1:15" ht="15">
      <c r="A33" s="894" t="s">
        <v>1993</v>
      </c>
      <c r="B33" s="1964"/>
      <c r="C33" s="1965" t="s">
        <v>3094</v>
      </c>
      <c r="D33" s="1966" t="s">
        <v>3090</v>
      </c>
      <c r="E33" s="1967" t="s">
        <v>1994</v>
      </c>
      <c r="F33" s="1968" t="str">
        <f>IF(D32="楼面单价","取值（单价）","取值（总价）")</f>
        <v>取值（总价）</v>
      </c>
      <c r="G33" s="134"/>
      <c r="H33" s="134"/>
      <c r="I33" s="134"/>
    </row>
    <row r="34" spans="1:15" ht="15">
      <c r="A34" s="1969"/>
      <c r="B34" s="1970" t="s">
        <v>1995</v>
      </c>
      <c r="C34" s="153">
        <f ca="1">IF(C33="自定义",F34,C32-C35)</f>
        <v>66459</v>
      </c>
      <c r="D34" s="970">
        <f ca="1">IF(C33="自定义",ROUND(C34/C32,3),IF(C33="收益比率",SUMIF(INDIRECT("'"&amp;D33&amp;"'"&amp;"!b:b"),"土地收益比率",INDIRECT("'"&amp;D33&amp;"'"&amp;"!c:c")),SUMIF(INDIRECT("'"&amp;D33&amp;"'"&amp;"!b:b"),"土地成本比率",INDIRECT("'"&amp;D33&amp;"'"&amp;"!c:c"))))</f>
        <v>0.91400000000000003</v>
      </c>
      <c r="E34" s="1971" t="s">
        <v>1996</v>
      </c>
      <c r="F34" s="1500"/>
      <c r="G34" s="134"/>
      <c r="H34" s="134"/>
      <c r="I34" s="134"/>
    </row>
    <row r="35" spans="1:15" ht="15.75" thickBot="1">
      <c r="A35" s="1972"/>
      <c r="B35" s="1973" t="s">
        <v>1997</v>
      </c>
      <c r="C35" s="1332">
        <f ca="1">IF(C33="自定义",F35,ROUND(C32*D35,0))</f>
        <v>6253</v>
      </c>
      <c r="D35" s="1333">
        <f ca="1">IF(C33="自定义",ROUND(C35/C32,3),IF(C33="收益比率",SUMIF(INDIRECT("'"&amp;D33&amp;"'"&amp;"!b:b"),"建筑物收益比率",INDIRECT("'"&amp;D33&amp;"'"&amp;"!c:c")),SUMIF(INDIRECT("'"&amp;D33&amp;"'"&amp;"!b:b"),"建筑物成本比率",INDIRECT("'"&amp;D33&amp;"'"&amp;"!c:c"))))</f>
        <v>8.5999999999999993E-2</v>
      </c>
      <c r="E35" s="1974" t="s">
        <v>1998</v>
      </c>
      <c r="F35" s="159"/>
      <c r="G35" s="134"/>
      <c r="H35" s="134"/>
      <c r="I35" s="134"/>
    </row>
    <row r="36" spans="1:15" ht="15.75" thickBot="1">
      <c r="A36" s="3236" t="s">
        <v>1999</v>
      </c>
      <c r="B36" s="1975" t="s">
        <v>2000</v>
      </c>
      <c r="C36" s="150"/>
      <c r="D36" s="1976"/>
      <c r="E36" s="1977"/>
      <c r="F36" s="1978"/>
      <c r="G36" s="134"/>
      <c r="H36" s="134"/>
      <c r="I36" s="134"/>
    </row>
    <row r="37" spans="1:15" ht="15.75" thickBot="1">
      <c r="A37" s="3237"/>
      <c r="B37" s="1862" t="s">
        <v>2001</v>
      </c>
      <c r="C37" s="152"/>
      <c r="D37" s="1301"/>
      <c r="E37" s="1301"/>
      <c r="F37" s="1978"/>
      <c r="G37" s="134"/>
      <c r="H37" s="134"/>
      <c r="I37" s="134"/>
    </row>
    <row r="38" spans="1:15" ht="15.75" thickBot="1">
      <c r="A38" s="3238"/>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56" t="s">
        <v>2013</v>
      </c>
      <c r="B45" s="3257"/>
      <c r="C45" s="3258"/>
      <c r="D45" s="160">
        <f ca="1">ROUND(H101*F45,0)</f>
        <v>72712</v>
      </c>
      <c r="E45" s="161" t="s">
        <v>2014</v>
      </c>
      <c r="F45" s="162">
        <v>1</v>
      </c>
      <c r="G45" s="163" t="s">
        <v>2015</v>
      </c>
      <c r="H45" s="134"/>
      <c r="I45" s="134"/>
      <c r="J45" s="3173" t="s">
        <v>2016</v>
      </c>
      <c r="K45" s="3173"/>
      <c r="L45" s="3173"/>
      <c r="M45" s="3173"/>
      <c r="N45" s="3173"/>
      <c r="O45" s="3173"/>
    </row>
    <row r="46" spans="1:15" ht="14.25" customHeight="1">
      <c r="A46" s="3253" t="s">
        <v>2017</v>
      </c>
      <c r="B46" s="3254"/>
      <c r="C46" s="3254"/>
      <c r="D46" s="3254"/>
      <c r="E46" s="3254"/>
      <c r="F46" s="3254"/>
      <c r="G46" s="3255"/>
      <c r="H46" s="1994"/>
      <c r="I46" s="164"/>
      <c r="J46" s="2749">
        <v>1</v>
      </c>
      <c r="K46" s="3174" t="s">
        <v>2018</v>
      </c>
      <c r="L46" s="3174"/>
      <c r="M46" s="3175"/>
      <c r="N46" s="3175"/>
      <c r="O46" s="3175"/>
    </row>
    <row r="47" spans="1:15" ht="12" customHeight="1">
      <c r="A47" s="165" t="s">
        <v>2019</v>
      </c>
      <c r="B47" s="166"/>
      <c r="C47" s="167"/>
      <c r="D47" s="1247" t="s">
        <v>2020</v>
      </c>
      <c r="E47" s="308" t="s">
        <v>2021</v>
      </c>
      <c r="F47" s="168" t="s">
        <v>2022</v>
      </c>
      <c r="G47" s="2772" t="s">
        <v>2023</v>
      </c>
      <c r="H47" s="2773"/>
      <c r="I47" s="164"/>
      <c r="J47" s="2749">
        <v>2</v>
      </c>
      <c r="K47" s="3174" t="s">
        <v>2024</v>
      </c>
      <c r="L47" s="3174"/>
      <c r="M47" s="3176">
        <f>'数据-取费表'!B2</f>
        <v>44155</v>
      </c>
      <c r="N47" s="3176"/>
      <c r="O47" s="3176"/>
    </row>
    <row r="48" spans="1:15" ht="25.5">
      <c r="A48" s="3239" t="s">
        <v>2025</v>
      </c>
      <c r="B48" s="3240"/>
      <c r="C48" s="3240"/>
      <c r="D48" s="2548" t="b">
        <f>IF(H48="情况1",0,IF(H48="情况2",D52,IF(H48="情况3",D53,IF(H48="情况4",D54))))</f>
        <v>0</v>
      </c>
      <c r="E48" s="2558" t="str">
        <f>IF(H48="情况4","(销售额-原购置价)×税（费）率","销售额×税（费）率")</f>
        <v>销售额×税（费）率</v>
      </c>
      <c r="F48" s="2774">
        <f>IF(H48="情况1","免征",'数据-取费表'!B41)</f>
        <v>5.6000000000000001E-2</v>
      </c>
      <c r="G48" s="2775" t="s">
        <v>2026</v>
      </c>
      <c r="H48" s="2776"/>
      <c r="I48" s="1994"/>
      <c r="J48" s="2749">
        <v>3</v>
      </c>
      <c r="K48" s="3174" t="s">
        <v>2027</v>
      </c>
      <c r="L48" s="3174"/>
      <c r="M48" s="3177">
        <f ca="1">H101</f>
        <v>72712</v>
      </c>
      <c r="N48" s="3177"/>
      <c r="O48" s="3177"/>
    </row>
    <row r="49" spans="1:35" ht="25.5" customHeight="1">
      <c r="A49" s="2557" t="s">
        <v>2028</v>
      </c>
      <c r="B49" s="3222" t="s">
        <v>2029</v>
      </c>
      <c r="C49" s="3222"/>
      <c r="D49" s="1777">
        <v>0</v>
      </c>
      <c r="E49" s="330" t="s">
        <v>2030</v>
      </c>
      <c r="F49" s="2650" t="s">
        <v>34</v>
      </c>
      <c r="G49" s="3205"/>
      <c r="H49" s="2529" t="s">
        <v>2875</v>
      </c>
      <c r="I49" s="2530"/>
      <c r="J49" s="2749">
        <v>4</v>
      </c>
      <c r="K49" s="3174" t="str">
        <f>IF(项目基本情况!E8="房地产抵押价值","房地产抵押价值","抵押担保权已注销时的房地产抵押价值")</f>
        <v>抵押担保权已注销时的房地产抵押价值</v>
      </c>
      <c r="L49" s="3174"/>
      <c r="M49" s="3177">
        <f ca="1">IF(项目基本情况!E8="房地产抵押价值",H107,H109)</f>
        <v>72712</v>
      </c>
      <c r="N49" s="3177"/>
      <c r="O49" s="3177"/>
    </row>
    <row r="50" spans="1:35" ht="25.5" customHeight="1">
      <c r="A50" s="2777"/>
      <c r="B50" s="3222" t="s">
        <v>2031</v>
      </c>
      <c r="C50" s="3222"/>
      <c r="D50" s="2778"/>
      <c r="E50" s="338"/>
      <c r="F50" s="2650"/>
      <c r="G50" s="3206"/>
      <c r="H50" s="2531" t="s">
        <v>2876</v>
      </c>
      <c r="I50" s="2530"/>
      <c r="J50" s="3173" t="s">
        <v>2032</v>
      </c>
      <c r="K50" s="3173"/>
      <c r="L50" s="3173"/>
      <c r="M50" s="3173"/>
      <c r="N50" s="3173"/>
      <c r="O50" s="3173"/>
    </row>
    <row r="51" spans="1:35" ht="20.45" customHeight="1">
      <c r="A51" s="2779"/>
      <c r="B51" s="3222" t="s">
        <v>2033</v>
      </c>
      <c r="C51" s="3222"/>
      <c r="D51" s="1247"/>
      <c r="E51" s="333"/>
      <c r="F51" s="2650"/>
      <c r="G51" s="3207"/>
      <c r="H51" s="2531" t="s">
        <v>2877</v>
      </c>
      <c r="I51" s="2530"/>
      <c r="J51" s="2750" t="s">
        <v>2034</v>
      </c>
      <c r="K51" s="3174" t="s">
        <v>2035</v>
      </c>
      <c r="L51" s="3174"/>
      <c r="M51" s="2750" t="s">
        <v>2036</v>
      </c>
      <c r="N51" s="2750" t="s">
        <v>2037</v>
      </c>
      <c r="O51" s="2750" t="s">
        <v>2038</v>
      </c>
    </row>
    <row r="52" spans="1:35" ht="24" customHeight="1">
      <c r="A52" s="2559" t="s">
        <v>2039</v>
      </c>
      <c r="B52" s="3222" t="s">
        <v>2040</v>
      </c>
      <c r="C52" s="3222"/>
      <c r="D52" s="1247">
        <f ca="1">ROUND(D45*'数据-取费表'!B41/(1+'数据-取费表'!C42),0)</f>
        <v>3878</v>
      </c>
      <c r="E52" s="2558" t="s">
        <v>2041</v>
      </c>
      <c r="F52" s="2780">
        <f>'数据-取费表'!B41</f>
        <v>5.6000000000000001E-2</v>
      </c>
      <c r="G52" s="2781"/>
      <c r="H52" s="2770"/>
      <c r="I52" s="1995"/>
      <c r="J52" s="2749">
        <v>1</v>
      </c>
      <c r="K52" s="3199" t="s">
        <v>2042</v>
      </c>
      <c r="L52" s="3199"/>
      <c r="M52" s="2751" t="b">
        <f>D48</f>
        <v>0</v>
      </c>
      <c r="N52" s="2749" t="str">
        <f>E48</f>
        <v>销售额×税（费）率</v>
      </c>
      <c r="O52" s="2752">
        <f>F48</f>
        <v>5.6000000000000001E-2</v>
      </c>
    </row>
    <row r="53" spans="1:35" ht="12" customHeight="1">
      <c r="A53" s="2559" t="s">
        <v>2043</v>
      </c>
      <c r="B53" s="3223" t="s">
        <v>3036</v>
      </c>
      <c r="C53" s="3224"/>
      <c r="D53" s="1247">
        <f ca="1">ROUND(D45*'数据-取费表'!B41/(1+'数据-取费表'!C42),0)</f>
        <v>3878</v>
      </c>
      <c r="E53" s="2558" t="s">
        <v>2041</v>
      </c>
      <c r="F53" s="2780">
        <f>'数据-取费表'!B41</f>
        <v>5.6000000000000001E-2</v>
      </c>
      <c r="G53" s="2781"/>
      <c r="H53" s="2770"/>
      <c r="I53" s="1995"/>
      <c r="J53" s="2749">
        <v>2</v>
      </c>
      <c r="K53" s="3199" t="s">
        <v>2044</v>
      </c>
      <c r="L53" s="3199"/>
      <c r="M53" s="2751">
        <f t="shared" ref="M53:O54" ca="1" si="0">D55</f>
        <v>36</v>
      </c>
      <c r="N53" s="2749" t="str">
        <f t="shared" si="0"/>
        <v>销售额×税（费）率</v>
      </c>
      <c r="O53" s="2752" t="str">
        <f t="shared" si="0"/>
        <v>免征</v>
      </c>
    </row>
    <row r="54" spans="1:35" ht="12" customHeight="1">
      <c r="A54" s="2559" t="s">
        <v>2045</v>
      </c>
      <c r="B54" s="3223" t="s">
        <v>3037</v>
      </c>
      <c r="C54" s="3224"/>
      <c r="D54" s="1247">
        <f ca="1">C68</f>
        <v>3878</v>
      </c>
      <c r="E54" s="333" t="s">
        <v>2046</v>
      </c>
      <c r="F54" s="2780">
        <f>'数据-取费表'!B41</f>
        <v>5.6000000000000001E-2</v>
      </c>
      <c r="G54" s="2781"/>
      <c r="H54" s="2782"/>
      <c r="I54" s="1995"/>
      <c r="J54" s="2749">
        <v>3</v>
      </c>
      <c r="K54" s="3199" t="s">
        <v>2047</v>
      </c>
      <c r="L54" s="3199"/>
      <c r="M54" s="2751">
        <f t="shared" ca="1" si="0"/>
        <v>41156</v>
      </c>
      <c r="N54" s="2749" t="str">
        <f t="shared" si="0"/>
        <v>增值额×税（费）率</v>
      </c>
      <c r="O54" s="2753" t="str">
        <f t="shared" si="0"/>
        <v>免征</v>
      </c>
    </row>
    <row r="55" spans="1:35" ht="24" customHeight="1">
      <c r="A55" s="3262" t="s">
        <v>2048</v>
      </c>
      <c r="B55" s="3240"/>
      <c r="C55" s="3240"/>
      <c r="D55" s="2548">
        <f ca="1">IF(H55="个人住宅",0,ROUND(D45*I55,0))</f>
        <v>36</v>
      </c>
      <c r="E55" s="2558" t="s">
        <v>2049</v>
      </c>
      <c r="F55" s="2780" t="str">
        <f>IF(H55="正常",I55,"免征")</f>
        <v>免征</v>
      </c>
      <c r="G55" s="2781"/>
      <c r="H55" s="2776"/>
      <c r="I55" s="170">
        <f>'数据-取费表'!B49</f>
        <v>5.0000000000000001E-4</v>
      </c>
      <c r="J55" s="2749">
        <f>IF(H59="非个人房产","",4)</f>
        <v>4</v>
      </c>
      <c r="K55" s="3199" t="str">
        <f>IF(H59="非个人房产","——","个人所得税")</f>
        <v>个人所得税</v>
      </c>
      <c r="L55" s="3199"/>
      <c r="M55" s="2754">
        <f ca="1">D59</f>
        <v>693</v>
      </c>
      <c r="N55" s="2230" t="str">
        <f>E59</f>
        <v>差额计税</v>
      </c>
      <c r="O55" s="2755">
        <f>F59</f>
        <v>0.01</v>
      </c>
    </row>
    <row r="56" spans="1:35" ht="24.75">
      <c r="A56" s="3262" t="s">
        <v>2050</v>
      </c>
      <c r="B56" s="3240"/>
      <c r="C56" s="3240"/>
      <c r="D56" s="2548">
        <f ca="1">IF(H56="个人住宅",D57,D58)</f>
        <v>41156</v>
      </c>
      <c r="E56" s="2558" t="s">
        <v>2051</v>
      </c>
      <c r="F56" s="2780" t="str">
        <f>IF(H56="正常",F58,"免征")</f>
        <v>免征</v>
      </c>
      <c r="G56" s="2783" t="s">
        <v>2052</v>
      </c>
      <c r="H56" s="2784"/>
      <c r="I56" s="1996"/>
      <c r="J56" s="2749" t="str">
        <f>IF(项目基本情况!K6="上海银行",IF(J55="",4,J55+1),"")</f>
        <v/>
      </c>
      <c r="K56" s="3180" t="str">
        <f>IF(项目基本情况!K6="上海银行","其他处置费用","")</f>
        <v/>
      </c>
      <c r="L56" s="3181"/>
      <c r="M56" s="2751" t="str">
        <f>IF(项目基本情况!K6="上海银行",M69,"")</f>
        <v/>
      </c>
      <c r="N56" s="3180" t="str">
        <f>IF(项目基本情况!K6="上海银行","包含处置中涉及的律师、诉讼、拍卖、评估等费用","")</f>
        <v/>
      </c>
      <c r="O56" s="3183"/>
    </row>
    <row r="57" spans="1:35" ht="12.75">
      <c r="A57" s="2559" t="s">
        <v>2028</v>
      </c>
      <c r="B57" s="3223" t="s">
        <v>2053</v>
      </c>
      <c r="C57" s="3224"/>
      <c r="D57" s="1777">
        <v>0</v>
      </c>
      <c r="E57" s="330" t="s">
        <v>2030</v>
      </c>
      <c r="F57" s="308"/>
      <c r="G57" s="2781"/>
      <c r="H57" s="2785"/>
      <c r="I57" s="1996"/>
      <c r="J57" s="3199">
        <f>IF(AND(J55="",J56=""),4,IF(项目基本情况!K6="上海银行",'结果表-商业'!J56+1,'结果表-商业'!J55+1))</f>
        <v>5</v>
      </c>
      <c r="K57" s="3199" t="s">
        <v>2054</v>
      </c>
      <c r="L57" s="2756" t="s">
        <v>2055</v>
      </c>
      <c r="M57" s="2757"/>
      <c r="N57" s="2758">
        <f ca="1">SUMIF(M52:M56,"&lt;9e307")</f>
        <v>41885</v>
      </c>
      <c r="O57" s="2759"/>
      <c r="P57" s="2919">
        <f ca="1">N57/M49</f>
        <v>0.57603971834085155</v>
      </c>
    </row>
    <row r="58" spans="1:35" ht="24.75">
      <c r="A58" s="2559" t="s">
        <v>2039</v>
      </c>
      <c r="B58" s="3223" t="s">
        <v>2056</v>
      </c>
      <c r="C58" s="3222"/>
      <c r="D58" s="2548">
        <f ca="1">IF(H58="转让取得",C81,C97)</f>
        <v>41156</v>
      </c>
      <c r="E58" s="2558" t="s">
        <v>2051</v>
      </c>
      <c r="F58" s="308" t="s">
        <v>34</v>
      </c>
      <c r="G58" s="2781"/>
      <c r="H58" s="2784"/>
      <c r="I58" s="1996"/>
      <c r="J58" s="3199"/>
      <c r="K58" s="3199"/>
      <c r="L58" s="2756" t="s">
        <v>2057</v>
      </c>
      <c r="M58" s="2760"/>
      <c r="N58" s="2761" t="str">
        <f ca="1">NUMBERSTRING(INT(N57*10000),2)&amp;"元整"</f>
        <v>肆亿壹仟捌佰捌拾伍万元整</v>
      </c>
      <c r="O58" s="2762"/>
    </row>
    <row r="59" spans="1:35" ht="24.75" thickBot="1">
      <c r="A59" s="3203" t="s">
        <v>2058</v>
      </c>
      <c r="B59" s="3204"/>
      <c r="C59" s="3204"/>
      <c r="D59" s="2786">
        <f ca="1">IF(H59="非个人房产","——",IF(H59="个人住宅（满五唯一有凭证）",0,IF(H59="个人其他（无凭证）",ROUND(D45*F59,0),ROUND(C67*F59,0))))</f>
        <v>693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3"/>
      <c r="I59" s="2532" t="s">
        <v>2878</v>
      </c>
      <c r="J59" s="3201">
        <f>J57+1</f>
        <v>6</v>
      </c>
      <c r="K59" s="3199" t="s">
        <v>2059</v>
      </c>
      <c r="L59" s="2749" t="s">
        <v>2055</v>
      </c>
      <c r="M59" s="2763"/>
      <c r="N59" s="2764">
        <f ca="1">M49-N57</f>
        <v>30827</v>
      </c>
      <c r="O59" s="2765"/>
    </row>
    <row r="60" spans="1:35" ht="12" customHeight="1">
      <c r="A60" s="1997"/>
      <c r="B60" s="1935"/>
      <c r="C60" s="1935"/>
      <c r="D60" s="1935"/>
      <c r="E60" s="1765"/>
      <c r="F60" s="1996"/>
      <c r="G60" s="1996"/>
      <c r="H60" s="1998"/>
      <c r="I60" s="134"/>
      <c r="J60" s="3202"/>
      <c r="K60" s="3199"/>
      <c r="L60" s="2756" t="s">
        <v>2057</v>
      </c>
      <c r="M60" s="2760"/>
      <c r="N60" s="2761" t="str">
        <f ca="1">NUMBERSTRING(INT(N59*10000),2)&amp;"元整"</f>
        <v>叁亿零捌佰贰拾柒万元整</v>
      </c>
      <c r="O60" s="2762"/>
    </row>
    <row r="61" spans="1:35" ht="13.5" thickBot="1">
      <c r="A61" s="3261" t="s">
        <v>2060</v>
      </c>
      <c r="B61" s="3261"/>
      <c r="C61" s="3261"/>
      <c r="D61" s="3261"/>
      <c r="E61" s="3261"/>
      <c r="F61" s="1996"/>
      <c r="G61" s="1996"/>
      <c r="H61" s="1998"/>
      <c r="I61" s="134"/>
      <c r="J61" s="2749">
        <f>J59+1</f>
        <v>7</v>
      </c>
      <c r="K61" s="3199" t="s">
        <v>2061</v>
      </c>
      <c r="L61" s="3199"/>
      <c r="M61" s="2766"/>
      <c r="N61" s="2767">
        <f ca="1">ROUND(N59*10000/'数据-汇总表'!E3,0)</f>
        <v>16589</v>
      </c>
      <c r="O61" s="2768"/>
    </row>
    <row r="62" spans="1:35" ht="12.75">
      <c r="A62" s="3218" t="s">
        <v>2062</v>
      </c>
      <c r="B62" s="3219"/>
      <c r="C62" s="2211"/>
      <c r="D62" s="2211" t="s">
        <v>2063</v>
      </c>
      <c r="E62" s="171" t="s">
        <v>2064</v>
      </c>
      <c r="F62" s="1996"/>
      <c r="G62" s="1996"/>
      <c r="H62" s="1998"/>
      <c r="I62" s="134"/>
    </row>
    <row r="63" spans="1:35" ht="12.75">
      <c r="A63" s="178" t="s">
        <v>775</v>
      </c>
      <c r="B63" s="172" t="s">
        <v>2065</v>
      </c>
      <c r="C63" s="2790">
        <f ca="1">ROUND((C64+C65)/(1+'数据-取费表'!C42),0)</f>
        <v>69250</v>
      </c>
      <c r="D63" s="172"/>
      <c r="E63" s="173"/>
      <c r="F63" s="1996"/>
      <c r="G63" s="1996"/>
      <c r="H63" s="1998"/>
      <c r="I63" s="134"/>
      <c r="J63" s="3182" t="s">
        <v>2066</v>
      </c>
      <c r="K63" s="1503" t="s">
        <v>2067</v>
      </c>
      <c r="L63" s="1503">
        <f ca="1">IF(M49&gt;10000,M49*0.5%,IF(AND(M49&gt;1000,M49&lt;=10000),M49*1%,IF(AND(M49&gt;100,M49&lt;=1000),M49*3%,IF(AND(M49&gt;10,M49&lt;=100),M49*5%,M49*8%))))</f>
        <v>363.56</v>
      </c>
      <c r="M63" s="308">
        <f ca="1">ROUND(L63,1)</f>
        <v>363.6</v>
      </c>
      <c r="N63" s="2769"/>
      <c r="Z63" s="1940"/>
      <c r="AI63" s="1941"/>
    </row>
    <row r="64" spans="1:35" ht="14.25" customHeight="1">
      <c r="A64" s="174" t="s">
        <v>770</v>
      </c>
      <c r="B64" s="175" t="s">
        <v>2068</v>
      </c>
      <c r="C64" s="2791">
        <f ca="1">D45</f>
        <v>72712</v>
      </c>
      <c r="D64" s="175" t="s">
        <v>32</v>
      </c>
      <c r="E64" s="177"/>
      <c r="F64" s="1996"/>
      <c r="G64" s="1996"/>
      <c r="H64" s="1998"/>
      <c r="I64" s="134"/>
      <c r="J64" s="3182"/>
      <c r="K64" s="1503" t="s">
        <v>2069</v>
      </c>
      <c r="L64" s="1503">
        <f ca="1">IF(M49&gt;2000,M49*0.5%,IF(AND(M49&gt;1000,M49&lt;=2000),M49*0.6%,IF(AND(M49&gt;500,M49&lt;=1000),M49*0.7%,IF(AND(M49&gt;200,M49&lt;=500),M49*0.8%,IF(AND(M49&gt;100,M49&lt;=200),M49*0.9%,IF(AND(M49&gt;50,M49&lt;=100),M49*1%,IF(AND(M49&gt;20,M49&lt;=50),M49*1.5%,IF(AND(M49&gt;10,M49&lt;=20),M49*2%,IF(AND(M49&gt;1,M49&lt;=10),M49*2.5%)))))))))</f>
        <v>363.56</v>
      </c>
      <c r="M64" s="308">
        <f t="shared" ref="M64:M65" ca="1" si="1">ROUND(L64,1)</f>
        <v>363.6</v>
      </c>
      <c r="N64" s="2770" t="s">
        <v>2070</v>
      </c>
      <c r="Z64" s="1940"/>
      <c r="AI64" s="1941"/>
    </row>
    <row r="65" spans="1:35" ht="14.25" customHeight="1">
      <c r="A65" s="174" t="s">
        <v>771</v>
      </c>
      <c r="B65" s="175" t="s">
        <v>2071</v>
      </c>
      <c r="C65" s="2792"/>
      <c r="D65" s="175"/>
      <c r="E65" s="177"/>
      <c r="F65" s="1996"/>
      <c r="G65" s="1996"/>
      <c r="H65" s="1998"/>
      <c r="I65" s="134"/>
      <c r="J65" s="3182"/>
      <c r="K65" s="1503" t="s">
        <v>2072</v>
      </c>
      <c r="L65" s="1503">
        <f ca="1">IF(M49&gt;1000,M49*0.1%,IF(AND(M49&gt;500,M49&lt;=1000),M49*0.5%,IF(AND(M49&gt;50,M49&lt;=500),M49*1%,IF(AND(M49&gt;1,M49&lt;=50),M49*1.5%))))</f>
        <v>72.712000000000003</v>
      </c>
      <c r="M65" s="308">
        <f t="shared" ca="1" si="1"/>
        <v>72.7</v>
      </c>
      <c r="N65" s="2770" t="s">
        <v>2070</v>
      </c>
      <c r="Z65" s="1940"/>
      <c r="AI65" s="1941"/>
    </row>
    <row r="66" spans="1:35" ht="14.25" customHeight="1">
      <c r="A66" s="178" t="s">
        <v>772</v>
      </c>
      <c r="B66" s="179" t="s">
        <v>2073</v>
      </c>
      <c r="C66" s="2793"/>
      <c r="D66" s="179" t="s">
        <v>32</v>
      </c>
      <c r="E66" s="1511" t="s">
        <v>1337</v>
      </c>
      <c r="F66" s="1996"/>
      <c r="G66" s="1996"/>
      <c r="H66" s="1998"/>
      <c r="I66" s="134"/>
      <c r="J66" s="3182"/>
      <c r="K66" s="1503" t="s">
        <v>2074</v>
      </c>
      <c r="L66" s="1503">
        <f ca="1">M49*0.5%</f>
        <v>363.56</v>
      </c>
      <c r="M66" s="308">
        <f ca="1">IF(L66&gt;0.5,0.5,ROUND(L66,0))</f>
        <v>0.5</v>
      </c>
      <c r="N66" s="2770" t="s">
        <v>2075</v>
      </c>
      <c r="Z66" s="1940"/>
      <c r="AI66" s="1941"/>
    </row>
    <row r="67" spans="1:35" ht="14.25" customHeight="1">
      <c r="A67" s="178" t="s">
        <v>773</v>
      </c>
      <c r="B67" s="179" t="s">
        <v>2076</v>
      </c>
      <c r="C67" s="2794">
        <f ca="1">C63-C66</f>
        <v>69250</v>
      </c>
      <c r="D67" s="175" t="s">
        <v>32</v>
      </c>
      <c r="E67" s="177"/>
      <c r="F67" s="1996"/>
      <c r="G67" s="1996"/>
      <c r="H67" s="1998"/>
      <c r="I67" s="134"/>
      <c r="J67" s="3182"/>
      <c r="K67" s="1503" t="s">
        <v>2077</v>
      </c>
      <c r="L67" s="1503">
        <f ca="1">IF(M49&gt;=10000,(8.25+(M49-10000)*0.01%),IF(AND(M49&gt;=8000,M49&lt;10000),(7.85+(M49-8000)*0.02%),IF(AND(M49&gt;=5000,M49&lt;8000),(6.65+(M49-5000)*0.04%),IF(AND(M49&gt;=2000,M49&lt;5000),(4.25+(PM49-2000)*0.08%),IF(AND(M49&gt;=1000,M49&lt;2000),(2.75+(M49-1000)*0.15%),IF(AND(M49&gt;=100,M49&lt;1000),(0.5+(M49-100)*0.25%),IF(AND(M49&gt;0,M49&lt;100),M49*0.5%)))))))</f>
        <v>14.5212</v>
      </c>
      <c r="M67" s="308">
        <f ca="1">ROUND(L67*0.9,1)</f>
        <v>13.1</v>
      </c>
      <c r="N67" s="2769"/>
      <c r="Z67" s="1940"/>
      <c r="AI67" s="1941"/>
    </row>
    <row r="68" spans="1:35" ht="14.25" customHeight="1" thickBot="1">
      <c r="A68" s="181" t="s">
        <v>774</v>
      </c>
      <c r="B68" s="182" t="s">
        <v>2078</v>
      </c>
      <c r="C68" s="2795">
        <f ca="1">IF(C67&lt;=0,0,ROUND(C67*D68,0))</f>
        <v>3878</v>
      </c>
      <c r="D68" s="2796">
        <f>'数据-取费表'!B41</f>
        <v>5.6000000000000001E-2</v>
      </c>
      <c r="E68" s="184"/>
      <c r="F68" s="1996"/>
      <c r="G68" s="1996"/>
      <c r="H68" s="1998"/>
      <c r="I68" s="134"/>
      <c r="J68" s="3182"/>
      <c r="K68" s="1503" t="s">
        <v>2079</v>
      </c>
      <c r="L68" s="1503">
        <f ca="1">IF(M49&gt;10000,M49*0.5%,IF(AND(M49&gt;5000,M49&lt;=10000),M49*1%,IF(AND(M49&gt;1000,M49&lt;=5000),M49*2%,IF(AND(M49&gt;200,M49&lt;=1000),M49*3%,M49*5%))))</f>
        <v>363.56</v>
      </c>
      <c r="M68" s="308">
        <f ca="1">ROUND(L68,1)</f>
        <v>363.6</v>
      </c>
      <c r="N68" s="2769"/>
      <c r="Z68" s="1940"/>
      <c r="AI68" s="1941"/>
    </row>
    <row r="69" spans="1:35" s="1960" customFormat="1" ht="16.5" customHeight="1">
      <c r="A69" s="1999"/>
      <c r="B69" s="2000"/>
      <c r="C69" s="2001"/>
      <c r="D69" s="2002"/>
      <c r="E69" s="2003"/>
      <c r="F69" s="1765"/>
      <c r="G69" s="1765"/>
      <c r="H69" s="1764"/>
      <c r="I69" s="1935"/>
      <c r="J69" s="3182"/>
      <c r="K69" s="1503" t="s">
        <v>2080</v>
      </c>
      <c r="L69" s="1503"/>
      <c r="M69" s="308">
        <f ca="1">ROUND(SUM(M63:M68),0)</f>
        <v>1177</v>
      </c>
      <c r="N69" s="2771">
        <f ca="1">M69/M49</f>
        <v>1.6187149301353284E-2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6" t="s">
        <v>2081</v>
      </c>
      <c r="B70" s="3227"/>
      <c r="C70" s="3227"/>
      <c r="D70" s="3227"/>
      <c r="E70" s="3227"/>
      <c r="F70" s="3227"/>
      <c r="G70" s="3227"/>
      <c r="H70" s="3227"/>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8" t="s">
        <v>2062</v>
      </c>
      <c r="B71" s="3219"/>
      <c r="C71" s="2211"/>
      <c r="D71" s="2211" t="s">
        <v>2063</v>
      </c>
      <c r="E71" s="185" t="s">
        <v>2064</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4">
        <f ca="1">ROUND(D45/(1+'数据-取费表'!C42),0)</f>
        <v>69250</v>
      </c>
      <c r="D72" s="175" t="s">
        <v>32</v>
      </c>
      <c r="E72" s="2555"/>
      <c r="F72" s="2554"/>
      <c r="G72" s="2554"/>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4">
        <f ca="1">C74+C78</f>
        <v>415</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0">
        <v>0.05</v>
      </c>
      <c r="E76" s="3223" t="s">
        <v>2089</v>
      </c>
      <c r="F76" s="3222"/>
      <c r="G76" s="3222"/>
      <c r="H76" s="322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1">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2">
        <f ca="1">ROUND(D45*D78/(1+'数据-取费表'!C42),0)</f>
        <v>415</v>
      </c>
      <c r="D78" s="2803">
        <f>'数据-取费表'!B43</f>
        <v>6.000000000000001E-3</v>
      </c>
      <c r="E78" s="3215" t="s">
        <v>2093</v>
      </c>
      <c r="F78" s="3216"/>
      <c r="G78" s="3216"/>
      <c r="H78" s="321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4">
        <f ca="1">C72-C73</f>
        <v>68835</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4">
        <f ca="1">IF(C79&lt;=0,0,C79/C73)</f>
        <v>165.86746987951807</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5">
        <f ca="1">ROUND(IF(C79&lt;=0,0,IF(C80&gt;=200%,C79*60%-C73*35%,IF(C80&gt;=100%,C79*50%-C73*15%,IF(C80&gt;=50%,C79*40%-C73*5%,IF(C80&lt;50%,C79*30%,0))))),0)</f>
        <v>41156</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6" t="s">
        <v>2097</v>
      </c>
      <c r="B83" s="3227"/>
      <c r="C83" s="3227"/>
      <c r="D83" s="3227"/>
      <c r="E83" s="3227"/>
      <c r="F83" s="3227"/>
      <c r="G83" s="3227"/>
      <c r="H83" s="322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8" t="s">
        <v>2062</v>
      </c>
      <c r="B84" s="3219"/>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4">
        <f ca="1">ROUND(D45/(1+'数据-取费表'!C42),0)</f>
        <v>69250</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4">
        <f ca="1">IF(H88="仅含出让金",C87+C90+C91+C92+C93+C94,C87+C91+C92+C93+C94)</f>
        <v>415</v>
      </c>
      <c r="D86" s="2807"/>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2">
        <f>C88+C89</f>
        <v>0</v>
      </c>
      <c r="D87" s="2803"/>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8"/>
      <c r="D88" s="2803"/>
      <c r="E88" s="199" t="s">
        <v>2100</v>
      </c>
      <c r="F88" s="2551"/>
      <c r="G88" s="200" t="s">
        <v>2101</v>
      </c>
      <c r="H88" s="2012"/>
      <c r="I88" s="2009"/>
      <c r="J88" s="2747"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2">
        <f>ROUND(C88*D89,0)</f>
        <v>0</v>
      </c>
      <c r="D89" s="2803">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8"/>
      <c r="D90" s="2803"/>
      <c r="E90" s="199" t="str">
        <f>IF(H88="-","土地取得成本中已包含该笔费用"," ")</f>
        <v xml:space="preserve"> </v>
      </c>
      <c r="F90" s="2551"/>
      <c r="G90" s="3184" t="s">
        <v>2870</v>
      </c>
      <c r="H90" s="3185"/>
      <c r="I90" s="2009"/>
      <c r="J90" s="2747"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2">
        <f>IF(H91="——",成本法!C33,I91)</f>
        <v>0</v>
      </c>
      <c r="D91" s="2803"/>
      <c r="E91" s="3215" t="s">
        <v>2106</v>
      </c>
      <c r="F91" s="3216"/>
      <c r="G91" s="3216"/>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2">
        <f>ROUND((C87+C90+C91)*D92,0)</f>
        <v>0</v>
      </c>
      <c r="D92" s="2809"/>
      <c r="E92" s="3215" t="s">
        <v>2109</v>
      </c>
      <c r="F92" s="3216"/>
      <c r="G92" s="3216"/>
      <c r="H92" s="3217"/>
      <c r="I92" s="2009"/>
      <c r="J92" s="2748"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2">
        <f ca="1">ROUND(D45*D93/(1+'数据-取费表'!C42),0)</f>
        <v>415</v>
      </c>
      <c r="D93" s="2803">
        <f>'数据-取费表'!B43</f>
        <v>6.000000000000001E-3</v>
      </c>
      <c r="E93" s="3215" t="s">
        <v>2093</v>
      </c>
      <c r="F93" s="3216"/>
      <c r="G93" s="3216"/>
      <c r="H93" s="321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8">
        <f>ROUND((C87+C90+C91)*D94,0)</f>
        <v>0</v>
      </c>
      <c r="D94" s="2803">
        <v>0.2</v>
      </c>
      <c r="E94" s="3263" t="s">
        <v>2113</v>
      </c>
      <c r="F94" s="3264"/>
      <c r="G94" s="3264"/>
      <c r="H94" s="326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4">
        <f ca="1">ROUND(C85-C86,0)</f>
        <v>68835</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4">
        <f ca="1">IF(C95&lt;=0,0,C95/C86)</f>
        <v>165.86746987951807</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5">
        <f ca="1">ROUND(IF(C95&lt;=0,0,IF(C96&gt;=200%,C95*60%-C86*35%,IF(C96&gt;=100%,C95*50%-C86*15%,IF(C96&gt;=50%,C95*40%-C86*5%,IF(C96&lt;50%,C95*30%,0))))),0)</f>
        <v>41156</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65" t="s">
        <v>2115</v>
      </c>
      <c r="B100" s="3166"/>
      <c r="C100" s="3166"/>
      <c r="D100" s="3200"/>
      <c r="E100" s="3166" t="s">
        <v>2116</v>
      </c>
      <c r="F100" s="3166"/>
      <c r="G100" s="3166"/>
      <c r="H100" s="3200"/>
      <c r="I100" s="134"/>
    </row>
    <row r="101" spans="1:35" ht="18.75" customHeight="1">
      <c r="A101" s="3208" t="s">
        <v>2117</v>
      </c>
      <c r="B101" s="3209"/>
      <c r="C101" s="2811" t="str">
        <f>C4</f>
        <v>成本法</v>
      </c>
      <c r="D101" s="2812" t="str">
        <f>D4</f>
        <v>收益法</v>
      </c>
      <c r="E101" s="3178" t="s">
        <v>2118</v>
      </c>
      <c r="F101" s="3179"/>
      <c r="G101" s="2015" t="s">
        <v>2119</v>
      </c>
      <c r="H101" s="2821">
        <f ca="1">H118</f>
        <v>72712</v>
      </c>
      <c r="I101" s="134"/>
    </row>
    <row r="102" spans="1:35" ht="18.75" customHeight="1">
      <c r="A102" s="3210" t="s">
        <v>2120</v>
      </c>
      <c r="B102" s="2810" t="s">
        <v>2119</v>
      </c>
      <c r="C102" s="2811">
        <f ca="1">C19</f>
        <v>91444</v>
      </c>
      <c r="D102" s="2812">
        <f ca="1">D19</f>
        <v>60224</v>
      </c>
      <c r="E102" s="3178"/>
      <c r="F102" s="3179"/>
      <c r="G102" s="2015" t="s">
        <v>2121</v>
      </c>
      <c r="H102" s="2781">
        <f ca="1">I118</f>
        <v>39128</v>
      </c>
      <c r="I102" s="134"/>
    </row>
    <row r="103" spans="1:35" ht="42.75" customHeight="1">
      <c r="A103" s="3210"/>
      <c r="B103" s="2810" t="s">
        <v>2121</v>
      </c>
      <c r="C103" s="2813">
        <f ca="1">C20</f>
        <v>49208</v>
      </c>
      <c r="D103" s="2814">
        <f ca="1">D20</f>
        <v>32408</v>
      </c>
      <c r="E103" s="3171" t="s">
        <v>2122</v>
      </c>
      <c r="F103" s="3172"/>
      <c r="G103" s="2016" t="s">
        <v>2123</v>
      </c>
      <c r="H103" s="2821">
        <f>IF(D36="正常操作",H104+H105+H106,H105+H106)</f>
        <v>0</v>
      </c>
      <c r="I103" s="134"/>
    </row>
    <row r="104" spans="1:35" ht="18.75" customHeight="1">
      <c r="A104" s="3210" t="s">
        <v>2124</v>
      </c>
      <c r="B104" s="2815" t="s">
        <v>2119</v>
      </c>
      <c r="C104" s="2816">
        <f ca="1">H118</f>
        <v>72712</v>
      </c>
      <c r="D104" s="2817"/>
      <c r="E104" s="1862" t="s">
        <v>2125</v>
      </c>
      <c r="F104" s="1853"/>
      <c r="G104" s="2016" t="s">
        <v>2123</v>
      </c>
      <c r="H104" s="2822">
        <f>IF(D36="同一抵押权人同一抵押物续贷",C36&amp;"（续贷，未扣减，详见特别提示）",C36)</f>
        <v>0</v>
      </c>
      <c r="I104" s="134"/>
    </row>
    <row r="105" spans="1:35" ht="18.75" customHeight="1" thickBot="1">
      <c r="A105" s="3220"/>
      <c r="B105" s="2818" t="s">
        <v>2121</v>
      </c>
      <c r="C105" s="2819">
        <f ca="1">I118</f>
        <v>39128</v>
      </c>
      <c r="D105" s="2820"/>
      <c r="E105" s="1862" t="s">
        <v>2126</v>
      </c>
      <c r="F105" s="1853"/>
      <c r="G105" s="2016" t="s">
        <v>2123</v>
      </c>
      <c r="H105" s="2823">
        <f>C37</f>
        <v>0</v>
      </c>
      <c r="I105" s="134"/>
    </row>
    <row r="106" spans="1:35" ht="18.75" customHeight="1">
      <c r="A106" s="1935" t="s">
        <v>2127</v>
      </c>
      <c r="B106" s="1935"/>
      <c r="C106" s="1935"/>
      <c r="D106" s="1935"/>
      <c r="E106" s="2017" t="s">
        <v>2128</v>
      </c>
      <c r="F106" s="1853"/>
      <c r="G106" s="2016" t="s">
        <v>2123</v>
      </c>
      <c r="H106" s="2823">
        <f>C38</f>
        <v>0</v>
      </c>
      <c r="I106" s="134"/>
    </row>
    <row r="107" spans="1:35" ht="18.75" customHeight="1">
      <c r="A107" s="134"/>
      <c r="B107" s="134"/>
      <c r="C107" s="134"/>
      <c r="D107" s="134"/>
      <c r="E107" s="3211" t="str">
        <f>IF(项目基本情况!E8="已注销","——","3.房地产抵押价值")</f>
        <v>3.房地产抵押价值</v>
      </c>
      <c r="F107" s="3179"/>
      <c r="G107" s="2015" t="s">
        <v>2119</v>
      </c>
      <c r="H107" s="2821">
        <f ca="1">IF(E107="——","——",H101-H103)</f>
        <v>72712</v>
      </c>
      <c r="I107" s="134"/>
    </row>
    <row r="108" spans="1:35" ht="18.75" customHeight="1">
      <c r="A108" s="134"/>
      <c r="B108" s="134"/>
      <c r="C108" s="134"/>
      <c r="D108" s="134"/>
      <c r="E108" s="3211"/>
      <c r="F108" s="3179"/>
      <c r="G108" s="2015" t="s">
        <v>2121</v>
      </c>
      <c r="H108" s="2781">
        <f ca="1">ROUND(H107*10000/'数据-汇总表'!E3,0)</f>
        <v>39128</v>
      </c>
      <c r="I108" s="134"/>
    </row>
    <row r="109" spans="1:35" ht="18.75" customHeight="1">
      <c r="A109" s="134"/>
      <c r="B109" s="134"/>
      <c r="C109" s="134"/>
      <c r="D109" s="134"/>
      <c r="E109" s="3211" t="str">
        <f>IF(项目基本情况!E8="已注销及未注销","4.抵押担保权已注销时的房地产抵押价值",IF(项目基本情况!E8="已注销","3.抵押担保权已注销时的房地产抵押价值","——"))</f>
        <v>4.抵押担保权已注销时的房地产抵押价值</v>
      </c>
      <c r="F109" s="3179"/>
      <c r="G109" s="2015" t="s">
        <v>2119</v>
      </c>
      <c r="H109" s="2824">
        <f ca="1">IF(E109="——","——",H101-H105-H106)</f>
        <v>72712</v>
      </c>
      <c r="I109" s="134"/>
    </row>
    <row r="110" spans="1:35" ht="18.75" customHeight="1">
      <c r="A110" s="134"/>
      <c r="B110" s="134"/>
      <c r="C110" s="134"/>
      <c r="D110" s="134"/>
      <c r="E110" s="3211"/>
      <c r="F110" s="3179"/>
      <c r="G110" s="2015" t="s">
        <v>2121</v>
      </c>
      <c r="H110" s="2781">
        <f ca="1">IF(H109="——","——",ROUND(H109*10000/'数据-汇总表'!E3,0))</f>
        <v>39128</v>
      </c>
      <c r="I110" s="134"/>
    </row>
    <row r="111" spans="1:35" ht="18.75" customHeight="1">
      <c r="A111" s="134"/>
      <c r="B111" s="134"/>
      <c r="C111" s="134"/>
      <c r="D111" s="134"/>
      <c r="E111" s="3212" t="str">
        <f>IF(项目基本情况!E9="抵押净值",IF(OR(项目基本情况!E8="已注销",项目基本情况!E8="房地产抵押价值"),"4.抵押净值","5.抵押净值"),"——")</f>
        <v>——</v>
      </c>
      <c r="F111" s="3198"/>
      <c r="G111" s="2015" t="s">
        <v>2119</v>
      </c>
      <c r="H111" s="2821" t="str">
        <f>IF(E111="——","——",N59)</f>
        <v>——</v>
      </c>
      <c r="I111" s="134"/>
    </row>
    <row r="112" spans="1:35" ht="18.75" customHeight="1" thickBot="1">
      <c r="A112" s="134"/>
      <c r="B112" s="134"/>
      <c r="C112" s="134"/>
      <c r="D112" s="134"/>
      <c r="E112" s="3213"/>
      <c r="F112" s="3214"/>
      <c r="G112" s="2018" t="s">
        <v>2121</v>
      </c>
      <c r="H112" s="2825" t="str">
        <f>IF(E111="——","——",N61)</f>
        <v>——</v>
      </c>
      <c r="I112" s="134"/>
    </row>
    <row r="113" spans="1:27" ht="18.75" customHeight="1">
      <c r="A113" s="134"/>
      <c r="B113" s="134"/>
      <c r="C113" s="134"/>
      <c r="D113" s="134"/>
      <c r="E113" s="3221" t="s">
        <v>2127</v>
      </c>
      <c r="F113" s="3221"/>
      <c r="G113" s="3221"/>
      <c r="H113" s="3221"/>
      <c r="I113" s="134"/>
    </row>
    <row r="114" spans="1:27" ht="3.75" customHeight="1">
      <c r="A114" s="1935"/>
      <c r="B114" s="1935"/>
      <c r="C114" s="1935"/>
      <c r="D114" s="1935"/>
      <c r="E114" s="1997"/>
      <c r="F114" s="1997"/>
      <c r="G114" s="1997"/>
      <c r="H114" s="1997"/>
      <c r="I114" s="1935"/>
    </row>
    <row r="115" spans="1:27" ht="18.75" customHeight="1">
      <c r="A115" s="3232" t="s">
        <v>2129</v>
      </c>
      <c r="B115" s="3233"/>
      <c r="C115" s="3233"/>
      <c r="D115" s="3233"/>
      <c r="E115" s="3233"/>
      <c r="F115" s="3233"/>
      <c r="G115" s="3233"/>
      <c r="H115" s="3233"/>
      <c r="I115" s="3234"/>
    </row>
    <row r="116" spans="1:27" ht="27" customHeight="1">
      <c r="A116" s="3186" t="s">
        <v>2130</v>
      </c>
      <c r="B116" s="3190" t="s">
        <v>2131</v>
      </c>
      <c r="C116" s="3190" t="s">
        <v>2132</v>
      </c>
      <c r="D116" s="3196" t="s">
        <v>2133</v>
      </c>
      <c r="E116" s="3197"/>
      <c r="F116" s="3228" t="s">
        <v>2134</v>
      </c>
      <c r="G116" s="3228"/>
      <c r="H116" s="3186" t="s">
        <v>2135</v>
      </c>
      <c r="I116" s="3186"/>
    </row>
    <row r="117" spans="1:27" ht="18.75" customHeight="1">
      <c r="A117" s="3186"/>
      <c r="B117" s="3191"/>
      <c r="C117" s="3191"/>
      <c r="D117" s="2553" t="s">
        <v>2136</v>
      </c>
      <c r="E117" s="2553" t="s">
        <v>2137</v>
      </c>
      <c r="F117" s="2553" t="s">
        <v>2136</v>
      </c>
      <c r="G117" s="2553" t="s">
        <v>2138</v>
      </c>
      <c r="H117" s="2553" t="s">
        <v>2136</v>
      </c>
      <c r="I117" s="2553" t="s">
        <v>2138</v>
      </c>
    </row>
    <row r="118" spans="1:27" ht="24.75" customHeight="1">
      <c r="A118" s="2826" t="str">
        <f>项目基本情况!S2</f>
        <v>北京市海淀大街5号房地产</v>
      </c>
      <c r="B118" s="2553">
        <f>M18</f>
        <v>18583.03</v>
      </c>
      <c r="C118" s="2553">
        <f>M19</f>
        <v>6283.43</v>
      </c>
      <c r="D118" s="2553">
        <f ca="1">ROUND(IF(D32="总价",C34,E118*B118/10000),0)</f>
        <v>66459</v>
      </c>
      <c r="E118" s="2553">
        <f ca="1">ROUND(IF(C33="自定义",IF(D32="楼面单价",C34,D118*10000/B118),I118-G118),0)</f>
        <v>35763</v>
      </c>
      <c r="F118" s="2553">
        <f ca="1">ROUND(IF(D32="总价",C35,G118*B118/10000),0)</f>
        <v>6253</v>
      </c>
      <c r="G118" s="2553">
        <f ca="1">ROUND(IF(D32="楼面单价",C35,F118*10000/B118),0)</f>
        <v>3365</v>
      </c>
      <c r="H118" s="2553">
        <f ca="1">ROUND(IF(D32="总价",C32,I118*B118/10000),0)</f>
        <v>72712</v>
      </c>
      <c r="I118" s="2553">
        <f ca="1">ROUND(IF(D32="楼面单价",C32,H118*10000/B118),0)</f>
        <v>39128</v>
      </c>
    </row>
    <row r="119" spans="1:27" ht="18.75" customHeight="1">
      <c r="A119" s="3186" t="s">
        <v>2139</v>
      </c>
      <c r="B119" s="3186"/>
      <c r="C119" s="3186"/>
      <c r="D119" s="3192" t="str">
        <f ca="1">NUMBERSTRING(INT(D118*10000),2)&amp;"元整"</f>
        <v>陆亿陆仟肆佰伍拾玖万元整</v>
      </c>
      <c r="E119" s="3193"/>
      <c r="F119" s="3192" t="str">
        <f ca="1">NUMBERSTRING(INT(F118*10000),2)&amp;"元整"</f>
        <v>陆仟贰佰伍拾叁万元整</v>
      </c>
      <c r="G119" s="3193"/>
      <c r="H119" s="3192" t="str">
        <f ca="1">NUMBERSTRING(INT(H118*10000),2)&amp;"元整"</f>
        <v>柒亿贰仟柒佰壹拾贰万元整</v>
      </c>
      <c r="I119" s="3193"/>
    </row>
    <row r="120" spans="1:27" ht="18.75" customHeight="1">
      <c r="A120" s="3187" t="str">
        <f>IF(项目基本情况!B9="房地产市场价值","",MID(E103,3,LEN(E103)-2))</f>
        <v>估价师知悉的法定优先受偿款</v>
      </c>
      <c r="B120" s="3188"/>
      <c r="C120" s="3189"/>
      <c r="D120" s="3187">
        <f>H103</f>
        <v>0</v>
      </c>
      <c r="E120" s="3188"/>
      <c r="F120" s="3188"/>
      <c r="G120" s="3188"/>
      <c r="H120" s="3188"/>
      <c r="I120" s="3189"/>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9" t="s">
        <v>2139</v>
      </c>
      <c r="B121" s="3230"/>
      <c r="C121" s="3231"/>
      <c r="D121" s="3192" t="str">
        <f>IF(D120=0,"零元整",NUMBERSTRING(INT(D120*10000),2)&amp;"元整")</f>
        <v>零元整</v>
      </c>
      <c r="E121" s="3194"/>
      <c r="F121" s="3194"/>
      <c r="G121" s="3194"/>
      <c r="H121" s="3194"/>
      <c r="I121" s="3193"/>
      <c r="AA121" s="734"/>
    </row>
    <row r="122" spans="1:27" ht="18.75" customHeight="1">
      <c r="A122" s="3198" t="str">
        <f>IF(项目基本情况!B9="房地产市场价值","",MID(E107,3,LEN(E107)-2))</f>
        <v>房地产抵押价值</v>
      </c>
      <c r="B122" s="3198"/>
      <c r="C122" s="3198"/>
      <c r="D122" s="3187">
        <f ca="1">H107</f>
        <v>72712</v>
      </c>
      <c r="E122" s="3188"/>
      <c r="F122" s="3188"/>
      <c r="G122" s="3188"/>
      <c r="H122" s="3188"/>
      <c r="I122" s="3189"/>
      <c r="AA122" s="734"/>
    </row>
    <row r="123" spans="1:27" ht="18.75" customHeight="1">
      <c r="A123" s="3186" t="s">
        <v>2139</v>
      </c>
      <c r="B123" s="3186"/>
      <c r="C123" s="3186"/>
      <c r="D123" s="3192" t="str">
        <f ca="1">NUMBERSTRING(INT(D122*10000),2)&amp;"元整"</f>
        <v>柒亿贰仟柒佰壹拾贰万元整</v>
      </c>
      <c r="E123" s="3194"/>
      <c r="F123" s="3194"/>
      <c r="G123" s="3194"/>
      <c r="H123" s="3194"/>
      <c r="I123" s="3193"/>
      <c r="AA123" s="734"/>
    </row>
    <row r="124" spans="1:27" ht="18.75" customHeight="1">
      <c r="A124" s="3198" t="str">
        <f>IF(项目基本情况!B9="房地产市场价值","",MID(E109,3,LEN(E109)-2))</f>
        <v>抵押担保权已注销时的房地产抵押价值</v>
      </c>
      <c r="B124" s="3198"/>
      <c r="C124" s="3198"/>
      <c r="D124" s="3187">
        <f ca="1">H109</f>
        <v>72712</v>
      </c>
      <c r="E124" s="3188"/>
      <c r="F124" s="3188"/>
      <c r="G124" s="3188"/>
      <c r="H124" s="3188"/>
      <c r="I124" s="3189"/>
      <c r="AA124" s="734"/>
    </row>
    <row r="125" spans="1:27" ht="18.75" customHeight="1">
      <c r="A125" s="3186" t="s">
        <v>2139</v>
      </c>
      <c r="B125" s="3186"/>
      <c r="C125" s="3186"/>
      <c r="D125" s="3192" t="str">
        <f ca="1">NUMBERSTRING(INT(D124*10000),2)&amp;"元整"</f>
        <v>柒亿贰仟柒佰壹拾贰万元整</v>
      </c>
      <c r="E125" s="3194"/>
      <c r="F125" s="3194"/>
      <c r="G125" s="3194"/>
      <c r="H125" s="3194"/>
      <c r="I125" s="3193"/>
      <c r="AA125" s="734"/>
    </row>
    <row r="126" spans="1:27" ht="18.75" customHeight="1">
      <c r="A126" s="3198" t="str">
        <f>IF(项目基本情况!B9="房地产市场价值","",MID(E111,3,LEN(E111)-2))</f>
        <v/>
      </c>
      <c r="B126" s="3198"/>
      <c r="C126" s="3198"/>
      <c r="D126" s="3187" t="str">
        <f>H111</f>
        <v>——</v>
      </c>
      <c r="E126" s="3188"/>
      <c r="F126" s="3188"/>
      <c r="G126" s="3188"/>
      <c r="H126" s="3188"/>
      <c r="I126" s="3189"/>
      <c r="AA126" s="734"/>
    </row>
    <row r="127" spans="1:27" ht="18.75" customHeight="1">
      <c r="A127" s="3186" t="s">
        <v>2139</v>
      </c>
      <c r="B127" s="3186"/>
      <c r="C127" s="3186"/>
      <c r="D127" s="3192" t="e">
        <f>NUMBERSTRING(INT(D126*10000),2)&amp;"元整"</f>
        <v>#VALUE!</v>
      </c>
      <c r="E127" s="3194"/>
      <c r="F127" s="3194"/>
      <c r="G127" s="3194"/>
      <c r="H127" s="3194"/>
      <c r="I127" s="3193"/>
      <c r="AA127" s="734"/>
    </row>
    <row r="128" spans="1:27" ht="21.75" customHeight="1">
      <c r="A128" s="3195" t="s">
        <v>2140</v>
      </c>
      <c r="B128" s="3195"/>
      <c r="C128" s="3195"/>
      <c r="D128" s="3195"/>
      <c r="E128" s="3195"/>
      <c r="F128" s="3195"/>
      <c r="G128" s="3195"/>
      <c r="H128" s="3195"/>
      <c r="I128" s="3195"/>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8" t="str">
        <f>项目基本情况!B1</f>
        <v>北京市海淀大街5号房地产抵押价值预评估</v>
      </c>
      <c r="C37" s="3078"/>
      <c r="D37" s="3078"/>
      <c r="E37" s="3078"/>
      <c r="F37" s="3078"/>
      <c r="G37" s="3078"/>
      <c r="H37" s="3078"/>
      <c r="I37" s="3078"/>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G64" sqref="G6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t="s">
        <v>1343</v>
      </c>
      <c r="C1" s="204"/>
      <c r="D1" s="204"/>
      <c r="E1" s="204"/>
      <c r="F1" s="204"/>
      <c r="G1" s="1288">
        <f>MATCH(B1,'数据-取费表'!A6:A16,0)+5</f>
        <v>6</v>
      </c>
    </row>
    <row r="2" spans="1:9" s="206" customFormat="1" ht="18" customHeight="1">
      <c r="A2" s="207" t="s">
        <v>2149</v>
      </c>
      <c r="B2" s="208">
        <f ca="1">IF(D2="——",C52,C52-E2)</f>
        <v>91444</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49208</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59443</v>
      </c>
      <c r="D5" s="217" t="s">
        <v>2156</v>
      </c>
      <c r="E5" s="218" t="s">
        <v>2157</v>
      </c>
      <c r="F5" s="218" t="s">
        <v>2158</v>
      </c>
      <c r="G5" s="219"/>
    </row>
    <row r="6" spans="1:9" s="220" customFormat="1" ht="13.5" customHeight="1">
      <c r="A6" s="886" t="s">
        <v>2159</v>
      </c>
      <c r="B6" s="221" t="s">
        <v>2160</v>
      </c>
      <c r="C6" s="222">
        <f ca="1">基准地价修正!V2+基准地价修正!V3</f>
        <v>57684</v>
      </c>
      <c r="D6" s="223"/>
      <c r="E6" s="224"/>
      <c r="F6" s="224"/>
      <c r="G6" s="225"/>
    </row>
    <row r="7" spans="1:9" s="220" customFormat="1" ht="13.5" customHeight="1">
      <c r="A7" s="886" t="s">
        <v>2161</v>
      </c>
      <c r="B7" s="221" t="s">
        <v>2162</v>
      </c>
      <c r="C7" s="226">
        <f ca="1">ROUND(C6*F7,0)</f>
        <v>1759</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0</v>
      </c>
      <c r="D8" s="228"/>
      <c r="E8" s="226"/>
      <c r="F8" s="227"/>
      <c r="G8" s="2044" t="s">
        <v>3091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5"/>
      <c r="H9" s="1299"/>
      <c r="I9" s="2046" t="s">
        <v>2166</v>
      </c>
    </row>
    <row r="10" spans="1:9" s="220" customFormat="1" ht="13.5" customHeight="1">
      <c r="A10" s="887" t="s">
        <v>801</v>
      </c>
      <c r="B10" s="230" t="s">
        <v>2167</v>
      </c>
      <c r="C10" s="231">
        <f ca="1">ROUND(D10*E10/10000,0)</f>
        <v>372</v>
      </c>
      <c r="D10" s="954">
        <f ca="1">IF(B1="",'数据-汇总表'!E6,IF(INDIRECT("'数据-取费表'!c"&amp;$G$1)="住宅",INDIRECT("'数据-取费表'!s"&amp;$G$1),INDIRECT("'数据-取费表'!k"&amp;$G$1)+INDIRECT("'数据-取费表'!s"&amp;$G$1)))</f>
        <v>18583.03</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18583.03</v>
      </c>
      <c r="E19" s="217">
        <f>'数据-取费表'!B31</f>
        <v>200</v>
      </c>
      <c r="F19" s="237"/>
      <c r="G19" s="2044" t="s">
        <v>3092</v>
      </c>
    </row>
    <row r="20" spans="1:7" s="220" customFormat="1" ht="13.5" customHeight="1">
      <c r="A20" s="261" t="s">
        <v>2180</v>
      </c>
      <c r="B20" s="216" t="s">
        <v>2181</v>
      </c>
      <c r="C20" s="238">
        <f ca="1">ROUND((C5+C19)*F20,0)</f>
        <v>1189</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4327</v>
      </c>
      <c r="D22" s="241">
        <f ca="1">C26</f>
        <v>6.9999999999999999E-4</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4285</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42</v>
      </c>
      <c r="D25" s="244"/>
      <c r="E25" s="247"/>
      <c r="F25" s="245"/>
      <c r="G25" s="248" t="s">
        <v>2197</v>
      </c>
    </row>
    <row r="26" spans="1:7" s="220" customFormat="1">
      <c r="A26" s="888" t="s">
        <v>795</v>
      </c>
      <c r="B26" s="221" t="s">
        <v>2198</v>
      </c>
      <c r="C26" s="244">
        <f ca="1">ROUND(IF('数据-取费表'!B22&lt;=1,F21*F22*'数据-取费表'!B23/2,F21*(POWER((1+F22),'数据-取费表'!B23/2)-1)),4)</f>
        <v>6.9999999999999999E-4</v>
      </c>
      <c r="D26" s="244"/>
      <c r="E26" s="247"/>
      <c r="F26" s="245"/>
      <c r="G26" s="249"/>
    </row>
    <row r="27" spans="1:7" s="220" customFormat="1" ht="24.75">
      <c r="A27" s="261" t="s">
        <v>2199</v>
      </c>
      <c r="B27" s="250" t="s">
        <v>2200</v>
      </c>
      <c r="C27" s="251">
        <f ca="1">C28</f>
        <v>12126</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ROUND((C5+C19+C20)*F27*'数据-取费表'!B21/'数据-取费表'!B20,0)</f>
        <v>12126</v>
      </c>
      <c r="D28" s="241"/>
      <c r="E28" s="242"/>
      <c r="F28" s="252"/>
      <c r="G28" s="253"/>
    </row>
    <row r="29" spans="1:7" s="220" customFormat="1" ht="13.5" customHeight="1">
      <c r="A29" s="888" t="s">
        <v>792</v>
      </c>
      <c r="B29" s="254" t="s">
        <v>2204</v>
      </c>
      <c r="C29" s="244">
        <f ca="1">ROUND(C21*F27*'数据-取费表'!B21/'数据-取费表'!B20,4)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83606</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7169</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6504</v>
      </c>
      <c r="D34" s="223"/>
      <c r="E34" s="226"/>
      <c r="F34" s="263">
        <f ca="1">IF('数据-取费表'!B24=0,1,IF(B1="",'数据-取费表'!N16,INDIRECT("'数据-取费表'!n"&amp;$G$1)))</f>
        <v>1</v>
      </c>
      <c r="G34" s="225" t="s">
        <v>2213</v>
      </c>
    </row>
    <row r="35" spans="1:7" ht="13.5" customHeight="1">
      <c r="A35" s="888" t="s">
        <v>796</v>
      </c>
      <c r="B35" s="221" t="s">
        <v>2214</v>
      </c>
      <c r="C35" s="226">
        <f ca="1">ROUND(C34*F35,0)</f>
        <v>195</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372</v>
      </c>
      <c r="D37" s="223">
        <f ca="1">D19</f>
        <v>18583.03</v>
      </c>
      <c r="E37" s="255">
        <f>'数据-取费表'!B35</f>
        <v>200</v>
      </c>
      <c r="F37" s="265"/>
      <c r="G37" s="267" t="s">
        <v>2219</v>
      </c>
    </row>
    <row r="38" spans="1:7" ht="13.5" customHeight="1">
      <c r="A38" s="888" t="s">
        <v>799</v>
      </c>
      <c r="B38" s="221" t="s">
        <v>2220</v>
      </c>
      <c r="C38" s="226">
        <f ca="1">ROUND(C34*F38,0)</f>
        <v>98</v>
      </c>
      <c r="D38" s="226"/>
      <c r="E38" s="226"/>
      <c r="F38" s="265">
        <f>'数据-取费表'!B36</f>
        <v>1.4999999999999999E-2</v>
      </c>
      <c r="G38" s="225" t="s">
        <v>2215</v>
      </c>
    </row>
    <row r="39" spans="1:7" s="220" customFormat="1" ht="13.5" customHeight="1">
      <c r="A39" s="261" t="s">
        <v>2221</v>
      </c>
      <c r="B39" s="216" t="s">
        <v>2222</v>
      </c>
      <c r="C39" s="238">
        <f ca="1">ROUND(C33*F20,0)</f>
        <v>143</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259</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254</v>
      </c>
      <c r="D42" s="244"/>
      <c r="E42" s="244"/>
      <c r="F42" s="245"/>
      <c r="G42" s="3268" t="s">
        <v>2231</v>
      </c>
    </row>
    <row r="43" spans="1:7" ht="13.5" customHeight="1">
      <c r="A43" s="888" t="s">
        <v>792</v>
      </c>
      <c r="B43" s="221" t="s">
        <v>2232</v>
      </c>
      <c r="C43" s="244">
        <f ca="1">ROUND(IF('数据-取费表'!B22&lt;=1,C39*F22*'数据-取费表'!B21/2,C39*(POWER((1+F22),'数据-取费表'!B21/2)-1)),0)</f>
        <v>5</v>
      </c>
      <c r="D43" s="244"/>
      <c r="E43" s="244"/>
      <c r="F43" s="245"/>
      <c r="G43" s="3269"/>
    </row>
    <row r="44" spans="1:7" ht="13.5" customHeight="1">
      <c r="A44" s="888" t="s">
        <v>793</v>
      </c>
      <c r="B44" s="221" t="s">
        <v>2233</v>
      </c>
      <c r="C44" s="244">
        <f ca="1">ROUND(IF('数据-取费表'!B22&lt;=1,C40*F22*'数据-取费表'!B21/2,C40*(POWER((1+F22),'数据-取费表'!B21/2)-1)),4)</f>
        <v>6.9999999999999999E-4</v>
      </c>
      <c r="D44" s="244"/>
      <c r="E44" s="244"/>
      <c r="F44" s="245"/>
      <c r="G44" s="3270"/>
    </row>
    <row r="45" spans="1:7" s="220" customFormat="1" ht="13.5" customHeight="1">
      <c r="A45" s="261" t="s">
        <v>2234</v>
      </c>
      <c r="B45" s="250" t="s">
        <v>2200</v>
      </c>
      <c r="C45" s="251">
        <f ca="1">C46</f>
        <v>1462</v>
      </c>
      <c r="D45" s="241">
        <f ca="1">C47</f>
        <v>4.0000000000000001E-3</v>
      </c>
      <c r="E45" s="242" t="s">
        <v>2226</v>
      </c>
      <c r="F45" s="2538">
        <f ca="1">F27</f>
        <v>0.2</v>
      </c>
      <c r="G45" s="253" t="s">
        <v>2235</v>
      </c>
    </row>
    <row r="46" spans="1:7" s="220" customFormat="1" ht="13.5" customHeight="1">
      <c r="A46" s="888" t="s">
        <v>791</v>
      </c>
      <c r="B46" s="254" t="s">
        <v>2236</v>
      </c>
      <c r="C46" s="255">
        <f ca="1">ROUND((C33+C39)*F27,0)</f>
        <v>1462</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1497">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9797</v>
      </c>
      <c r="D49" s="238"/>
      <c r="E49" s="238"/>
      <c r="F49" s="270"/>
      <c r="G49" s="240" t="s">
        <v>2241</v>
      </c>
    </row>
    <row r="50" spans="1:7" s="264" customFormat="1" ht="24">
      <c r="A50" s="261" t="s">
        <v>2242</v>
      </c>
      <c r="B50" s="216" t="s">
        <v>2243</v>
      </c>
      <c r="C50" s="238"/>
      <c r="D50" s="238"/>
      <c r="E50" s="238"/>
      <c r="F50" s="270">
        <f>IF('数据-取费表'!B24=0,'数据-取费表'!N16,1)</f>
        <v>0.8</v>
      </c>
      <c r="G50" s="253" t="s">
        <v>2244</v>
      </c>
    </row>
    <row r="51" spans="1:7" ht="16.5" customHeight="1">
      <c r="A51" s="261" t="s">
        <v>2245</v>
      </c>
      <c r="B51" s="216" t="s">
        <v>2246</v>
      </c>
      <c r="C51" s="238">
        <f ca="1">ROUND(C49*F50,0)</f>
        <v>7838</v>
      </c>
      <c r="D51" s="238"/>
      <c r="E51" s="238"/>
      <c r="F51" s="270"/>
      <c r="G51" s="240" t="s">
        <v>2247</v>
      </c>
    </row>
    <row r="52" spans="1:7" s="214" customFormat="1" ht="16.5" thickBot="1">
      <c r="A52" s="271" t="s">
        <v>2248</v>
      </c>
      <c r="B52" s="272"/>
      <c r="C52" s="273">
        <f ca="1">C31+C51</f>
        <v>91444</v>
      </c>
      <c r="D52" s="272"/>
      <c r="E52" s="272"/>
      <c r="F52" s="272"/>
      <c r="G52" s="274"/>
    </row>
    <row r="55" spans="1:7" ht="15">
      <c r="B55" s="276" t="s">
        <v>2249</v>
      </c>
      <c r="C55" s="277"/>
    </row>
    <row r="56" spans="1:7">
      <c r="B56" s="279" t="s">
        <v>1478</v>
      </c>
      <c r="C56" s="281">
        <f ca="1">1-C57</f>
        <v>0.91400000000000003</v>
      </c>
    </row>
    <row r="57" spans="1:7">
      <c r="B57" s="279" t="s">
        <v>1479</v>
      </c>
      <c r="C57" s="280">
        <f ca="1">ROUND(C51/C52,3)</f>
        <v>8.5999999999999993E-2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8883</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4780</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3716606</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3716606</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3716606</v>
      </c>
      <c r="D10" s="954">
        <f ca="1">IF(B1="",'数据-汇总表'!E6,IF(INDIRECT("'数据-取费表'!c"&amp;$G$1)="住宅",INDIRECT("'数据-取费表'!s"&amp;$G$1),INDIRECT("'数据-取费表'!k"&amp;$G$1)+INDIRECT("'数据-取费表'!s"&amp;$G$1)))</f>
        <v>18583.03</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3716606</v>
      </c>
      <c r="D19" s="958">
        <f ca="1">D9+D10</f>
        <v>18583.03</v>
      </c>
      <c r="E19" s="217">
        <f>'数据-取费表'!B31</f>
        <v>200</v>
      </c>
      <c r="F19" s="237"/>
      <c r="G19" s="2044"/>
    </row>
    <row r="20" spans="1:7" s="220" customFormat="1" ht="13.5" customHeight="1">
      <c r="A20" s="261" t="s">
        <v>2261</v>
      </c>
      <c r="B20" s="216" t="s">
        <v>2262</v>
      </c>
      <c r="C20" s="238">
        <f ca="1">ROUND((C5+C19)*F20,0)</f>
        <v>148664</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541121</v>
      </c>
      <c r="D22" s="241">
        <f ca="1">C26</f>
        <v>6.9999999999999999E-4</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267928</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267928</v>
      </c>
      <c r="D24" s="244"/>
      <c r="E24" s="244"/>
      <c r="F24" s="245"/>
      <c r="G24" s="246" t="s">
        <v>2273</v>
      </c>
    </row>
    <row r="25" spans="1:7" s="220" customFormat="1" ht="24">
      <c r="A25" s="888" t="s">
        <v>2163</v>
      </c>
      <c r="B25" s="221" t="s">
        <v>2274</v>
      </c>
      <c r="C25" s="1290">
        <f ca="1">ROUND(IF('数据-取费表'!B22&lt;=1,C20*F22*'数据-取费表'!B22/2,C20*(POWER((1+F22),'数据-取费表'!B22/2)-1)),0)</f>
        <v>5265</v>
      </c>
      <c r="D25" s="244"/>
      <c r="E25" s="247"/>
      <c r="F25" s="245"/>
      <c r="G25" s="248" t="s">
        <v>2275</v>
      </c>
    </row>
    <row r="26" spans="1:7" s="220" customFormat="1">
      <c r="A26" s="888" t="s">
        <v>795</v>
      </c>
      <c r="B26" s="221" t="s">
        <v>2198</v>
      </c>
      <c r="C26" s="244">
        <f ca="1">ROUND(IF('数据-取费表'!B22&lt;=1,F21*F22*'数据-取费表'!B22/2,F21*(POWER((1+F22),'数据-取费表'!B22/2)-1)),4)</f>
        <v>6.9999999999999999E-4</v>
      </c>
      <c r="D26" s="244"/>
      <c r="E26" s="247"/>
      <c r="F26" s="245"/>
      <c r="G26" s="249"/>
    </row>
    <row r="27" spans="1:7" s="220" customFormat="1" ht="24.75">
      <c r="A27" s="261" t="s">
        <v>2199</v>
      </c>
      <c r="B27" s="250" t="s">
        <v>2200</v>
      </c>
      <c r="C27" s="251">
        <f ca="1">C28</f>
        <v>1516375</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ROUND((C5+C19+C20)*F27,0)</f>
        <v>1516375</v>
      </c>
      <c r="D28" s="241"/>
      <c r="E28" s="242"/>
      <c r="F28" s="252"/>
      <c r="G28" s="253"/>
    </row>
    <row r="29" spans="1:7" s="220" customFormat="1" ht="13.5" customHeight="1">
      <c r="A29" s="888" t="s">
        <v>792</v>
      </c>
      <c r="B29" s="254" t="s">
        <v>2204</v>
      </c>
      <c r="C29" s="244">
        <f ca="1">ROUND(C21*F27,4)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10454850</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71684038</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65040605</v>
      </c>
      <c r="D34" s="223"/>
      <c r="E34" s="226"/>
      <c r="F34" s="263"/>
      <c r="G34" s="225"/>
    </row>
    <row r="35" spans="1:7" ht="13.5" customHeight="1">
      <c r="A35" s="888" t="s">
        <v>796</v>
      </c>
      <c r="B35" s="221" t="s">
        <v>2214</v>
      </c>
      <c r="C35" s="226">
        <f ca="1">ROUND(C34*F35,0)</f>
        <v>1951218</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3716606</v>
      </c>
      <c r="D37" s="223">
        <f ca="1">D19</f>
        <v>18583.03</v>
      </c>
      <c r="E37" s="255">
        <f>'数据-取费表'!B35</f>
        <v>200</v>
      </c>
      <c r="F37" s="265"/>
      <c r="G37" s="267"/>
    </row>
    <row r="38" spans="1:7" ht="13.5" customHeight="1">
      <c r="A38" s="888" t="s">
        <v>799</v>
      </c>
      <c r="B38" s="221" t="s">
        <v>2220</v>
      </c>
      <c r="C38" s="226">
        <f ca="1">ROUND(C34*F38,0)</f>
        <v>975609</v>
      </c>
      <c r="D38" s="226"/>
      <c r="E38" s="226"/>
      <c r="F38" s="265">
        <f>'数据-取费表'!B36</f>
        <v>1.4999999999999999E-2</v>
      </c>
      <c r="G38" s="225" t="s">
        <v>2215</v>
      </c>
    </row>
    <row r="39" spans="1:7" s="220" customFormat="1" ht="13.5" customHeight="1">
      <c r="A39" s="261" t="s">
        <v>2221</v>
      </c>
      <c r="B39" s="216" t="s">
        <v>2222</v>
      </c>
      <c r="C39" s="238">
        <f ca="1">ROUND(C33*F20,0)</f>
        <v>1433681</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2589650</v>
      </c>
      <c r="D41" s="241">
        <f ca="1">C44</f>
        <v>6.9999999999999999E-4</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2538873</v>
      </c>
      <c r="D42" s="244"/>
      <c r="E42" s="244"/>
      <c r="F42" s="245"/>
      <c r="G42" s="3268" t="s">
        <v>2278</v>
      </c>
    </row>
    <row r="43" spans="1:7" ht="13.5" customHeight="1">
      <c r="A43" s="888" t="s">
        <v>792</v>
      </c>
      <c r="B43" s="221" t="s">
        <v>2232</v>
      </c>
      <c r="C43" s="244">
        <f ca="1">ROUND(IF('数据-取费表'!B22&lt;=1,C39*F22*'数据-取费表'!B20/2,C39*(POWER((1+F22),'数据-取费表'!B20/2)-1)),0)</f>
        <v>50777</v>
      </c>
      <c r="D43" s="244"/>
      <c r="E43" s="244"/>
      <c r="F43" s="245"/>
      <c r="G43" s="3269"/>
    </row>
    <row r="44" spans="1:7" ht="13.5" customHeight="1">
      <c r="A44" s="888" t="s">
        <v>793</v>
      </c>
      <c r="B44" s="221" t="s">
        <v>2233</v>
      </c>
      <c r="C44" s="244">
        <f ca="1">ROUND(IF('数据-取费表'!B22&lt;=1,C40*F22*'数据-取费表'!B20/2,C40*(POWER((1+F22),'数据-取费表'!B20/2)-1)),4)</f>
        <v>6.9999999999999999E-4</v>
      </c>
      <c r="D44" s="244"/>
      <c r="E44" s="244"/>
      <c r="F44" s="245"/>
      <c r="G44" s="3270"/>
    </row>
    <row r="45" spans="1:7" s="220" customFormat="1" ht="13.5" customHeight="1">
      <c r="A45" s="261" t="s">
        <v>2234</v>
      </c>
      <c r="B45" s="250" t="s">
        <v>2200</v>
      </c>
      <c r="C45" s="251">
        <f ca="1">C46</f>
        <v>14623544</v>
      </c>
      <c r="D45" s="241">
        <f ca="1">C47</f>
        <v>4.0000000000000001E-3</v>
      </c>
      <c r="E45" s="242" t="s">
        <v>2226</v>
      </c>
      <c r="F45" s="2538">
        <f ca="1">F27</f>
        <v>0.2</v>
      </c>
      <c r="G45" s="253" t="s">
        <v>2235</v>
      </c>
    </row>
    <row r="46" spans="1:7" s="220" customFormat="1" ht="13.5" customHeight="1">
      <c r="A46" s="888" t="s">
        <v>791</v>
      </c>
      <c r="B46" s="254" t="s">
        <v>2236</v>
      </c>
      <c r="C46" s="255">
        <f ca="1">ROUND((C33+C39)*F27,0)</f>
        <v>14623544</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97972791</v>
      </c>
      <c r="D49" s="238"/>
      <c r="E49" s="238"/>
      <c r="F49" s="270"/>
      <c r="G49" s="240" t="s">
        <v>2241</v>
      </c>
    </row>
    <row r="50" spans="1:7" s="264" customFormat="1">
      <c r="A50" s="261" t="s">
        <v>2242</v>
      </c>
      <c r="B50" s="216" t="s">
        <v>2243</v>
      </c>
      <c r="C50" s="238"/>
      <c r="D50" s="238"/>
      <c r="E50" s="238"/>
      <c r="F50" s="270">
        <f>IF('数据-取费表'!B24=0,'数据-取费表'!N16,1)</f>
        <v>0.8</v>
      </c>
      <c r="G50" s="253"/>
    </row>
    <row r="51" spans="1:7" ht="16.5" customHeight="1">
      <c r="A51" s="261" t="s">
        <v>2245</v>
      </c>
      <c r="B51" s="216" t="s">
        <v>2280</v>
      </c>
      <c r="C51" s="238">
        <f ca="1">ROUND(C49*F50,0)</f>
        <v>78378233</v>
      </c>
      <c r="D51" s="238"/>
      <c r="E51" s="238"/>
      <c r="F51" s="270"/>
      <c r="G51" s="240" t="s">
        <v>2247</v>
      </c>
    </row>
    <row r="52" spans="1:7" s="214" customFormat="1" ht="16.5" thickBot="1">
      <c r="A52" s="271" t="s">
        <v>2248</v>
      </c>
      <c r="B52" s="272"/>
      <c r="C52" s="273">
        <f ca="1">C31+C51</f>
        <v>88833083</v>
      </c>
      <c r="D52" s="272"/>
      <c r="E52" s="272"/>
      <c r="F52" s="272"/>
      <c r="G52" s="274"/>
    </row>
    <row r="55" spans="1:7" ht="15">
      <c r="B55" s="276" t="s">
        <v>2249</v>
      </c>
      <c r="C55" s="277"/>
    </row>
    <row r="56" spans="1:7">
      <c r="B56" s="279" t="s">
        <v>1478</v>
      </c>
      <c r="C56" s="281">
        <f ca="1">1-C57</f>
        <v>0.11799999999999999</v>
      </c>
    </row>
    <row r="57" spans="1:7">
      <c r="B57" s="279" t="s">
        <v>1479</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7"/>
      <c r="F1" s="3037"/>
      <c r="G1" s="2900"/>
      <c r="H1" s="3037"/>
      <c r="I1" s="3037"/>
      <c r="J1" s="3037"/>
      <c r="K1" s="3038">
        <f>MATCH(C1,'数据-取费表'!A6:A16,0)+5</f>
        <v>7</v>
      </c>
    </row>
    <row r="2" spans="1:33" ht="18" customHeight="1">
      <c r="A2" s="207" t="s">
        <v>2149</v>
      </c>
      <c r="B2" s="210">
        <f ca="1">C32</f>
        <v>0</v>
      </c>
      <c r="C2" s="282" t="s">
        <v>2282</v>
      </c>
      <c r="D2" s="282"/>
      <c r="E2" s="3037"/>
      <c r="F2" s="3037"/>
      <c r="G2" s="3037"/>
      <c r="H2" s="3037"/>
      <c r="I2" s="3037"/>
      <c r="J2" s="3037"/>
      <c r="K2" s="3037"/>
    </row>
    <row r="3" spans="1:33" ht="18" customHeight="1" thickBot="1">
      <c r="A3" s="209" t="s">
        <v>2151</v>
      </c>
      <c r="B3" s="210">
        <f ca="1">ROUND(B2*10000/IF(C1="",'数据-汇总表'!E3,INDIRECT("'数据-取费表'!K"&amp;$K$1)),0)</f>
        <v>0</v>
      </c>
      <c r="C3" s="282" t="s">
        <v>2283</v>
      </c>
      <c r="D3" s="282"/>
      <c r="E3" s="3037"/>
      <c r="F3" s="3037"/>
      <c r="G3" s="3037"/>
      <c r="H3" s="3037"/>
      <c r="I3" s="3037"/>
      <c r="J3" s="3037"/>
      <c r="K3" s="3037"/>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18583.03</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18583.03</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2317</v>
      </c>
      <c r="C20" s="24">
        <f ca="1">ROUND(D20*E20/10000,0)</f>
        <v>372</v>
      </c>
      <c r="D20" s="955">
        <f ca="1">IF(C1="",'数据-汇总表'!E6,IF(INDIRECT("'数据-取费表'!c"&amp;$K$1)="住宅",INDIRECT("'数据-取费表'!s"&amp;$K$1),INDIRECT("'数据-取费表'!k"&amp;$K$1)+INDIRECT("'数据-取费表'!s"&amp;$K$1)))</f>
        <v>18583.03</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zoomScaleNormal="80" zoomScaleSheetLayoutView="100" workbookViewId="0">
      <selection activeCell="M32" sqref="M32"/>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0" width="12" style="2186"/>
    <col min="21" max="21" width="13.875" style="2186" bestFit="1" customWidth="1"/>
    <col min="22"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6194.34</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57684</v>
      </c>
      <c r="C2" s="2187" t="s">
        <v>2634</v>
      </c>
      <c r="D2" s="2188" t="s">
        <v>2635</v>
      </c>
      <c r="E2" s="2189" t="s">
        <v>1343</v>
      </c>
      <c r="F2" s="2188" t="s">
        <v>2636</v>
      </c>
      <c r="G2" s="2190" t="str">
        <f>IF(E2="商业",项目基本情况!B37,IF(E2="办公",项目基本情况!C37,IF(E2="住宅",项目基本情况!D37,项目基本情况!E37)))</f>
        <v>三级</v>
      </c>
      <c r="H2" s="2188" t="s">
        <v>2637</v>
      </c>
      <c r="I2" s="2190" t="str">
        <f>IF(E2="商业",项目基本情况!B38,IF(E2="办公",项目基本情况!C38,IF(E2="住宅",项目基本情况!D38,项目基本情况!E38)))</f>
        <v>Ⅲ—06</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54211</v>
      </c>
      <c r="U2" s="1375">
        <f>ROUND(面积表!H4/3,2)</f>
        <v>6194.34</v>
      </c>
      <c r="V2" s="1374">
        <f ca="1">ROUND(T2*U2/10000,0)</f>
        <v>33580</v>
      </c>
      <c r="W2" s="1378"/>
      <c r="X2" s="1378"/>
      <c r="Y2" s="1378"/>
      <c r="Z2" s="1378"/>
      <c r="AA2" s="1378"/>
      <c r="AB2" s="1378"/>
      <c r="AC2" s="1379"/>
      <c r="AD2" s="1380"/>
      <c r="AE2" s="1380"/>
      <c r="AF2" s="1380"/>
      <c r="AG2" s="1380"/>
      <c r="AH2" s="1380"/>
      <c r="AI2" s="1380"/>
      <c r="AJ2" s="1381"/>
    </row>
    <row r="3" spans="1:36" ht="25.5">
      <c r="A3" s="209" t="s">
        <v>2639</v>
      </c>
      <c r="B3" s="210">
        <f ca="1">ROUND(B2*10000/D1,0)</f>
        <v>93124</v>
      </c>
      <c r="C3" s="2187" t="s">
        <v>2640</v>
      </c>
      <c r="D3" s="2188" t="s">
        <v>2641</v>
      </c>
      <c r="E3" s="2193" t="s">
        <v>3182</v>
      </c>
      <c r="F3" s="2194" t="s">
        <v>3099</v>
      </c>
      <c r="G3" s="855">
        <f>IF(F3="宗地容积率",'数据-汇总表'!I4,IF(F3="估价对象容积率",'数据-汇总表'!I6,'数据-汇总表'!I7))</f>
        <v>2.96</v>
      </c>
      <c r="H3" s="175" t="s">
        <v>2642</v>
      </c>
      <c r="I3" s="881">
        <v>1</v>
      </c>
      <c r="J3" s="2191" t="s">
        <v>2643</v>
      </c>
      <c r="K3" s="1280"/>
      <c r="L3" s="2192" t="s">
        <v>2644</v>
      </c>
      <c r="M3" s="995">
        <f>SUMPRODUCT((区片价!B29:B48=I2)*(区片价!C3:F3=E2)*(区片价!C29:F48))</f>
        <v>22070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38913</v>
      </c>
      <c r="U3" s="1375">
        <f>面积表!H4-基准地价修正!D29-基准地价修正!U2</f>
        <v>6194.3499999999985</v>
      </c>
      <c r="V3" s="1374">
        <f t="shared" ref="V3:V16" ca="1" si="1">ROUND(T3*U3/10000,0)</f>
        <v>24104</v>
      </c>
      <c r="W3" s="1378"/>
      <c r="X3" s="1378"/>
      <c r="Y3" s="1378"/>
      <c r="Z3" s="1378"/>
      <c r="AA3" s="1378"/>
      <c r="AB3" s="1378"/>
      <c r="AC3" s="1379"/>
      <c r="AD3" s="1380"/>
      <c r="AE3" s="1380"/>
      <c r="AF3" s="1380"/>
      <c r="AG3" s="1380"/>
      <c r="AH3" s="1380"/>
      <c r="AI3" s="1380"/>
      <c r="AJ3" s="1381"/>
    </row>
    <row r="4" spans="1:36" ht="15.75">
      <c r="A4" s="3290"/>
      <c r="B4" s="3291"/>
      <c r="C4" s="3291"/>
      <c r="D4" s="3292"/>
      <c r="E4" s="3292"/>
      <c r="F4" s="3292"/>
      <c r="G4" s="3292"/>
      <c r="H4" s="3292"/>
      <c r="I4" s="3292"/>
      <c r="J4" s="3293"/>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31393</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f>ROUND(IF(E2="商业",C6*C7+C16,(IF(E2="住宅",C6*C12+C16,C6+C16))),0)</f>
        <v>22034</v>
      </c>
      <c r="D5" s="1525">
        <f>ROUND(C6+C16,0)</f>
        <v>22034</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25189</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22070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21450</v>
      </c>
      <c r="U6" s="1375"/>
      <c r="V6" s="1374">
        <f t="shared" ca="1" si="1"/>
        <v>0</v>
      </c>
      <c r="W6" s="1378"/>
      <c r="X6" s="1378"/>
      <c r="Y6" s="1378"/>
      <c r="Z6" s="1378"/>
      <c r="AA6" s="1378"/>
      <c r="AB6" s="1378"/>
      <c r="AC6" s="2201"/>
      <c r="AD6" s="2202"/>
      <c r="AE6" s="2202"/>
      <c r="AF6" s="2202"/>
      <c r="AG6" s="2202"/>
      <c r="AH6" s="2202"/>
      <c r="AI6" s="2202"/>
      <c r="AJ6" s="2203"/>
    </row>
    <row r="7" spans="1:36" ht="24" hidden="1">
      <c r="A7" s="3271" t="str">
        <f>IF(E2="商业",IF(C8="不临58条商业街","",2),"")</f>
        <v/>
      </c>
      <c r="B7" s="2211" t="s">
        <v>2652</v>
      </c>
      <c r="C7" s="858">
        <f>IF(C8="不临58条商业街",1,ROUND(1+(1.6*E8+1.2*E9+0.8*E10+0.4*E11)*C9,4))</f>
        <v>1</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18863</v>
      </c>
      <c r="U7" s="1375"/>
      <c r="V7" s="1374">
        <f t="shared" ca="1" si="1"/>
        <v>0</v>
      </c>
      <c r="W7" s="1544" t="s">
        <v>2655</v>
      </c>
      <c r="X7" s="1376" t="str">
        <f>G2</f>
        <v>三级</v>
      </c>
      <c r="Y7" s="1376" t="s">
        <v>2656</v>
      </c>
      <c r="Z7" s="1377">
        <f>G3</f>
        <v>2.96</v>
      </c>
      <c r="AA7" s="1378"/>
      <c r="AB7" s="1378"/>
      <c r="AC7" s="1379"/>
      <c r="AD7" s="1380"/>
      <c r="AE7" s="1380"/>
      <c r="AF7" s="1380"/>
      <c r="AG7" s="1380"/>
      <c r="AH7" s="1380"/>
      <c r="AI7" s="1380"/>
      <c r="AJ7" s="1381"/>
    </row>
    <row r="8" spans="1:36" ht="25.5" hidden="1">
      <c r="A8" s="3294"/>
      <c r="B8" s="175" t="s">
        <v>2657</v>
      </c>
      <c r="C8" s="2216" t="s">
        <v>3072</v>
      </c>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87" t="s">
        <v>2660</v>
      </c>
      <c r="X8" s="3288"/>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hidden="1">
      <c r="A9" s="3294"/>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89"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hidden="1">
      <c r="A10" s="3294"/>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hidden="1" thickBot="1">
      <c r="A11" s="3294"/>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89" t="s">
        <v>2684</v>
      </c>
      <c r="X11" s="1386" t="s">
        <v>2685</v>
      </c>
      <c r="Y11" s="1387">
        <f>$G$3</f>
        <v>2.96</v>
      </c>
      <c r="Z11" s="1387">
        <f t="shared" ref="Z11:AJ11" si="3">$G$3</f>
        <v>2.96</v>
      </c>
      <c r="AA11" s="1387">
        <f t="shared" si="3"/>
        <v>2.96</v>
      </c>
      <c r="AB11" s="1387">
        <f t="shared" si="3"/>
        <v>2.96</v>
      </c>
      <c r="AC11" s="1387">
        <f t="shared" si="3"/>
        <v>2.96</v>
      </c>
      <c r="AD11" s="1387">
        <f t="shared" si="3"/>
        <v>2.96</v>
      </c>
      <c r="AE11" s="1387">
        <f t="shared" si="3"/>
        <v>2.96</v>
      </c>
      <c r="AF11" s="1387">
        <f t="shared" si="3"/>
        <v>2.96</v>
      </c>
      <c r="AG11" s="1387">
        <f t="shared" si="3"/>
        <v>2.96</v>
      </c>
      <c r="AH11" s="1387">
        <f t="shared" si="3"/>
        <v>2.96</v>
      </c>
      <c r="AI11" s="1387">
        <f t="shared" si="3"/>
        <v>2.96</v>
      </c>
      <c r="AJ11" s="1387">
        <f t="shared" si="3"/>
        <v>2.96</v>
      </c>
    </row>
    <row r="12" spans="1:36" ht="25.5" hidden="1" thickBot="1">
      <c r="A12" s="3271"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89"/>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95"/>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f t="shared" ca="1" si="0"/>
        <v>0</v>
      </c>
      <c r="U13" s="1375"/>
      <c r="V13" s="1374">
        <f t="shared" ca="1" si="1"/>
        <v>0</v>
      </c>
      <c r="W13" s="3289"/>
      <c r="X13" s="1388"/>
      <c r="Y13" s="1385">
        <f>(-0.163*(Y12^2)-0.59*Y12+7617)*(10^(-4))/Y11</f>
        <v>0.2573310810810811</v>
      </c>
      <c r="Z13" s="1385">
        <f t="shared" ref="Z13:AJ13" si="5">(-0.163*(Z12^2)-0.59*Z12+7617)*(10^(-4))/Z11</f>
        <v>0.2573310810810811</v>
      </c>
      <c r="AA13" s="1385">
        <f t="shared" si="5"/>
        <v>0.2573310810810811</v>
      </c>
      <c r="AB13" s="1385">
        <f t="shared" si="5"/>
        <v>0.2573310810810811</v>
      </c>
      <c r="AC13" s="1385">
        <f t="shared" si="5"/>
        <v>0.2573310810810811</v>
      </c>
      <c r="AD13" s="1385">
        <f t="shared" si="5"/>
        <v>0.2573310810810811</v>
      </c>
      <c r="AE13" s="1385">
        <f t="shared" si="5"/>
        <v>0.2573310810810811</v>
      </c>
      <c r="AF13" s="1385">
        <f t="shared" si="5"/>
        <v>0.2573310810810811</v>
      </c>
      <c r="AG13" s="1385">
        <f t="shared" si="5"/>
        <v>0.2573310810810811</v>
      </c>
      <c r="AH13" s="1385">
        <f t="shared" si="5"/>
        <v>0.2573310810810811</v>
      </c>
      <c r="AI13" s="1385">
        <f t="shared" si="5"/>
        <v>0.2573310810810811</v>
      </c>
      <c r="AJ13" s="1385">
        <f t="shared" si="5"/>
        <v>0.2573310810810811</v>
      </c>
    </row>
    <row r="14" spans="1:36" ht="15" hidden="1">
      <c r="A14" s="3295"/>
      <c r="B14" s="2234"/>
      <c r="C14" s="2235"/>
      <c r="D14" s="2236"/>
      <c r="E14" s="2236"/>
      <c r="F14" s="2237"/>
      <c r="G14" s="2238" t="s">
        <v>2697</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hidden="1" thickBot="1">
      <c r="A15" s="3296"/>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271" t="s">
        <v>2703</v>
      </c>
      <c r="B16" s="2211" t="s">
        <v>2704</v>
      </c>
      <c r="C16" s="2373">
        <f>ROUND(IF(F17="与级别开发程度一致",0,(G17-E17)/C17),0)</f>
        <v>-36</v>
      </c>
      <c r="D16" s="3284" t="s">
        <v>2708</v>
      </c>
      <c r="E16" s="3285"/>
      <c r="F16" s="3284" t="s">
        <v>2705</v>
      </c>
      <c r="G16" s="3285"/>
      <c r="H16" s="2243" t="s">
        <v>3073</v>
      </c>
      <c r="I16" s="2243" t="s">
        <v>3074</v>
      </c>
      <c r="J16" s="2377" t="s">
        <v>3075</v>
      </c>
      <c r="K16" s="2243" t="s">
        <v>3076</v>
      </c>
      <c r="L16" s="2243" t="s">
        <v>3077</v>
      </c>
      <c r="M16" s="2243"/>
      <c r="N16" s="2243"/>
      <c r="O16" s="2244" t="s">
        <v>3078</v>
      </c>
      <c r="P16" s="2185"/>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272"/>
      <c r="B17" s="2384" t="s">
        <v>2707</v>
      </c>
      <c r="C17" s="2385">
        <f>SUMPRODUCT((修正!A2:A5=E2)*(修正!B1:M1=G2)*(修正!B2:M5))</f>
        <v>2.5</v>
      </c>
      <c r="D17" s="193" t="str">
        <f>IF(OR(G2="八级",G2="九级",G2="十级",G2="十一级",G2="十二级"),"五通一平","七通一平")</f>
        <v>七通一平</v>
      </c>
      <c r="E17" s="2374">
        <f>SUMPRODUCT((修正!B1:M1=G2)*(修正!B15:M15))</f>
        <v>300</v>
      </c>
      <c r="F17" s="2375" t="s">
        <v>3183</v>
      </c>
      <c r="G17" s="2376">
        <f>SUM(H17:O17)</f>
        <v>210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0</v>
      </c>
      <c r="N17" s="2385">
        <f>SUMPRODUCT((七通一平=N16)*(修正!B1:M1=G2)*(修正!B6:M14))</f>
        <v>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1.1000000000000001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7.75" thickBot="1">
      <c r="A19" s="2248" t="s">
        <v>809</v>
      </c>
      <c r="B19" s="2249" t="s">
        <v>2711</v>
      </c>
      <c r="C19" s="863">
        <f>ROUND(IF(H19="按公示增长率计算",SUMPRODUCT((地价!A3:A32=YEAR(G19)&amp;"-"&amp;ROUNDUP(MONTH(G19)/3,0))*(地价!X2:AB2=E2)*(地价!X3:AB32)),IF(H19="地价指数",M20/M19,(1+I19)^O19)),4)</f>
        <v>1.345</v>
      </c>
      <c r="D19" s="2253" t="s">
        <v>2712</v>
      </c>
      <c r="E19" s="864">
        <v>41640</v>
      </c>
      <c r="F19" s="2253" t="s">
        <v>2713</v>
      </c>
      <c r="G19" s="865">
        <f>'数据-取费表'!B2</f>
        <v>44155</v>
      </c>
      <c r="H19" s="2254" t="s">
        <v>3184</v>
      </c>
      <c r="I19" s="866" t="str">
        <f>IF(H19="季度增幅（自定义）",SUMIF(N21:N24,E2,O21:O24),"")</f>
        <v/>
      </c>
      <c r="J19" s="2251"/>
      <c r="K19" s="1287"/>
      <c r="L19" s="2255" t="s">
        <v>2714</v>
      </c>
      <c r="M19" s="1498">
        <f>ROUND(SUMIF(地价!B2:F2,E2,地价!B32:F32),0)</f>
        <v>258</v>
      </c>
      <c r="N19" s="2256"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2716</v>
      </c>
      <c r="C20" s="868">
        <f ca="1">ROUND(POWER(1+G20,J20-I20)*(POWER(1+G20,I20)-1)/(POWER(1+G20,J20)-1),4)</f>
        <v>0.8639</v>
      </c>
      <c r="D20" s="2260" t="s">
        <v>2717</v>
      </c>
      <c r="E20" s="1507">
        <f ca="1">存贷款利率!D4/100</f>
        <v>4.3499999999999997E-2</v>
      </c>
      <c r="F20" s="2260" t="s">
        <v>2709</v>
      </c>
      <c r="G20" s="873">
        <f ca="1">SUMIF(M26:P26,E2,M28:P28)</f>
        <v>5.3999999999999999E-2</v>
      </c>
      <c r="H20" s="2260" t="s">
        <v>2718</v>
      </c>
      <c r="I20" s="874">
        <f>SUMIF('数据-取费表'!C6:C15,E2,'数据-取费表'!F6:F15)/COUNTIF('数据-取费表'!C6:C15,E2)</f>
        <v>27.02</v>
      </c>
      <c r="J20" s="875">
        <f>IF(E2="住宅",70,IF(E2="商业",40,50))</f>
        <v>40</v>
      </c>
      <c r="K20" s="1287"/>
      <c r="L20" s="2261" t="s">
        <v>2719</v>
      </c>
      <c r="M20" s="1499">
        <f>ROUND(SUMPRODUCT((地价!A4:A32=YEAR(G19)&amp;"-"&amp;ROUNDUP(MONTH(G19)/3,0))*(地价!B2:F2=E2)*(地价!B4:F32)),0)</f>
        <v>347</v>
      </c>
      <c r="N20" s="2262" t="s">
        <v>2720</v>
      </c>
      <c r="O20" s="2263" t="s">
        <v>2721</v>
      </c>
      <c r="P20" s="2264"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3079</v>
      </c>
      <c r="C21" s="876">
        <f>IF(B21="容积率修正",IF(G3&lt;=10,D22,J22),C23)</f>
        <v>1.8629</v>
      </c>
      <c r="D21" s="2267"/>
      <c r="E21" s="2267"/>
      <c r="F21" s="2267"/>
      <c r="G21" s="2267"/>
      <c r="H21" s="2267"/>
      <c r="I21" s="2267"/>
      <c r="J21" s="2268"/>
      <c r="K21" s="1287"/>
      <c r="L21" s="3019"/>
      <c r="M21" s="3019"/>
      <c r="N21" s="2269" t="s">
        <v>2723</v>
      </c>
      <c r="O21" s="1335"/>
      <c r="P21" s="1336">
        <f>SUMPRODUCT((地价!A3:A32=YEAR(G19)&amp;"-"&amp;ROUNDUP(MONTH(G19)/3,0))*(地价!AD2:AH2=N21)*(地价!AD3:AH32))</f>
        <v>1.1599999999999999E-2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2724</v>
      </c>
      <c r="B22" s="2270" t="s">
        <v>2725</v>
      </c>
      <c r="C22" s="1538" t="s">
        <v>2726</v>
      </c>
      <c r="D22" s="1538">
        <f>IF(E22=G22,F22,IF(G3&lt;=10,ROUND(F22+(H22-F22)*(G3-E22)/(G22-E22),4),"——"))</f>
        <v>0.94489999999999996</v>
      </c>
      <c r="E22" s="855">
        <f>ROUNDDOWN(G3,1)</f>
        <v>2.9</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0.95089999999999997</v>
      </c>
      <c r="G22" s="855">
        <f>ROUNDUP(G3,1)</f>
        <v>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0.94089999999999996</v>
      </c>
      <c r="I22" s="1538" t="s">
        <v>155</v>
      </c>
      <c r="J22" s="877" t="str">
        <f>IF(G3&gt;10,D113,"——")</f>
        <v>——</v>
      </c>
      <c r="K22" s="1287"/>
      <c r="L22" s="3019"/>
      <c r="M22" s="3019"/>
      <c r="N22" s="2269" t="s">
        <v>2727</v>
      </c>
      <c r="O22" s="1335"/>
      <c r="P22" s="1336">
        <f>SUMPRODUCT((地价!A3:A32=YEAR(G19)&amp;"-"&amp;ROUNDUP(MONTH(G19)/3,0))*(地价!AD2:AH2=N22)*(地价!AD3:AH32))</f>
        <v>1.1599999999999999E-2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2728</v>
      </c>
      <c r="B23" s="2271" t="s">
        <v>2729</v>
      </c>
      <c r="C23" s="950">
        <f>ROUND(IF(G3&gt;1,IF(I3&lt;7,SUMPRODUCT((B93:B98=I3)*(C92:N92=G2)*(C93:N98)),SUMIF(C92:N92,G2,C100:N100)),IF(I3&lt;7,SUMPRODUCT((B102:B107=I3)*(C92:N92=G2)*(C102:N107)),SUMIF(C92:N92,G2,C109:N109))),4)</f>
        <v>1.8629</v>
      </c>
      <c r="D23" s="2239"/>
      <c r="E23" s="2239"/>
      <c r="F23" s="2272"/>
      <c r="G23" s="2273"/>
      <c r="H23" s="2274"/>
      <c r="I23" s="2275"/>
      <c r="J23" s="2276"/>
      <c r="K23" s="1280"/>
      <c r="L23" s="2185"/>
      <c r="M23" s="2185"/>
      <c r="N23" s="2269" t="s">
        <v>2730</v>
      </c>
      <c r="O23" s="1335"/>
      <c r="P23" s="1336">
        <f>SUMPRODUCT((地价!A3:A32=YEAR(G19)&amp;"-"&amp;ROUNDUP(MONTH(G19)/3,0))*(地价!AD2:AH2=N23)*(地价!AD3:AH32))</f>
        <v>1.9E-2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1.0333000000000001</v>
      </c>
      <c r="D24" s="2250"/>
      <c r="E24" s="2277"/>
      <c r="F24" s="2277"/>
      <c r="G24" s="2277"/>
      <c r="H24" s="2277"/>
      <c r="I24" s="2277"/>
      <c r="J24" s="2278"/>
      <c r="K24" s="1287"/>
      <c r="L24" s="3019"/>
      <c r="M24" s="3019"/>
      <c r="N24" s="2279" t="s">
        <v>2732</v>
      </c>
      <c r="O24" s="1337"/>
      <c r="P24" s="1338">
        <f>SUMPRODUCT((地价!A3:A32=YEAR(G19)&amp;"-"&amp;ROUNDUP(MONTH(G19)/3,0))*(地价!AD2:AH2=N24)*(地价!AD3:AH32))</f>
        <v>1.23E-2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2733</v>
      </c>
      <c r="C25" s="869"/>
      <c r="D25" s="2214"/>
      <c r="E25" s="2214"/>
      <c r="F25" s="2281"/>
      <c r="G25" s="2214"/>
      <c r="H25" s="2214"/>
      <c r="I25" s="2214"/>
      <c r="J25" s="2215"/>
      <c r="K25" s="1280"/>
      <c r="L25" s="2185"/>
      <c r="M25" s="2185"/>
      <c r="N25" s="3014" t="s">
        <v>2734</v>
      </c>
      <c r="O25" s="3015"/>
      <c r="P25" s="3016">
        <f>SUMPRODUCT((地价!A3:A32=YEAR(G19)&amp;"-"&amp;ROUNDUP(MONTH(G19)/3,0))*(地价!AD2:AH2=N25)*(地价!AD3:AH32))</f>
        <v>1.7299999999999999E-2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3">
        <f ca="1">IF(B21="容积率修正",E29+SUM(E33:E39),SUM(V2:V16)+SUM(E33:E39))</f>
        <v>57684</v>
      </c>
      <c r="D26" s="2283"/>
      <c r="E26" s="2239"/>
      <c r="F26" s="2284"/>
      <c r="G26" s="2239"/>
      <c r="H26" s="2239"/>
      <c r="I26" s="2239"/>
      <c r="J26" s="2285"/>
      <c r="K26" s="1280"/>
      <c r="L26" s="3017" t="s">
        <v>2635</v>
      </c>
      <c r="M26" s="2212" t="s">
        <v>2699</v>
      </c>
      <c r="N26" s="2212" t="s">
        <v>2700</v>
      </c>
      <c r="O26" s="2212" t="s">
        <v>2701</v>
      </c>
      <c r="P26" s="3018"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f ca="1">E30+SUM(I33:I39)</f>
        <v>0</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f ca="1">ROUND(C5*C18*C19*C20*C21*C24,0)</f>
        <v>54211</v>
      </c>
      <c r="D29" s="2298">
        <f>ROUND(面积表!H4/3,2)</f>
        <v>6194.34</v>
      </c>
      <c r="E29" s="879">
        <f ca="1">ROUND(C29*D29/10000,0)</f>
        <v>33580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f ca="1">ROUND(IF(E2="工业",C29*M39,C29*M38),0)</f>
        <v>13553</v>
      </c>
      <c r="D30" s="2304"/>
      <c r="E30" s="879">
        <f ca="1">ROUND(C30*D30/10000,0)</f>
        <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81"/>
      <c r="B33" s="2314" t="s">
        <v>2749</v>
      </c>
      <c r="C33" s="180">
        <f ca="1">ROUND(D5*C19*C20*C24*F33,0)</f>
        <v>18518</v>
      </c>
      <c r="D33" s="2298"/>
      <c r="E33" s="176">
        <f ca="1">ROUND(C33*D33/10000,0)</f>
        <v>0</v>
      </c>
      <c r="F33" s="176">
        <f>SUMIF(修正!A45:A56,G2,修正!B45:B56)</f>
        <v>0.7</v>
      </c>
      <c r="G33" s="176">
        <f t="shared" ref="G33" ca="1" si="6">ROUND(IF(E2="工业",C33*$M$39,C33*$M$38),0)</f>
        <v>4630</v>
      </c>
      <c r="H33" s="176">
        <f>D33</f>
        <v>0</v>
      </c>
      <c r="I33" s="176">
        <f ca="1">ROUND(G33*H33/10000,0)</f>
        <v>0</v>
      </c>
      <c r="J33" s="3286"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82"/>
      <c r="B34" s="2231" t="s">
        <v>2750</v>
      </c>
      <c r="C34" s="180">
        <f ca="1">ROUND(D5*C19*C20*C24*F34,0)</f>
        <v>10582</v>
      </c>
      <c r="D34" s="2298"/>
      <c r="E34" s="176">
        <f t="shared" ref="E34:E39" ca="1" si="7">ROUND(C34*D34/10000,0)</f>
        <v>0</v>
      </c>
      <c r="F34" s="176">
        <f>SUMIF(修正!A45:A56,G2,修正!C45:C56)</f>
        <v>0.4</v>
      </c>
      <c r="G34" s="176">
        <f ca="1">ROUND(IF(E2="工业",C34*$M$39,C34*$M$38),0)</f>
        <v>2646</v>
      </c>
      <c r="H34" s="176">
        <f t="shared" ref="H34:H39" si="8">D34</f>
        <v>0</v>
      </c>
      <c r="I34" s="176">
        <f t="shared" ref="I34:I39" ca="1" si="9">ROUND(G34*H34/10000,0)</f>
        <v>0</v>
      </c>
      <c r="J34" s="32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82"/>
      <c r="B35" s="2231" t="s">
        <v>2751</v>
      </c>
      <c r="C35" s="180">
        <f ca="1">ROUND(D5*C19*C20*C24*F35,0)</f>
        <v>7407</v>
      </c>
      <c r="D35" s="2298"/>
      <c r="E35" s="176">
        <f t="shared" ca="1" si="7"/>
        <v>0</v>
      </c>
      <c r="F35" s="176">
        <f>SUMIF(修正!A45:A56,G2,修正!D45:D56)</f>
        <v>0.28000000000000003</v>
      </c>
      <c r="G35" s="176">
        <f ca="1">ROUND(IF(E2="工业",C35*$M$39,C35*$M$38),0)</f>
        <v>1852</v>
      </c>
      <c r="H35" s="176">
        <f t="shared" si="8"/>
        <v>0</v>
      </c>
      <c r="I35" s="176">
        <f t="shared" ca="1" si="9"/>
        <v>0</v>
      </c>
      <c r="J35" s="32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83"/>
      <c r="B36" s="2231" t="s">
        <v>2752</v>
      </c>
      <c r="C36" s="180">
        <f ca="1">ROUND(D5*C19*C20*C24*F36,0)</f>
        <v>6614</v>
      </c>
      <c r="D36" s="2298"/>
      <c r="E36" s="176">
        <f t="shared" ca="1" si="7"/>
        <v>0</v>
      </c>
      <c r="F36" s="176">
        <f>SUMIF(修正!A45:A56,G2,修正!E45:E56)</f>
        <v>0.25</v>
      </c>
      <c r="G36" s="176">
        <f ca="1">ROUND(IF(E2="工业",C36*$M$39,C36*$M$38),0)</f>
        <v>1654</v>
      </c>
      <c r="H36" s="176">
        <f t="shared" si="8"/>
        <v>0</v>
      </c>
      <c r="I36" s="176">
        <f t="shared" ca="1" si="9"/>
        <v>0</v>
      </c>
      <c r="J36" s="3283"/>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f ca="1">ROUND(D5*C19*C20*C24*F37,0)</f>
        <v>6614</v>
      </c>
      <c r="D37" s="2298"/>
      <c r="E37" s="176">
        <f t="shared" ca="1" si="7"/>
        <v>0</v>
      </c>
      <c r="F37" s="180">
        <f>SUMIF(修正!A45:A56,G2,修正!F45:F56)</f>
        <v>0.25</v>
      </c>
      <c r="G37" s="176">
        <f ca="1">ROUND(IF(E2="工业",C37*$M$39,C37*$M$38),0)</f>
        <v>1654</v>
      </c>
      <c r="H37" s="176">
        <f t="shared" si="8"/>
        <v>0</v>
      </c>
      <c r="I37" s="176">
        <f t="shared" ca="1" si="9"/>
        <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f ca="1">ROUND(D5*C19*C41*C24*F38,0)</f>
        <v>6258</v>
      </c>
      <c r="D38" s="2298"/>
      <c r="E38" s="176">
        <f t="shared" ca="1" si="7"/>
        <v>0</v>
      </c>
      <c r="F38" s="180">
        <f>SUMIF(修正!A45:A56,G2,修正!G45:G56)</f>
        <v>0.25</v>
      </c>
      <c r="G38" s="176">
        <f ca="1">ROUND(IF(E2="工业",C38*$M$39,C38*$M$38),0)</f>
        <v>1565</v>
      </c>
      <c r="H38" s="176">
        <f t="shared" si="8"/>
        <v>0</v>
      </c>
      <c r="I38" s="176">
        <f t="shared" ca="1" si="9"/>
        <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f ca="1">ROUND(D5*C19*C41*C24*F39,0)</f>
        <v>5007</v>
      </c>
      <c r="D39" s="2304"/>
      <c r="E39" s="193">
        <f t="shared" ca="1" si="7"/>
        <v>0</v>
      </c>
      <c r="F39" s="871">
        <f>SUMIF(修正!A45:A56,G2,修正!H45:H56)</f>
        <v>0.2</v>
      </c>
      <c r="G39" s="193">
        <f ca="1">ROUND(IF(E2="工业",C39*$M$39,C39*$M$38),0)</f>
        <v>1252</v>
      </c>
      <c r="H39" s="193">
        <f t="shared" si="8"/>
        <v>0</v>
      </c>
      <c r="I39" s="193">
        <f t="shared" ca="1" si="9"/>
        <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f ca="1">ROUND(POWER(1+E41,H41-G41)*(POWER(1+E41,G41)-1)/(POWER(1+E41,H41)-1),4)</f>
        <v>0.8175</v>
      </c>
      <c r="D41" s="176" t="s">
        <v>2709</v>
      </c>
      <c r="E41" s="2371">
        <f ca="1">G20</f>
        <v>5.3999999999999999E-2</v>
      </c>
      <c r="F41" s="176" t="s">
        <v>2718</v>
      </c>
      <c r="G41" s="189">
        <f>项目基本情况!E15</f>
        <v>27.02</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1.0333000000000001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t="s">
        <v>3097</v>
      </c>
      <c r="D48" s="1196">
        <f t="shared" ref="D48:D56" si="10">SUMIF($J$47:$N$47,C48,J48:N48)</f>
        <v>0</v>
      </c>
      <c r="E48" s="760">
        <f>ROUND(SUM(D48:D56),4)</f>
        <v>3.3300000000000003E-2</v>
      </c>
      <c r="F48" s="2002">
        <f>IF(E2="商业",SUMIF(L1:L12,G2,N1:N12),"——")</f>
        <v>9.8000000000000004E-2</v>
      </c>
      <c r="G48" s="1194">
        <v>1.8100000000000002E-2</v>
      </c>
      <c r="H48" s="1198">
        <f t="shared" ref="H48:H56" si="11">IFERROR(ROUNDDOWN($F$48*I48/2,4),"——")</f>
        <v>1.61E-2</v>
      </c>
      <c r="I48" s="759">
        <v>0.33</v>
      </c>
      <c r="J48" s="1195">
        <f t="shared" ref="J48:J56" si="12">K48+$G48</f>
        <v>3.6200000000000003E-2</v>
      </c>
      <c r="K48" s="1195">
        <f t="shared" ref="K48:K56" si="13">$L48+$G48</f>
        <v>1.8100000000000002E-2</v>
      </c>
      <c r="L48" s="1195">
        <v>0</v>
      </c>
      <c r="M48" s="1195">
        <f t="shared" ref="M48:N56" si="14">L48-$G48</f>
        <v>-1.8100000000000002E-2</v>
      </c>
      <c r="N48" s="1195">
        <f t="shared" si="14"/>
        <v>-3.6200000000000003E-2</v>
      </c>
      <c r="AA48" s="1281"/>
      <c r="AB48" s="1281"/>
      <c r="AC48" s="1281"/>
      <c r="AD48" s="1281"/>
      <c r="AE48" s="1281"/>
      <c r="AF48" s="1281"/>
      <c r="AG48" s="1281"/>
      <c r="AH48" s="1281"/>
      <c r="AI48" s="1281"/>
      <c r="AJ48" s="1281"/>
      <c r="AK48" s="1281"/>
    </row>
    <row r="49" spans="1:37" s="1280" customFormat="1" ht="51">
      <c r="A49" s="2331" t="s">
        <v>2769</v>
      </c>
      <c r="B49" s="2335" t="str">
        <f>估价对象房地状况!C18</f>
        <v>估价对象周边道路状况、公共交通通达情况、停车便捷程度，综合评价交通便捷度较好</v>
      </c>
      <c r="C49" s="2236" t="s">
        <v>3080</v>
      </c>
      <c r="D49" s="1196">
        <f t="shared" si="10"/>
        <v>1.37E-2</v>
      </c>
      <c r="E49" s="761"/>
      <c r="F49" s="2002"/>
      <c r="G49" s="1194">
        <v>1.37E-2</v>
      </c>
      <c r="H49" s="1198">
        <f t="shared" si="11"/>
        <v>1.2200000000000001E-2</v>
      </c>
      <c r="I49" s="759">
        <v>0.25</v>
      </c>
      <c r="J49" s="1195">
        <f t="shared" si="12"/>
        <v>2.7400000000000001E-2</v>
      </c>
      <c r="K49" s="1195">
        <f t="shared" si="13"/>
        <v>1.37E-2</v>
      </c>
      <c r="L49" s="1195">
        <v>0</v>
      </c>
      <c r="M49" s="1195">
        <f t="shared" si="14"/>
        <v>-1.37E-2</v>
      </c>
      <c r="N49" s="1195">
        <f t="shared" si="14"/>
        <v>-2.7400000000000001E-2</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t="s">
        <v>3080</v>
      </c>
      <c r="D50" s="1196">
        <f t="shared" si="10"/>
        <v>2.7000000000000001E-3</v>
      </c>
      <c r="E50" s="761"/>
      <c r="F50" s="2002"/>
      <c r="G50" s="1194">
        <v>2.7000000000000001E-3</v>
      </c>
      <c r="H50" s="1198">
        <f t="shared" si="11"/>
        <v>2.3999999999999998E-3</v>
      </c>
      <c r="I50" s="759">
        <v>0.05</v>
      </c>
      <c r="J50" s="1195">
        <f t="shared" si="12"/>
        <v>5.4000000000000003E-3</v>
      </c>
      <c r="K50" s="1195">
        <f t="shared" si="13"/>
        <v>2.7000000000000001E-3</v>
      </c>
      <c r="L50" s="1195">
        <v>0</v>
      </c>
      <c r="M50" s="1195">
        <f t="shared" si="14"/>
        <v>-2.7000000000000001E-3</v>
      </c>
      <c r="N50" s="1195">
        <f t="shared" si="14"/>
        <v>-5.4000000000000003E-3</v>
      </c>
      <c r="AA50" s="1281"/>
      <c r="AB50" s="1281"/>
      <c r="AC50" s="1281"/>
      <c r="AD50" s="1281"/>
      <c r="AE50" s="1281"/>
      <c r="AF50" s="1281"/>
      <c r="AG50" s="1281"/>
      <c r="AH50" s="1281"/>
      <c r="AI50" s="1281"/>
      <c r="AJ50" s="1281"/>
      <c r="AK50" s="1281"/>
    </row>
    <row r="51" spans="1:37" s="1280" customFormat="1" ht="36.75">
      <c r="A51" s="2331" t="s">
        <v>2771</v>
      </c>
      <c r="B51" s="2336" t="s">
        <v>2772</v>
      </c>
      <c r="C51" s="2236" t="s">
        <v>3080</v>
      </c>
      <c r="D51" s="1196">
        <f t="shared" si="10"/>
        <v>2.7000000000000001E-3</v>
      </c>
      <c r="E51" s="761"/>
      <c r="F51" s="2002"/>
      <c r="G51" s="1194">
        <v>2.7000000000000001E-3</v>
      </c>
      <c r="H51" s="1198">
        <f t="shared" si="11"/>
        <v>2.3999999999999998E-3</v>
      </c>
      <c r="I51" s="759">
        <v>0.05</v>
      </c>
      <c r="J51" s="1195">
        <f t="shared" si="12"/>
        <v>5.4000000000000003E-3</v>
      </c>
      <c r="K51" s="1195">
        <f t="shared" si="13"/>
        <v>2.7000000000000001E-3</v>
      </c>
      <c r="L51" s="1195">
        <v>0</v>
      </c>
      <c r="M51" s="1195">
        <f t="shared" si="14"/>
        <v>-2.7000000000000001E-3</v>
      </c>
      <c r="N51" s="1195">
        <f t="shared" si="14"/>
        <v>-5.4000000000000003E-3</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t="s">
        <v>3110</v>
      </c>
      <c r="D52" s="1196">
        <f t="shared" si="10"/>
        <v>-4.4000000000000003E-3</v>
      </c>
      <c r="E52" s="761"/>
      <c r="F52" s="2002"/>
      <c r="G52" s="1194">
        <v>4.4000000000000003E-3</v>
      </c>
      <c r="H52" s="1198">
        <f t="shared" si="11"/>
        <v>3.8999999999999998E-3</v>
      </c>
      <c r="I52" s="759">
        <v>0.08</v>
      </c>
      <c r="J52" s="1195">
        <f t="shared" si="12"/>
        <v>8.8000000000000005E-3</v>
      </c>
      <c r="K52" s="1195">
        <f t="shared" si="13"/>
        <v>4.4000000000000003E-3</v>
      </c>
      <c r="L52" s="1195">
        <v>0</v>
      </c>
      <c r="M52" s="1195">
        <f t="shared" si="14"/>
        <v>-4.4000000000000003E-3</v>
      </c>
      <c r="N52" s="1195">
        <f t="shared" si="14"/>
        <v>-8.8000000000000005E-3</v>
      </c>
      <c r="AA52" s="1281"/>
      <c r="AB52" s="1281"/>
      <c r="AC52" s="1281"/>
      <c r="AD52" s="1281"/>
      <c r="AE52" s="1281"/>
      <c r="AF52" s="1281"/>
      <c r="AG52" s="1281"/>
      <c r="AH52" s="1281"/>
      <c r="AI52" s="1281"/>
      <c r="AJ52" s="1281"/>
      <c r="AK52" s="1281"/>
    </row>
    <row r="53" spans="1:37" s="1280" customFormat="1" ht="24">
      <c r="A53" s="2331" t="s">
        <v>2774</v>
      </c>
      <c r="B53" s="2337" t="s">
        <v>2775</v>
      </c>
      <c r="C53" s="2236" t="s">
        <v>3080</v>
      </c>
      <c r="D53" s="1196">
        <f t="shared" si="10"/>
        <v>1.6000000000000001E-3</v>
      </c>
      <c r="E53" s="761"/>
      <c r="F53" s="2002"/>
      <c r="G53" s="1194">
        <v>1.6000000000000001E-3</v>
      </c>
      <c r="H53" s="1198">
        <f t="shared" si="11"/>
        <v>1.4E-3</v>
      </c>
      <c r="I53" s="759">
        <v>0.03</v>
      </c>
      <c r="J53" s="1195">
        <f t="shared" si="12"/>
        <v>3.2000000000000002E-3</v>
      </c>
      <c r="K53" s="1195">
        <f t="shared" si="13"/>
        <v>1.6000000000000001E-3</v>
      </c>
      <c r="L53" s="1195">
        <v>0</v>
      </c>
      <c r="M53" s="1195">
        <f t="shared" si="14"/>
        <v>-1.6000000000000001E-3</v>
      </c>
      <c r="N53" s="1195">
        <f t="shared" si="14"/>
        <v>-3.2000000000000002E-3</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t="s">
        <v>3080</v>
      </c>
      <c r="D54" s="1196">
        <f t="shared" si="10"/>
        <v>2.7000000000000001E-3</v>
      </c>
      <c r="E54" s="761"/>
      <c r="F54" s="2002"/>
      <c r="G54" s="1194">
        <v>2.7000000000000001E-3</v>
      </c>
      <c r="H54" s="1198">
        <f t="shared" si="11"/>
        <v>2.3999999999999998E-3</v>
      </c>
      <c r="I54" s="759">
        <v>0.05</v>
      </c>
      <c r="J54" s="1195">
        <f t="shared" si="12"/>
        <v>5.4000000000000003E-3</v>
      </c>
      <c r="K54" s="1195">
        <f t="shared" si="13"/>
        <v>2.7000000000000001E-3</v>
      </c>
      <c r="L54" s="1195">
        <v>0</v>
      </c>
      <c r="M54" s="1195">
        <f t="shared" si="14"/>
        <v>-2.7000000000000001E-3</v>
      </c>
      <c r="N54" s="1195">
        <f t="shared" si="14"/>
        <v>-5.4000000000000003E-3</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t="s">
        <v>3081</v>
      </c>
      <c r="D55" s="1196">
        <f t="shared" si="10"/>
        <v>1.0999999999999999E-2</v>
      </c>
      <c r="E55" s="761"/>
      <c r="F55" s="2002"/>
      <c r="G55" s="1194">
        <v>5.4999999999999997E-3</v>
      </c>
      <c r="H55" s="1198">
        <f t="shared" si="11"/>
        <v>4.8999999999999998E-3</v>
      </c>
      <c r="I55" s="759">
        <v>0.1</v>
      </c>
      <c r="J55" s="1195">
        <f t="shared" si="12"/>
        <v>1.0999999999999999E-2</v>
      </c>
      <c r="K55" s="1195">
        <f t="shared" si="13"/>
        <v>5.4999999999999997E-3</v>
      </c>
      <c r="L55" s="1195">
        <v>0</v>
      </c>
      <c r="M55" s="1195">
        <f t="shared" si="14"/>
        <v>-5.4999999999999997E-3</v>
      </c>
      <c r="N55" s="1195">
        <f t="shared" si="14"/>
        <v>-1.0999999999999999E-2</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t="s">
        <v>3080</v>
      </c>
      <c r="D56" s="1196">
        <f t="shared" si="10"/>
        <v>3.3E-3</v>
      </c>
      <c r="E56" s="764"/>
      <c r="F56" s="2002"/>
      <c r="G56" s="1194">
        <v>3.3E-3</v>
      </c>
      <c r="H56" s="1198">
        <f t="shared" si="11"/>
        <v>2.8999999999999998E-3</v>
      </c>
      <c r="I56" s="763">
        <v>0.06</v>
      </c>
      <c r="J56" s="1195">
        <f t="shared" si="12"/>
        <v>6.6E-3</v>
      </c>
      <c r="K56" s="1195">
        <f t="shared" si="13"/>
        <v>3.3E-3</v>
      </c>
      <c r="L56" s="1195">
        <v>0</v>
      </c>
      <c r="M56" s="1195">
        <f t="shared" si="14"/>
        <v>-3.3E-3</v>
      </c>
      <c r="N56" s="1195">
        <f t="shared" si="14"/>
        <v>-6.6E-3</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2419</v>
      </c>
      <c r="K80" s="560" t="s">
        <v>2420</v>
      </c>
      <c r="L80" s="560" t="s">
        <v>2421</v>
      </c>
      <c r="M80" s="560" t="s">
        <v>2422</v>
      </c>
      <c r="N80" s="560" t="s">
        <v>2423</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2776</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2777</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273" t="s">
        <v>2790</v>
      </c>
      <c r="B90" s="3273"/>
      <c r="C90" s="3273"/>
      <c r="D90" s="3273"/>
      <c r="E90" s="3273"/>
      <c r="F90" s="3273"/>
      <c r="G90" s="3273"/>
      <c r="H90" s="3273"/>
      <c r="I90" s="3273"/>
      <c r="J90" s="3273"/>
      <c r="K90" s="2345"/>
      <c r="L90" s="2345"/>
      <c r="M90" s="2345"/>
      <c r="N90" s="2345"/>
    </row>
    <row r="91" spans="1:37">
      <c r="A91" s="3275" t="s">
        <v>2791</v>
      </c>
      <c r="B91" s="3275" t="s">
        <v>2792</v>
      </c>
      <c r="C91" s="2299" t="s">
        <v>2793</v>
      </c>
      <c r="D91" s="2300"/>
      <c r="E91" s="2300"/>
      <c r="F91" s="2300"/>
      <c r="G91" s="2300"/>
      <c r="H91" s="2300"/>
      <c r="I91" s="2300"/>
      <c r="J91" s="2346"/>
      <c r="K91" s="2347"/>
      <c r="L91" s="2347"/>
      <c r="M91" s="2347"/>
      <c r="N91" s="2347"/>
    </row>
    <row r="92" spans="1:37">
      <c r="A92" s="3275"/>
      <c r="B92" s="327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76"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77"/>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77"/>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77"/>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77"/>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77"/>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77"/>
      <c r="B99" s="2348" t="s">
        <v>2677</v>
      </c>
      <c r="C99" s="2350">
        <f>$I$3</f>
        <v>1</v>
      </c>
      <c r="D99" s="2350">
        <f t="shared" ref="D99:M99" si="30">$I$3</f>
        <v>1</v>
      </c>
      <c r="E99" s="2350">
        <f t="shared" si="30"/>
        <v>1</v>
      </c>
      <c r="F99" s="2350">
        <f t="shared" si="30"/>
        <v>1</v>
      </c>
      <c r="G99" s="2350">
        <f t="shared" si="30"/>
        <v>1</v>
      </c>
      <c r="H99" s="2350">
        <f t="shared" si="30"/>
        <v>1</v>
      </c>
      <c r="I99" s="2350">
        <f t="shared" si="30"/>
        <v>1</v>
      </c>
      <c r="J99" s="2350">
        <f t="shared" si="30"/>
        <v>1</v>
      </c>
      <c r="K99" s="2350">
        <f t="shared" si="30"/>
        <v>1</v>
      </c>
      <c r="L99" s="2350">
        <f t="shared" si="30"/>
        <v>1</v>
      </c>
      <c r="M99" s="2350">
        <f t="shared" si="30"/>
        <v>1</v>
      </c>
      <c r="N99" s="2350">
        <f>$I$3</f>
        <v>1</v>
      </c>
    </row>
    <row r="100" spans="1:14">
      <c r="A100" s="3278"/>
      <c r="B100" s="2348">
        <v>7</v>
      </c>
      <c r="C100" s="2351">
        <f>(-0.163*(C99^2)-0.59*C99+7617)*(10^(-4))</f>
        <v>0.76162470000000004</v>
      </c>
      <c r="D100" s="2351">
        <f>(-0.163*(D99^2)-0.59*D99+7617)*(10^(-4))</f>
        <v>0.76162470000000004</v>
      </c>
      <c r="E100" s="2351">
        <f>(-0.161*(E99^2)-7.509*E99+6533)*(10^(-4))</f>
        <v>0.65253300000000003</v>
      </c>
      <c r="F100" s="2351">
        <f>(-0.161*(F99^2)-7.509*F99+6533)*(10^(-4))</f>
        <v>0.65253300000000003</v>
      </c>
      <c r="G100" s="2351">
        <f>(-0.161*(G99^2)-7.509*G99+6533)*(10^(-4))</f>
        <v>0.65253300000000003</v>
      </c>
      <c r="H100" s="2351">
        <f>(-0.161*(H99^2)-7.509*H99+6533)*(10^(-4))</f>
        <v>0.65253300000000003</v>
      </c>
      <c r="I100" s="2351">
        <f>(-0.161*(I99^2)-7.509*I99+6533)*(10^(-4))</f>
        <v>0.65253300000000003</v>
      </c>
      <c r="J100" s="2351">
        <f>(-0.214*(J99^2)-21.991*J99+4665)*(10^(-4))</f>
        <v>0.46427950000000001</v>
      </c>
      <c r="K100" s="2351">
        <f>(-0.214*(K99^2)-21.991*K99+4665)*(10^(-4))</f>
        <v>0.46427950000000001</v>
      </c>
      <c r="L100" s="2351">
        <f>(-0.214*(L99^2)-21.991*L99+4665)*(10^(-4))</f>
        <v>0.46427950000000001</v>
      </c>
      <c r="M100" s="2351">
        <f>(-0.214*(M99^2)-21.991*M99+4665)*(10^(-4))</f>
        <v>0.46427950000000001</v>
      </c>
      <c r="N100" s="2351">
        <f>(-0.214*(N99^2)-21.991*N99+4665)*(10^(-4))</f>
        <v>0.46427950000000001</v>
      </c>
    </row>
    <row r="101" spans="1:14">
      <c r="A101" s="3276" t="s">
        <v>2795</v>
      </c>
      <c r="B101" s="2352" t="s">
        <v>2796</v>
      </c>
      <c r="C101" s="2353">
        <f>$G$3</f>
        <v>2.96</v>
      </c>
      <c r="D101" s="2353">
        <f t="shared" ref="D101:N101" si="31">$G$3</f>
        <v>2.96</v>
      </c>
      <c r="E101" s="2353">
        <f t="shared" si="31"/>
        <v>2.96</v>
      </c>
      <c r="F101" s="2353">
        <f t="shared" si="31"/>
        <v>2.96</v>
      </c>
      <c r="G101" s="2353">
        <f t="shared" si="31"/>
        <v>2.96</v>
      </c>
      <c r="H101" s="2353">
        <f t="shared" si="31"/>
        <v>2.96</v>
      </c>
      <c r="I101" s="2353">
        <f t="shared" si="31"/>
        <v>2.96</v>
      </c>
      <c r="J101" s="2353">
        <f t="shared" si="31"/>
        <v>2.96</v>
      </c>
      <c r="K101" s="2353">
        <f t="shared" si="31"/>
        <v>2.96</v>
      </c>
      <c r="L101" s="2353">
        <f t="shared" si="31"/>
        <v>2.96</v>
      </c>
      <c r="M101" s="2353">
        <f t="shared" si="31"/>
        <v>2.96</v>
      </c>
      <c r="N101" s="2353">
        <f t="shared" si="31"/>
        <v>2.96</v>
      </c>
    </row>
    <row r="102" spans="1:14">
      <c r="A102" s="3277"/>
      <c r="B102" s="2348">
        <v>1</v>
      </c>
      <c r="C102" s="2349">
        <f>1.9362/C101</f>
        <v>0.65412162162162157</v>
      </c>
      <c r="D102" s="2349">
        <f>1.9362/D101</f>
        <v>0.65412162162162157</v>
      </c>
      <c r="E102" s="2349">
        <f>1.8629/E101</f>
        <v>0.62935810810810811</v>
      </c>
      <c r="F102" s="2349">
        <f>1.8629/F101</f>
        <v>0.62935810810810811</v>
      </c>
      <c r="G102" s="2349">
        <f>1.8629/G101</f>
        <v>0.62935810810810811</v>
      </c>
      <c r="H102" s="2349">
        <f>1.8629/H101</f>
        <v>0.62935810810810811</v>
      </c>
      <c r="I102" s="2349">
        <f>1.8629/I101</f>
        <v>0.62935810810810811</v>
      </c>
      <c r="J102" s="2349">
        <f>1.942/J101</f>
        <v>0.6560810810810811</v>
      </c>
      <c r="K102" s="2349">
        <f>1.942/K101</f>
        <v>0.6560810810810811</v>
      </c>
      <c r="L102" s="2349">
        <f>1.942/L101</f>
        <v>0.6560810810810811</v>
      </c>
      <c r="M102" s="2349">
        <f>1.942/M101</f>
        <v>0.6560810810810811</v>
      </c>
      <c r="N102" s="2349">
        <f>1.942/N101</f>
        <v>0.6560810810810811</v>
      </c>
    </row>
    <row r="103" spans="1:14">
      <c r="A103" s="3277"/>
      <c r="B103" s="2348">
        <v>2</v>
      </c>
      <c r="C103" s="2349">
        <f>1.4198/C101</f>
        <v>0.47966216216216218</v>
      </c>
      <c r="D103" s="2349">
        <f>1.4198/D101</f>
        <v>0.47966216216216218</v>
      </c>
      <c r="E103" s="2349">
        <f>1.3372/E101</f>
        <v>0.45175675675675675</v>
      </c>
      <c r="F103" s="2349">
        <f>1.3372/F101</f>
        <v>0.45175675675675675</v>
      </c>
      <c r="G103" s="2349">
        <f>1.3372/G101</f>
        <v>0.45175675675675675</v>
      </c>
      <c r="H103" s="2349">
        <f>1.3372/H101</f>
        <v>0.45175675675675675</v>
      </c>
      <c r="I103" s="2349">
        <f>1.3372/I101</f>
        <v>0.45175675675675675</v>
      </c>
      <c r="J103" s="2349">
        <f>1.2799/J101</f>
        <v>0.43239864864864869</v>
      </c>
      <c r="K103" s="2349">
        <f>1.2799/K101</f>
        <v>0.43239864864864869</v>
      </c>
      <c r="L103" s="2349">
        <f>1.2799/L101</f>
        <v>0.43239864864864869</v>
      </c>
      <c r="M103" s="2349">
        <f>1.2799/M101</f>
        <v>0.43239864864864869</v>
      </c>
      <c r="N103" s="2349">
        <f>1.2799/N101</f>
        <v>0.43239864864864869</v>
      </c>
    </row>
    <row r="104" spans="1:14">
      <c r="A104" s="3277"/>
      <c r="B104" s="2348">
        <v>3</v>
      </c>
      <c r="C104" s="2349">
        <f>1.1594/C101</f>
        <v>0.39168918918918921</v>
      </c>
      <c r="D104" s="2349">
        <f>1.1594/D101</f>
        <v>0.39168918918918921</v>
      </c>
      <c r="E104" s="2349">
        <f>1.0788/E101</f>
        <v>0.36445945945945946</v>
      </c>
      <c r="F104" s="2349">
        <f>1.0788/F101</f>
        <v>0.36445945945945946</v>
      </c>
      <c r="G104" s="2349">
        <f>1.0788/G101</f>
        <v>0.36445945945945946</v>
      </c>
      <c r="H104" s="2349">
        <f>1.0788/H101</f>
        <v>0.36445945945945946</v>
      </c>
      <c r="I104" s="2349">
        <f>1.0788/I101</f>
        <v>0.36445945945945946</v>
      </c>
      <c r="J104" s="2349">
        <f>1.0072/J101</f>
        <v>0.34027027027027029</v>
      </c>
      <c r="K104" s="2349">
        <f>1.0072/K101</f>
        <v>0.34027027027027029</v>
      </c>
      <c r="L104" s="2349">
        <f>1.0072/L101</f>
        <v>0.34027027027027029</v>
      </c>
      <c r="M104" s="2349">
        <f>1.0072/M101</f>
        <v>0.34027027027027029</v>
      </c>
      <c r="N104" s="2349">
        <f>1.0072/N101</f>
        <v>0.34027027027027029</v>
      </c>
    </row>
    <row r="105" spans="1:14">
      <c r="A105" s="3277"/>
      <c r="B105" s="2348">
        <v>4</v>
      </c>
      <c r="C105" s="2349">
        <f>0.9622/C101</f>
        <v>0.32506756756756761</v>
      </c>
      <c r="D105" s="2349">
        <f>0.9622/D101</f>
        <v>0.32506756756756761</v>
      </c>
      <c r="E105" s="2349">
        <f>0.8656/E101</f>
        <v>0.29243243243243244</v>
      </c>
      <c r="F105" s="2349">
        <f>0.8656/F101</f>
        <v>0.29243243243243244</v>
      </c>
      <c r="G105" s="2349">
        <f>0.8656/G101</f>
        <v>0.29243243243243244</v>
      </c>
      <c r="H105" s="2349">
        <f>0.8656/H101</f>
        <v>0.29243243243243244</v>
      </c>
      <c r="I105" s="2349">
        <f>0.8656/I101</f>
        <v>0.29243243243243244</v>
      </c>
      <c r="J105" s="2349">
        <f>0.7525/J101</f>
        <v>0.25422297297297297</v>
      </c>
      <c r="K105" s="2349">
        <f>0.7525/K101</f>
        <v>0.25422297297297297</v>
      </c>
      <c r="L105" s="2349">
        <f>0.7525/L101</f>
        <v>0.25422297297297297</v>
      </c>
      <c r="M105" s="2349">
        <f>0.7525/M101</f>
        <v>0.25422297297297297</v>
      </c>
      <c r="N105" s="2349">
        <f>0.7525/N101</f>
        <v>0.25422297297297297</v>
      </c>
    </row>
    <row r="106" spans="1:14">
      <c r="A106" s="3277"/>
      <c r="B106" s="2348">
        <v>5</v>
      </c>
      <c r="C106" s="2349">
        <f>0.8417/C101</f>
        <v>0.28435810810810813</v>
      </c>
      <c r="D106" s="2349">
        <f>0.8417/D101</f>
        <v>0.28435810810810813</v>
      </c>
      <c r="E106" s="2349">
        <f>0.7371/E101</f>
        <v>0.24902027027027027</v>
      </c>
      <c r="F106" s="2349">
        <f>0.7371/F101</f>
        <v>0.24902027027027027</v>
      </c>
      <c r="G106" s="2349">
        <f>0.7371/G101</f>
        <v>0.24902027027027027</v>
      </c>
      <c r="H106" s="2349">
        <f>0.7371/H101</f>
        <v>0.24902027027027027</v>
      </c>
      <c r="I106" s="2349">
        <f>0.7371/I101</f>
        <v>0.24902027027027027</v>
      </c>
      <c r="J106" s="2349">
        <f>0.5659/J101</f>
        <v>0.19118243243243241</v>
      </c>
      <c r="K106" s="2349">
        <f>0.5659/K101</f>
        <v>0.19118243243243241</v>
      </c>
      <c r="L106" s="2349">
        <f>0.5659/L101</f>
        <v>0.19118243243243241</v>
      </c>
      <c r="M106" s="2349">
        <f>0.5659/M101</f>
        <v>0.19118243243243241</v>
      </c>
      <c r="N106" s="2349">
        <f>0.5659/N101</f>
        <v>0.19118243243243241</v>
      </c>
    </row>
    <row r="107" spans="1:14">
      <c r="A107" s="3277"/>
      <c r="B107" s="2348">
        <v>6</v>
      </c>
      <c r="C107" s="2349">
        <f>0.7608/C101</f>
        <v>0.25702702702702707</v>
      </c>
      <c r="D107" s="2349">
        <f>0.7608/D101</f>
        <v>0.25702702702702707</v>
      </c>
      <c r="E107" s="2349">
        <f>0.6482/E101</f>
        <v>0.2189864864864865</v>
      </c>
      <c r="F107" s="2349">
        <f>0.6482/F101</f>
        <v>0.2189864864864865</v>
      </c>
      <c r="G107" s="2349">
        <f>0.6482/G101</f>
        <v>0.2189864864864865</v>
      </c>
      <c r="H107" s="2349">
        <f>0.6482/H101</f>
        <v>0.2189864864864865</v>
      </c>
      <c r="I107" s="2349">
        <f>0.6482/I101</f>
        <v>0.2189864864864865</v>
      </c>
      <c r="J107" s="2349">
        <f>0.4525/J101</f>
        <v>0.15287162162162163</v>
      </c>
      <c r="K107" s="2349">
        <f>0.4525/K101</f>
        <v>0.15287162162162163</v>
      </c>
      <c r="L107" s="2349">
        <f>0.4525/L101</f>
        <v>0.15287162162162163</v>
      </c>
      <c r="M107" s="2349">
        <f>0.4525/M101</f>
        <v>0.15287162162162163</v>
      </c>
      <c r="N107" s="2349">
        <f>0.4525/N101</f>
        <v>0.15287162162162163</v>
      </c>
    </row>
    <row r="108" spans="1:14">
      <c r="A108" s="3277"/>
      <c r="B108" s="3279" t="s">
        <v>2797</v>
      </c>
      <c r="C108" s="2350">
        <f>C99</f>
        <v>1</v>
      </c>
      <c r="D108" s="2350">
        <f t="shared" ref="D108:N108" si="32">D99</f>
        <v>1</v>
      </c>
      <c r="E108" s="2350">
        <f t="shared" si="32"/>
        <v>1</v>
      </c>
      <c r="F108" s="2350">
        <f t="shared" si="32"/>
        <v>1</v>
      </c>
      <c r="G108" s="2350">
        <f t="shared" si="32"/>
        <v>1</v>
      </c>
      <c r="H108" s="2350">
        <f t="shared" si="32"/>
        <v>1</v>
      </c>
      <c r="I108" s="2350">
        <f t="shared" si="32"/>
        <v>1</v>
      </c>
      <c r="J108" s="2350">
        <f t="shared" si="32"/>
        <v>1</v>
      </c>
      <c r="K108" s="2350">
        <f t="shared" si="32"/>
        <v>1</v>
      </c>
      <c r="L108" s="2350">
        <f t="shared" si="32"/>
        <v>1</v>
      </c>
      <c r="M108" s="2350">
        <f t="shared" si="32"/>
        <v>1</v>
      </c>
      <c r="N108" s="2350">
        <f t="shared" si="32"/>
        <v>1</v>
      </c>
    </row>
    <row r="109" spans="1:14">
      <c r="A109" s="3278"/>
      <c r="B109" s="3280"/>
      <c r="C109" s="2351">
        <f>(-0.163*(C108^2)-0.59*C108+7617)*(10^(-4))/C101</f>
        <v>0.25730564189189192</v>
      </c>
      <c r="D109" s="2351">
        <f>(-0.163*(D108^2)-0.59*D108+7617)*(10^(-4))/D101</f>
        <v>0.25730564189189192</v>
      </c>
      <c r="E109" s="2351">
        <f>(-0.161*(E108^2)-7.509*E108+6533)*(10^(-4))/E101</f>
        <v>0.22045033783783785</v>
      </c>
      <c r="F109" s="2351">
        <f>(-0.161*(F108^2)-7.509*F108+6533)*(10^(-4))/F101</f>
        <v>0.22045033783783785</v>
      </c>
      <c r="G109" s="2351">
        <f>(-0.161*(G108^2)-7.509*G108+6533)*(10^(-4))/G101</f>
        <v>0.22045033783783785</v>
      </c>
      <c r="H109" s="2351">
        <f>(-0.161*(H108^2)-7.509*H108+6533)*(10^(-4))/H101</f>
        <v>0.22045033783783785</v>
      </c>
      <c r="I109" s="2351">
        <f>(-0.161*(I108^2)-7.509*I108+6533)*(10^(-4))/I101</f>
        <v>0.22045033783783785</v>
      </c>
      <c r="J109" s="2351">
        <f>(-0.214*(J108^2)-21.991*J108+4665)*(10^(-4))/J101</f>
        <v>0.15685118243243243</v>
      </c>
      <c r="K109" s="2351">
        <f>(-0.214*(K108^2)-21.991*K108+4665)*(10^(-4))/K101</f>
        <v>0.15685118243243243</v>
      </c>
      <c r="L109" s="2351">
        <f>(-0.214*(L108^2)-21.991*L108+4665)*(10^(-4))/L101</f>
        <v>0.15685118243243243</v>
      </c>
      <c r="M109" s="2351">
        <f>(-0.214*(M108^2)-21.991*M108+4665)*(10^(-4))/M101</f>
        <v>0.15685118243243243</v>
      </c>
      <c r="N109" s="2351">
        <f>(-0.214*(N108^2)-21.991*N108+4665)*(10^(-4))/N101</f>
        <v>0.15685118243243243</v>
      </c>
    </row>
    <row r="110" spans="1:14">
      <c r="A110" s="3274" t="s">
        <v>2798</v>
      </c>
      <c r="B110" s="3274"/>
      <c r="C110" s="3274"/>
      <c r="D110" s="3274"/>
      <c r="E110" s="3274"/>
      <c r="F110" s="3274"/>
      <c r="G110" s="3274"/>
      <c r="H110" s="3274"/>
      <c r="I110" s="3274"/>
      <c r="J110" s="3274"/>
      <c r="K110" s="2354"/>
      <c r="L110" s="2354"/>
      <c r="M110" s="2354"/>
      <c r="N110" s="2354"/>
    </row>
    <row r="112" spans="1:14" ht="13.5" thickBot="1"/>
    <row r="113" spans="1:13" ht="25.5" thickBot="1">
      <c r="A113" s="842" t="s">
        <v>2799</v>
      </c>
      <c r="B113" s="1197">
        <f>G3</f>
        <v>2.96</v>
      </c>
      <c r="C113" s="843" t="s">
        <v>2800</v>
      </c>
      <c r="D113" s="844">
        <f>SUMPRODUCT((A115:A118=F113)*(B114:M114=H113)*B115:M118)</f>
        <v>0.80079999999999996</v>
      </c>
      <c r="E113" s="2190" t="s">
        <v>2635</v>
      </c>
      <c r="F113" s="2356" t="str">
        <f>E2</f>
        <v>商业</v>
      </c>
      <c r="G113" s="2190" t="s">
        <v>2636</v>
      </c>
      <c r="H113" s="2356" t="str">
        <f>G2</f>
        <v>三级</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f>ROUND(0.9335-0.0094*B113,4)</f>
        <v>0.90569999999999995</v>
      </c>
      <c r="C115" s="849">
        <f>B115</f>
        <v>0.90569999999999995</v>
      </c>
      <c r="D115" s="849">
        <f>ROUND(0.8331-0.0109*B113,4)</f>
        <v>0.80079999999999996</v>
      </c>
      <c r="E115" s="849">
        <f>D115</f>
        <v>0.80079999999999996</v>
      </c>
      <c r="F115" s="849">
        <f>E115</f>
        <v>0.80079999999999996</v>
      </c>
      <c r="G115" s="849">
        <f>F115</f>
        <v>0.80079999999999996</v>
      </c>
      <c r="H115" s="849">
        <f>G115</f>
        <v>0.80079999999999996</v>
      </c>
      <c r="I115" s="849">
        <f>ROUND(0.689-0.0155*B113,4)</f>
        <v>0.6431</v>
      </c>
      <c r="J115" s="849">
        <f t="shared" ref="J115:M118" si="33">I115</f>
        <v>0.6431</v>
      </c>
      <c r="K115" s="849">
        <f t="shared" si="33"/>
        <v>0.6431</v>
      </c>
      <c r="L115" s="849">
        <f t="shared" si="33"/>
        <v>0.6431</v>
      </c>
      <c r="M115" s="850">
        <f t="shared" si="33"/>
        <v>0.6431</v>
      </c>
    </row>
    <row r="116" spans="1:13">
      <c r="A116" s="848" t="s">
        <v>2700</v>
      </c>
      <c r="B116" s="849">
        <f>ROUND(0.949-0.012*B113,4)</f>
        <v>0.91349999999999998</v>
      </c>
      <c r="C116" s="849">
        <f>B116</f>
        <v>0.91349999999999998</v>
      </c>
      <c r="D116" s="849">
        <f>ROUND(0.8567-0.013*B113,4)</f>
        <v>0.81820000000000004</v>
      </c>
      <c r="E116" s="849">
        <f t="shared" ref="E116:H117" si="34">D116</f>
        <v>0.81820000000000004</v>
      </c>
      <c r="F116" s="849">
        <f t="shared" si="34"/>
        <v>0.81820000000000004</v>
      </c>
      <c r="G116" s="849">
        <f t="shared" si="34"/>
        <v>0.81820000000000004</v>
      </c>
      <c r="H116" s="849">
        <f t="shared" si="34"/>
        <v>0.81820000000000004</v>
      </c>
      <c r="I116" s="849">
        <f>ROUND(0.7694-0.014*B113,4)</f>
        <v>0.72799999999999998</v>
      </c>
      <c r="J116" s="849">
        <f t="shared" si="33"/>
        <v>0.72799999999999998</v>
      </c>
      <c r="K116" s="849">
        <f t="shared" si="33"/>
        <v>0.72799999999999998</v>
      </c>
      <c r="L116" s="849">
        <f t="shared" si="33"/>
        <v>0.72799999999999998</v>
      </c>
      <c r="M116" s="850">
        <f t="shared" si="33"/>
        <v>0.72799999999999998</v>
      </c>
    </row>
    <row r="117" spans="1:13">
      <c r="A117" s="848" t="s">
        <v>2701</v>
      </c>
      <c r="B117" s="849">
        <f>ROUND(0.8808-0.006*B113,4)</f>
        <v>0.86299999999999999</v>
      </c>
      <c r="C117" s="849">
        <f>B117</f>
        <v>0.86299999999999999</v>
      </c>
      <c r="D117" s="849">
        <f>ROUND(0.8748-0.008*B113,4)</f>
        <v>0.85109999999999997</v>
      </c>
      <c r="E117" s="849">
        <f t="shared" si="34"/>
        <v>0.85109999999999997</v>
      </c>
      <c r="F117" s="849">
        <f t="shared" si="34"/>
        <v>0.85109999999999997</v>
      </c>
      <c r="G117" s="849">
        <f t="shared" si="34"/>
        <v>0.85109999999999997</v>
      </c>
      <c r="H117" s="849">
        <f t="shared" si="34"/>
        <v>0.85109999999999997</v>
      </c>
      <c r="I117" s="849">
        <f>ROUND(0.7412-0.0095*B113,4)</f>
        <v>0.71309999999999996</v>
      </c>
      <c r="J117" s="849">
        <f t="shared" si="33"/>
        <v>0.71309999999999996</v>
      </c>
      <c r="K117" s="849">
        <f t="shared" si="33"/>
        <v>0.71309999999999996</v>
      </c>
      <c r="L117" s="849">
        <f t="shared" si="33"/>
        <v>0.71309999999999996</v>
      </c>
      <c r="M117" s="850">
        <f t="shared" si="33"/>
        <v>0.71309999999999996</v>
      </c>
    </row>
    <row r="118" spans="1:13" ht="13.5" thickBot="1">
      <c r="A118" s="670" t="s">
        <v>2702</v>
      </c>
      <c r="B118" s="851">
        <f>ROUND(0.7275-0.01*B113,4)</f>
        <v>0.69789999999999996</v>
      </c>
      <c r="C118" s="851">
        <f>B118</f>
        <v>0.69789999999999996</v>
      </c>
      <c r="D118" s="851">
        <f>ROUND(0.7043-0.012*B113,4)</f>
        <v>0.66879999999999995</v>
      </c>
      <c r="E118" s="851">
        <f>D118</f>
        <v>0.66879999999999995</v>
      </c>
      <c r="F118" s="851">
        <f>E118</f>
        <v>0.66879999999999995</v>
      </c>
      <c r="G118" s="851">
        <f>ROUND(0.6299-0.0122*B113,4)</f>
        <v>0.59379999999999999</v>
      </c>
      <c r="H118" s="851">
        <f>G118</f>
        <v>0.59379999999999999</v>
      </c>
      <c r="I118" s="851">
        <f>ROUND(0.5667-0.0136*B113,4)</f>
        <v>0.52639999999999998</v>
      </c>
      <c r="J118" s="851">
        <f t="shared" si="33"/>
        <v>0.52639999999999998</v>
      </c>
      <c r="K118" s="851">
        <f t="shared" si="33"/>
        <v>0.52639999999999998</v>
      </c>
      <c r="L118" s="851">
        <f t="shared" si="33"/>
        <v>0.52639999999999998</v>
      </c>
      <c r="M118" s="852">
        <f t="shared" si="33"/>
        <v>0.52639999999999998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70</v>
      </c>
      <c r="E1" s="1549" t="s">
        <v>1352</v>
      </c>
      <c r="F1" s="1193">
        <f ca="1">J53</f>
        <v>27.02</v>
      </c>
      <c r="G1" s="1564">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60224</v>
      </c>
      <c r="C2" s="1573" t="s">
        <v>1481</v>
      </c>
      <c r="D2" s="1573"/>
      <c r="E2" s="1574"/>
      <c r="F2" s="1575"/>
      <c r="G2" s="2935"/>
      <c r="H2" s="2924"/>
      <c r="I2" s="2924"/>
      <c r="J2" s="2924"/>
      <c r="K2" s="2925"/>
      <c r="L2" s="2924"/>
      <c r="M2" s="2924"/>
    </row>
    <row r="3" spans="1:37" ht="18" customHeight="1" thickBot="1">
      <c r="A3" s="1576" t="s">
        <v>1482</v>
      </c>
      <c r="B3" s="1577">
        <f ca="1">IF(ISERROR(B2*10000/F43),0,ROUND(B2*10000/F43,0))</f>
        <v>32408</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4278</v>
      </c>
      <c r="D5" s="1550" t="s">
        <v>1367</v>
      </c>
      <c r="E5" s="1203"/>
      <c r="F5" s="1204"/>
      <c r="G5" s="1570"/>
      <c r="H5" s="305">
        <v>1</v>
      </c>
      <c r="I5" s="306" t="s">
        <v>1366</v>
      </c>
      <c r="J5" s="1202">
        <f ca="1">J6+J10+J12</f>
        <v>0</v>
      </c>
      <c r="K5" s="1550" t="s">
        <v>1367</v>
      </c>
      <c r="L5" s="1203"/>
      <c r="M5" s="1204"/>
    </row>
    <row r="6" spans="1:37" ht="18" customHeight="1">
      <c r="A6" s="1201" t="s">
        <v>1003</v>
      </c>
      <c r="B6" s="3299" t="s">
        <v>1368</v>
      </c>
      <c r="C6" s="1206">
        <f ca="1">ROUND(F6*F8*F7*(1-F9)/10000,0)</f>
        <v>4273</v>
      </c>
      <c r="D6" s="160" t="s">
        <v>2849</v>
      </c>
      <c r="E6" s="308" t="s">
        <v>1370</v>
      </c>
      <c r="F6" s="309">
        <f ca="1">INDIRECT("'数据-取费表'!u"&amp;$G$1)</f>
        <v>7</v>
      </c>
      <c r="G6" s="1570"/>
      <c r="H6" s="1201" t="s">
        <v>1003</v>
      </c>
      <c r="I6" s="3299" t="s">
        <v>1368</v>
      </c>
      <c r="J6" s="307">
        <f ca="1">ROUND(M6*M8*M7*(1-M9)/10000,0)</f>
        <v>0</v>
      </c>
      <c r="K6" s="160" t="s">
        <v>2848</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18583.03</v>
      </c>
      <c r="G7" s="1570"/>
      <c r="H7" s="310"/>
      <c r="I7" s="3300"/>
      <c r="J7" s="312"/>
      <c r="K7" s="313"/>
      <c r="L7" s="308" t="s">
        <v>1371</v>
      </c>
      <c r="M7" s="309">
        <f ca="1">F7</f>
        <v>18583.03</v>
      </c>
    </row>
    <row r="8" spans="1:37" ht="18" customHeight="1">
      <c r="A8" s="310"/>
      <c r="B8" s="3300"/>
      <c r="C8" s="312"/>
      <c r="D8" s="313"/>
      <c r="E8" s="308" t="s">
        <v>1372</v>
      </c>
      <c r="F8" s="309">
        <f ca="1">INDIRECT("'数据-取费表'!ai"&amp;$G$1)</f>
        <v>365</v>
      </c>
      <c r="G8" s="1570"/>
      <c r="H8" s="310"/>
      <c r="I8" s="3300"/>
      <c r="J8" s="312"/>
      <c r="K8" s="313"/>
      <c r="L8" s="308" t="s">
        <v>1372</v>
      </c>
      <c r="M8" s="309">
        <f ca="1">INDIRECT("'数据-取费表'!ai"&amp;$G$1)</f>
        <v>365</v>
      </c>
    </row>
    <row r="9" spans="1:37" ht="18" customHeight="1">
      <c r="A9" s="310"/>
      <c r="B9" s="3301"/>
      <c r="C9" s="312"/>
      <c r="D9" s="313"/>
      <c r="E9" s="308" t="s">
        <v>1373</v>
      </c>
      <c r="F9" s="318">
        <f ca="1">INDIRECT("'数据-取费表'!w"&amp;$G$1)</f>
        <v>0.1</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5</v>
      </c>
      <c r="D10" s="1552" t="s">
        <v>2857</v>
      </c>
      <c r="E10" s="319" t="s">
        <v>1375</v>
      </c>
      <c r="F10" s="1276" t="s">
        <v>3082</v>
      </c>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7838</v>
      </c>
      <c r="D13" s="1241" t="s">
        <v>1380</v>
      </c>
      <c r="E13" s="1241" t="s">
        <v>1381</v>
      </c>
      <c r="F13" s="1242">
        <f ca="1">INDIRECT("'数据-取费表'!y"&amp;$G$1)</f>
        <v>0.8</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6504</v>
      </c>
      <c r="D14" s="1531" t="s">
        <v>1383</v>
      </c>
      <c r="E14" s="1528"/>
      <c r="F14" s="325"/>
      <c r="G14" s="1570"/>
      <c r="H14" s="1113" t="s">
        <v>1003</v>
      </c>
      <c r="I14" s="308" t="s">
        <v>1384</v>
      </c>
      <c r="J14" s="24">
        <f ca="1">C29</f>
        <v>9797</v>
      </c>
      <c r="K14" s="15"/>
      <c r="L14" s="916"/>
      <c r="M14" s="917"/>
    </row>
    <row r="15" spans="1:37" s="1583" customFormat="1" ht="18" customHeight="1" thickBot="1">
      <c r="A15" s="1113" t="s">
        <v>1004</v>
      </c>
      <c r="B15" s="308" t="s">
        <v>1385</v>
      </c>
      <c r="C15" s="24">
        <f ca="1">ROUND(C14*F15,0)</f>
        <v>195</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244</v>
      </c>
      <c r="K16" s="1247" t="s">
        <v>1390</v>
      </c>
      <c r="L16" s="1248"/>
      <c r="M16" s="1204"/>
    </row>
    <row r="17" spans="1:37" s="1583" customFormat="1" ht="18" customHeight="1">
      <c r="A17" s="1113" t="s">
        <v>1355</v>
      </c>
      <c r="B17" s="308" t="s">
        <v>1391</v>
      </c>
      <c r="C17" s="24">
        <f ca="1">ROUND(F17*(F43+INDIRECT("'数据-取费表'!S"&amp;$G$1))/10000,0)</f>
        <v>372</v>
      </c>
      <c r="D17" s="308" t="s">
        <v>1392</v>
      </c>
      <c r="E17" s="308" t="s">
        <v>1393</v>
      </c>
      <c r="F17" s="26">
        <f>'数据-取费表'!B35</f>
        <v>200</v>
      </c>
      <c r="G17" s="1582"/>
      <c r="H17" s="1113" t="s">
        <v>1003</v>
      </c>
      <c r="I17" s="308" t="s">
        <v>1394</v>
      </c>
      <c r="J17" s="2535">
        <f ca="1">ROUND(IF(AND(项目基本情况!B11="自然人",项目基本情况!B10="北京市"),J6*M17/(1+'数据-取费表'!C42),J18+J19+J20),0)</f>
        <v>97</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98</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7169</v>
      </c>
      <c r="D19" s="136" t="s">
        <v>1401</v>
      </c>
      <c r="E19" s="1546"/>
      <c r="F19" s="26"/>
      <c r="G19" s="1570"/>
      <c r="H19" s="1113" t="s">
        <v>1004</v>
      </c>
      <c r="I19" s="308" t="s">
        <v>1402</v>
      </c>
      <c r="J19" s="24">
        <f ca="1">IF(K19="按租金收入计税",ROUND(J6*M19/(1+'数据-取费表'!C42),2),ROUND(C29*M19*0.7,2))</f>
        <v>82.29</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143</v>
      </c>
      <c r="D20" s="329" t="s">
        <v>1405</v>
      </c>
      <c r="E20" s="308" t="s">
        <v>1387</v>
      </c>
      <c r="F20" s="328">
        <f>'数据-取费表'!B37</f>
        <v>0.02</v>
      </c>
      <c r="G20" s="1582"/>
      <c r="H20" s="1113" t="s">
        <v>1354</v>
      </c>
      <c r="I20" s="160" t="s">
        <v>1406</v>
      </c>
      <c r="J20" s="25">
        <f ca="1">ROUND(M20*M21/10000,2)</f>
        <v>15.08</v>
      </c>
      <c r="K20" s="330" t="s">
        <v>1407</v>
      </c>
      <c r="L20" s="308" t="s">
        <v>1408</v>
      </c>
      <c r="M20" s="331">
        <f>'数据-取费表'!B52</f>
        <v>24</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6283.43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147</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259</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-244</v>
      </c>
      <c r="K25" s="1255" t="s">
        <v>1429</v>
      </c>
      <c r="L25" s="1256"/>
      <c r="M25" s="1257"/>
    </row>
    <row r="26" spans="1:37">
      <c r="A26" s="1113" t="s">
        <v>1002</v>
      </c>
      <c r="B26" s="308" t="s">
        <v>1430</v>
      </c>
      <c r="C26" s="24">
        <f ca="1">ROUND((C19+C20)*F26,0)</f>
        <v>1462</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4.0000000000000001E-3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9797</v>
      </c>
      <c r="D29" s="1252"/>
      <c r="E29" s="1250"/>
      <c r="F29" s="1253"/>
      <c r="G29" s="1582"/>
      <c r="H29" s="340" t="s">
        <v>1001</v>
      </c>
      <c r="I29" s="341" t="s">
        <v>1444</v>
      </c>
      <c r="J29" s="342">
        <f ca="1">ROUND(J26/(1+F40)^F41,0)</f>
        <v>0</v>
      </c>
      <c r="K29" s="343" t="s">
        <v>1445</v>
      </c>
      <c r="L29" s="344"/>
      <c r="M29" s="345">
        <f ca="1">INDIRECT("'数据-取费表'!k"&amp;$G$1)</f>
        <v>18583.03</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954</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731</v>
      </c>
      <c r="D31" s="1531" t="s">
        <v>1395</v>
      </c>
      <c r="E31" s="1530" t="s">
        <v>1446</v>
      </c>
      <c r="F31" s="2534" t="str">
        <f>IF(项目基本情况!B11="企业","——",IF('数据-取费表'!B10="住宅",IF(F6*F7*F8/12/(1+'数据-取费表'!F30)&gt;100000,4%,2.5%),IF(F6*F7*F8/12/(1+'数据-取费表'!F30)&gt;100000,12%,7%)))</f>
        <v>——</v>
      </c>
      <c r="G31" s="1570"/>
      <c r="H31" s="3039" t="s">
        <v>3057</v>
      </c>
      <c r="I31" s="1584"/>
      <c r="J31" s="1585"/>
      <c r="K31" s="2701"/>
      <c r="L31" s="2927"/>
      <c r="M31" s="2928"/>
    </row>
    <row r="32" spans="1:37" ht="18" customHeight="1">
      <c r="A32" s="1113" t="s">
        <v>1002</v>
      </c>
      <c r="B32" s="308" t="s">
        <v>1398</v>
      </c>
      <c r="C32" s="24">
        <f ca="1">IF(项目基本情况!B11="自然人","——",ROUND(C6*F32/(1+'数据-取费表'!C42),2))</f>
        <v>227.89</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488.34</v>
      </c>
      <c r="D33" s="1556" t="s">
        <v>3083</v>
      </c>
      <c r="E33" s="308" t="s">
        <v>1387</v>
      </c>
      <c r="F33" s="328">
        <f>IF(D33="按票据","——",IF(D33="按租金收入计税",'数据-取费表'!B51,'数据-取费表'!B50))</f>
        <v>0.12</v>
      </c>
      <c r="G33" s="1570"/>
      <c r="H33" s="2929"/>
      <c r="I33" s="1584"/>
      <c r="J33" s="1585"/>
      <c r="K33" s="2930"/>
      <c r="L33" s="2929"/>
      <c r="M33" s="2929"/>
    </row>
    <row r="34" spans="1:18" ht="18" customHeight="1">
      <c r="A34" s="1201" t="s">
        <v>1354</v>
      </c>
      <c r="B34" s="160" t="s">
        <v>1406</v>
      </c>
      <c r="C34" s="25">
        <f ca="1">IF(项目基本情况!B11="自然人","——",ROUND(F34*F35/10000,2))</f>
        <v>15.08</v>
      </c>
      <c r="D34" s="330" t="s">
        <v>1407</v>
      </c>
      <c r="E34" s="308" t="s">
        <v>1408</v>
      </c>
      <c r="F34" s="331">
        <f>'数据-取费表'!B52</f>
        <v>24</v>
      </c>
      <c r="G34" s="1570"/>
      <c r="H34" s="2926"/>
      <c r="I34" s="1584"/>
      <c r="J34" s="1585"/>
      <c r="K34" s="2931"/>
      <c r="L34" s="2932"/>
      <c r="M34" s="2932"/>
    </row>
    <row r="35" spans="1:18" ht="18" customHeight="1">
      <c r="A35" s="1263"/>
      <c r="B35" s="1261"/>
      <c r="C35" s="29"/>
      <c r="D35" s="333"/>
      <c r="E35" s="308" t="s">
        <v>1412</v>
      </c>
      <c r="F35" s="309">
        <f ca="1">INDIRECT("'数据-取费表'!r"&amp;$G$1)</f>
        <v>6283.43</v>
      </c>
      <c r="G35" s="1570"/>
      <c r="H35" s="2926"/>
      <c r="I35" s="1584"/>
      <c r="J35" s="1585"/>
      <c r="K35" s="2930"/>
      <c r="L35" s="2929"/>
      <c r="M35" s="2929"/>
    </row>
    <row r="36" spans="1:18" ht="18" customHeight="1">
      <c r="A36" s="1262" t="s">
        <v>1007</v>
      </c>
      <c r="B36" s="308" t="s">
        <v>1414</v>
      </c>
      <c r="C36" s="24">
        <f ca="1">ROUND(C29*F36,1)</f>
        <v>147</v>
      </c>
      <c r="D36" s="1530" t="s">
        <v>1447</v>
      </c>
      <c r="E36" s="308" t="s">
        <v>1387</v>
      </c>
      <c r="F36" s="334">
        <f ca="1">INDIRECT("'数据-取费表'!Ak"&amp;$G$1)</f>
        <v>1.4999999999999999E-2</v>
      </c>
      <c r="G36" s="1570"/>
      <c r="H36" s="2929"/>
      <c r="I36" s="1584"/>
      <c r="J36" s="1585"/>
      <c r="K36" s="2770"/>
      <c r="L36" s="2929"/>
      <c r="M36" s="2929"/>
    </row>
    <row r="37" spans="1:18" ht="18" customHeight="1">
      <c r="A37" s="1113" t="s">
        <v>1043</v>
      </c>
      <c r="B37" s="308" t="s">
        <v>1418</v>
      </c>
      <c r="C37" s="24">
        <f ca="1">ROUND(C13*F37,1)</f>
        <v>11.8</v>
      </c>
      <c r="D37" s="1530" t="s">
        <v>1419</v>
      </c>
      <c r="E37" s="308" t="s">
        <v>1420</v>
      </c>
      <c r="F37" s="336">
        <f ca="1">INDIRECT("'数据-取费表'!Al"&amp;$G$1)</f>
        <v>1.5E-3</v>
      </c>
      <c r="G37" s="1570"/>
      <c r="H37" s="2929"/>
      <c r="I37" s="1584"/>
      <c r="J37" s="1585"/>
      <c r="K37" s="2770"/>
      <c r="L37" s="2929"/>
      <c r="M37" s="2929"/>
    </row>
    <row r="38" spans="1:18" ht="18" customHeight="1" thickBot="1">
      <c r="A38" s="1249" t="s">
        <v>1358</v>
      </c>
      <c r="B38" s="1250" t="s">
        <v>1404</v>
      </c>
      <c r="C38" s="1251">
        <f ca="1">ROUND(C5*F38,1)</f>
        <v>64.2</v>
      </c>
      <c r="D38" s="1252" t="s">
        <v>1424</v>
      </c>
      <c r="E38" s="1250" t="s">
        <v>1420</v>
      </c>
      <c r="F38" s="1246">
        <f ca="1">INDIRECT("'数据-取费表'!Am"&amp;$G$1)</f>
        <v>1.4999999999999999E-2</v>
      </c>
      <c r="G38" s="1570"/>
      <c r="H38" s="2929"/>
      <c r="I38" s="1584"/>
      <c r="J38" s="1585"/>
      <c r="K38" s="2933"/>
      <c r="L38" s="2929"/>
      <c r="M38" s="2929"/>
    </row>
    <row r="39" spans="1:18" ht="24.6" customHeight="1" thickTop="1">
      <c r="A39" s="1239" t="s">
        <v>999</v>
      </c>
      <c r="B39" s="1254" t="s">
        <v>1448</v>
      </c>
      <c r="C39" s="316">
        <f ca="1">C5-C30</f>
        <v>3324</v>
      </c>
      <c r="D39" s="1255" t="s">
        <v>1449</v>
      </c>
      <c r="E39" s="1256"/>
      <c r="F39" s="1257"/>
      <c r="G39" s="1570"/>
      <c r="H39" s="2929"/>
      <c r="I39" s="1584"/>
      <c r="J39" s="1585"/>
      <c r="K39" s="2933"/>
      <c r="L39" s="2929"/>
      <c r="M39" s="2929"/>
    </row>
    <row r="40" spans="1:18" ht="18" customHeight="1">
      <c r="A40" s="305" t="s">
        <v>1000</v>
      </c>
      <c r="B40" s="306" t="s">
        <v>1450</v>
      </c>
      <c r="C40" s="307">
        <f ca="1">ROUND(C39*(1-((1+F42)/(1+F40))^F41)/(F40-F42),0)</f>
        <v>59792</v>
      </c>
      <c r="D40" s="330" t="s">
        <v>1434</v>
      </c>
      <c r="E40" s="308" t="s">
        <v>1435</v>
      </c>
      <c r="F40" s="318">
        <f ca="1">INDIRECT("'数据-取费表'!I"&amp;$G$1)</f>
        <v>0.06</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27.02</v>
      </c>
      <c r="G41" s="1570"/>
      <c r="H41" s="1353"/>
      <c r="I41" s="1584"/>
      <c r="J41" s="1585"/>
      <c r="K41" s="2770"/>
      <c r="L41" s="1353"/>
      <c r="M41" s="1353"/>
    </row>
    <row r="42" spans="1:18" ht="18" customHeight="1">
      <c r="A42" s="314"/>
      <c r="B42" s="315"/>
      <c r="C42" s="316"/>
      <c r="D42" s="333"/>
      <c r="E42" s="308" t="s">
        <v>1442</v>
      </c>
      <c r="F42" s="318">
        <f ca="1">INDIRECT("'数据-取费表'!v"&amp;$G$1)</f>
        <v>0.03</v>
      </c>
      <c r="G42" s="1570"/>
      <c r="H42" s="1353"/>
      <c r="I42" s="1584"/>
      <c r="J42" s="1585"/>
      <c r="K42" s="2770"/>
      <c r="L42" s="1353"/>
      <c r="M42" s="1353"/>
    </row>
    <row r="43" spans="1:18" ht="18" customHeight="1" thickBot="1">
      <c r="A43" s="340" t="s">
        <v>1001</v>
      </c>
      <c r="B43" s="341" t="s">
        <v>1452</v>
      </c>
      <c r="C43" s="342">
        <f ca="1">ROUND(C40*10000/F43,0)</f>
        <v>32176</v>
      </c>
      <c r="D43" s="343" t="s">
        <v>1453</v>
      </c>
      <c r="E43" s="344" t="s">
        <v>1454</v>
      </c>
      <c r="F43" s="345">
        <f ca="1">INDIRECT("'数据-取费表'!k"&amp;$G$1)</f>
        <v>18583.03</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f ca="1">C68-C40</f>
        <v>-72967</v>
      </c>
      <c r="D46" s="1592" t="str">
        <f>C2</f>
        <v>万元</v>
      </c>
      <c r="E46" s="1586"/>
      <c r="F46" s="1586"/>
      <c r="I46" s="1593" t="s">
        <v>1486</v>
      </c>
      <c r="J46" s="1594"/>
      <c r="K46" s="1595"/>
      <c r="L46" s="1596">
        <f ca="1">IF(M47="住宅",0,IF(L48&gt;J51,L60,J60))</f>
        <v>432</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3084</v>
      </c>
      <c r="K47" s="1602" t="s">
        <v>1492</v>
      </c>
      <c r="L47" s="1603">
        <f ca="1">INDIRECT("'数据-取费表'!d"&amp;$G$1)</f>
        <v>40</v>
      </c>
      <c r="M47" s="1566" t="str">
        <f>IF(ISNUMBER(FIND("住宅",C1)),"住宅","非住宅")</f>
        <v>非住宅</v>
      </c>
      <c r="O47" s="1604" t="s">
        <v>1008</v>
      </c>
      <c r="P47" s="1605" t="s">
        <v>1493</v>
      </c>
      <c r="Q47" s="1606">
        <f ca="1">C40+J29</f>
        <v>59792</v>
      </c>
      <c r="R47" s="1606" t="s">
        <v>1494</v>
      </c>
    </row>
    <row r="48" spans="1:18" s="1570" customFormat="1" ht="28.5" thickBot="1">
      <c r="A48" s="1270" t="s">
        <v>1103</v>
      </c>
      <c r="B48" s="306" t="s">
        <v>1366</v>
      </c>
      <c r="C48" s="1545">
        <f ca="1">C49+C53+C55</f>
        <v>0</v>
      </c>
      <c r="D48" s="1272"/>
      <c r="E48" s="1273"/>
      <c r="F48" s="1093"/>
      <c r="G48" s="731"/>
      <c r="H48" s="732"/>
      <c r="I48" s="1607" t="s">
        <v>1495</v>
      </c>
      <c r="J48" s="1608" t="s">
        <v>3085</v>
      </c>
      <c r="K48" s="1609" t="s">
        <v>1496</v>
      </c>
      <c r="L48" s="1610">
        <f ca="1">INDIRECT("'数据-取费表'!f"&amp;$G$1)</f>
        <v>27.02</v>
      </c>
      <c r="O48" s="1604" t="s">
        <v>1009</v>
      </c>
      <c r="P48" s="1605" t="s">
        <v>1497</v>
      </c>
      <c r="Q48" s="1606">
        <f ca="1">J60</f>
        <v>432</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v>2000</v>
      </c>
      <c r="K49" s="1609" t="s">
        <v>1500</v>
      </c>
      <c r="L49" s="1613"/>
      <c r="O49" s="1614" t="s">
        <v>1010</v>
      </c>
      <c r="P49" s="1605" t="s">
        <v>1501</v>
      </c>
      <c r="Q49" s="1606">
        <f ca="1">C29</f>
        <v>9797</v>
      </c>
      <c r="R49" s="1606" t="s">
        <v>1494</v>
      </c>
    </row>
    <row r="50" spans="1:18" s="1570" customFormat="1" ht="13.5" thickBot="1">
      <c r="A50" s="1107"/>
      <c r="B50" s="1110"/>
      <c r="C50" s="1278"/>
      <c r="D50" s="1084"/>
      <c r="E50" s="1187" t="s">
        <v>1371</v>
      </c>
      <c r="F50" s="1188">
        <f ca="1">F7</f>
        <v>18583.03</v>
      </c>
      <c r="H50" s="732"/>
      <c r="I50" s="1607" t="s">
        <v>1502</v>
      </c>
      <c r="J50" s="1615">
        <f>SUMPRODUCT((I63:I65=J47)*(J62:L62=J48)*(J63:L65))</f>
        <v>60</v>
      </c>
      <c r="K50" s="1609" t="s">
        <v>1503</v>
      </c>
      <c r="L50" s="1613"/>
      <c r="M50" s="1616"/>
      <c r="O50" s="1614" t="s">
        <v>1011</v>
      </c>
      <c r="P50" s="1605" t="s">
        <v>1504</v>
      </c>
      <c r="Q50" s="1617">
        <f ca="1">J58</f>
        <v>0.4</v>
      </c>
      <c r="R50" s="1606"/>
    </row>
    <row r="51" spans="1:18" s="1570" customFormat="1" ht="13.5" thickBot="1">
      <c r="A51" s="1108"/>
      <c r="B51" s="1110"/>
      <c r="C51" s="1111"/>
      <c r="D51" s="1084"/>
      <c r="E51" s="1112" t="s">
        <v>1372</v>
      </c>
      <c r="F51" s="309">
        <f ca="1">F8</f>
        <v>365</v>
      </c>
      <c r="I51" s="1618" t="s">
        <v>1505</v>
      </c>
      <c r="J51" s="1619">
        <f>IF(J49="",J50,J49+J50-YEAR('数据-取费表'!B2))</f>
        <v>40</v>
      </c>
      <c r="K51" s="1620" t="s">
        <v>1506</v>
      </c>
      <c r="L51" s="1621">
        <f ca="1">ROUND(-PV(INDIRECT("'数据-取费表'!h"&amp;$G$1),J51,(C39-C13*C76),0),0)</f>
        <v>43850</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27.02</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27.02</v>
      </c>
      <c r="K53" s="3297" t="s">
        <v>1513</v>
      </c>
      <c r="L53" s="3298"/>
      <c r="O53" s="1604" t="s">
        <v>1014</v>
      </c>
      <c r="P53" s="1605" t="s">
        <v>1514</v>
      </c>
      <c r="Q53" s="1606">
        <f ca="1">Q47+Q48</f>
        <v>60224</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0.216</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7838</v>
      </c>
      <c r="D56" s="1633"/>
      <c r="E56" s="1634"/>
      <c r="F56" s="1626"/>
      <c r="I56" s="1635" t="s">
        <v>1519</v>
      </c>
      <c r="J56" s="1636" t="s">
        <v>3086</v>
      </c>
      <c r="K56" s="1607" t="s">
        <v>1520</v>
      </c>
      <c r="L56" s="1610" t="str">
        <f ca="1">IF(L48&lt;J51,"——",L48-J53)</f>
        <v>——</v>
      </c>
      <c r="O56" s="1604" t="s">
        <v>1008</v>
      </c>
      <c r="P56" s="1605" t="s">
        <v>1493</v>
      </c>
      <c r="Q56" s="1606">
        <f ca="1">C40+J29</f>
        <v>59792</v>
      </c>
      <c r="R56" s="1606" t="s">
        <v>1494</v>
      </c>
    </row>
    <row r="57" spans="1:18" s="1570" customFormat="1" ht="24.75" thickBot="1">
      <c r="A57" s="1637"/>
      <c r="B57" s="1081" t="s">
        <v>1443</v>
      </c>
      <c r="C57" s="244">
        <f ca="1">C29</f>
        <v>9797</v>
      </c>
      <c r="D57" s="1638"/>
      <c r="E57" s="1639"/>
      <c r="F57" s="1640"/>
      <c r="I57" s="1641" t="s">
        <v>1521</v>
      </c>
      <c r="J57" s="1642">
        <f ca="1">IF(OR(M47="住宅",J51&lt;L48,J56="是"),"——",J51-L48)</f>
        <v>12.98</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997</v>
      </c>
      <c r="D58" s="1091" t="s">
        <v>1390</v>
      </c>
      <c r="E58" s="1092"/>
      <c r="F58" s="1093"/>
      <c r="I58" s="1641" t="s">
        <v>1525</v>
      </c>
      <c r="J58" s="1643">
        <f ca="1">IF(J55&lt;0.4,0.4,J55)</f>
        <v>0.4</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838</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3919</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432</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822.95</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15.08</v>
      </c>
      <c r="D62" s="1096" t="s">
        <v>1462</v>
      </c>
      <c r="E62" s="1081" t="s">
        <v>1463</v>
      </c>
      <c r="F62" s="331">
        <f t="shared" si="0"/>
        <v>24</v>
      </c>
      <c r="I62" s="1648" t="s">
        <v>1535</v>
      </c>
      <c r="J62" s="1649" t="s">
        <v>1536</v>
      </c>
      <c r="K62" s="1649" t="s">
        <v>1537</v>
      </c>
      <c r="L62" s="1649" t="s">
        <v>1538</v>
      </c>
      <c r="M62" s="1650" t="s">
        <v>1539</v>
      </c>
      <c r="O62" s="1604" t="s">
        <v>1014</v>
      </c>
      <c r="P62" s="1605" t="s">
        <v>1540</v>
      </c>
      <c r="Q62" s="1606">
        <f ca="1">Q56+Q57</f>
        <v>59792</v>
      </c>
      <c r="R62" s="1606" t="s">
        <v>1015</v>
      </c>
    </row>
    <row r="63" spans="1:18" s="1570" customFormat="1" ht="13.5" thickBot="1">
      <c r="A63" s="332"/>
      <c r="B63" s="1087"/>
      <c r="C63" s="29"/>
      <c r="D63" s="1097"/>
      <c r="E63" s="1081" t="s">
        <v>1464</v>
      </c>
      <c r="F63" s="309">
        <f t="shared" ca="1" si="0"/>
        <v>6283.43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147</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11.8</v>
      </c>
      <c r="D65" s="1095" t="s">
        <v>1419</v>
      </c>
      <c r="E65" s="1081" t="s">
        <v>1420</v>
      </c>
      <c r="F65" s="336">
        <f t="shared" ca="1" si="0"/>
        <v>1.5E-3</v>
      </c>
      <c r="I65" s="1648" t="s">
        <v>1544</v>
      </c>
      <c r="J65" s="1649">
        <v>40</v>
      </c>
      <c r="K65" s="1649">
        <v>30</v>
      </c>
      <c r="L65" s="1649">
        <v>50</v>
      </c>
      <c r="M65" s="1651">
        <v>0.02</v>
      </c>
      <c r="O65" s="1604" t="s">
        <v>1008</v>
      </c>
      <c r="P65" s="1605" t="s">
        <v>1545</v>
      </c>
      <c r="Q65" s="1606">
        <f ca="1">C40+J29</f>
        <v>59792</v>
      </c>
      <c r="R65" s="1606" t="s">
        <v>1494</v>
      </c>
    </row>
    <row r="66" spans="1:18" s="1570" customFormat="1" ht="16.5"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-997</v>
      </c>
      <c r="D67" s="1094" t="s">
        <v>1429</v>
      </c>
      <c r="E67" s="1099"/>
      <c r="F67" s="1100"/>
      <c r="O67" s="1614" t="s">
        <v>1010</v>
      </c>
      <c r="P67" s="1605" t="s">
        <v>1527</v>
      </c>
      <c r="Q67" s="1652">
        <f ca="1">L51</f>
        <v>43850</v>
      </c>
      <c r="R67" s="1606" t="s">
        <v>1547</v>
      </c>
    </row>
    <row r="68" spans="1:18" s="1570" customFormat="1" ht="16.5" thickBot="1">
      <c r="A68" s="1078" t="s">
        <v>1000</v>
      </c>
      <c r="B68" s="1079" t="s">
        <v>1450</v>
      </c>
      <c r="C68" s="307">
        <f ca="1">ROUND(C67*(1-((1+F70)/(1+F68))^F69)/(F68-F70),0)</f>
        <v>-13175</v>
      </c>
      <c r="D68" s="1096" t="s">
        <v>1434</v>
      </c>
      <c r="E68" s="1081" t="s">
        <v>1435</v>
      </c>
      <c r="F68" s="318">
        <f ca="1">F40</f>
        <v>0.06</v>
      </c>
      <c r="O68" s="1614" t="s">
        <v>1011</v>
      </c>
      <c r="P68" s="1653" t="s">
        <v>1548</v>
      </c>
      <c r="Q68" s="1606">
        <f ca="1">ROUND(Q69-Q70*Q71,0)</f>
        <v>2697</v>
      </c>
      <c r="R68" s="1606" t="s">
        <v>1019</v>
      </c>
    </row>
    <row r="69" spans="1:18" s="1570" customFormat="1" ht="13.5" thickBot="1">
      <c r="A69" s="1082"/>
      <c r="B69" s="1083"/>
      <c r="C69" s="312"/>
      <c r="D69" s="1101" t="s">
        <v>1438</v>
      </c>
      <c r="E69" s="1081" t="s">
        <v>1439</v>
      </c>
      <c r="F69" s="339">
        <f ca="1">F41</f>
        <v>27.02</v>
      </c>
      <c r="O69" s="1614" t="s">
        <v>1016</v>
      </c>
      <c r="P69" s="1653" t="s">
        <v>1549</v>
      </c>
      <c r="Q69" s="1606">
        <f ca="1">C39</f>
        <v>3324</v>
      </c>
      <c r="R69" s="1606" t="s">
        <v>1494</v>
      </c>
    </row>
    <row r="70" spans="1:18" s="1570" customFormat="1" ht="13.5" thickBot="1">
      <c r="A70" s="1085"/>
      <c r="B70" s="1086"/>
      <c r="C70" s="316"/>
      <c r="D70" s="1097"/>
      <c r="E70" s="1081" t="s">
        <v>1442</v>
      </c>
      <c r="F70" s="1185"/>
      <c r="O70" s="1614" t="s">
        <v>1017</v>
      </c>
      <c r="P70" s="1653" t="s">
        <v>1550</v>
      </c>
      <c r="Q70" s="1606">
        <f ca="1">C13</f>
        <v>7838</v>
      </c>
      <c r="R70" s="1606" t="s">
        <v>1494</v>
      </c>
    </row>
    <row r="71" spans="1:18" s="1570" customFormat="1" ht="13.5" thickBot="1">
      <c r="A71" s="1102" t="s">
        <v>1001</v>
      </c>
      <c r="B71" s="1103" t="s">
        <v>1452</v>
      </c>
      <c r="C71" s="342">
        <f ca="1">ROUND(C68*10000/F71,0)</f>
        <v>-7090</v>
      </c>
      <c r="D71" s="1104" t="s">
        <v>1453</v>
      </c>
      <c r="E71" s="1105" t="s">
        <v>1454</v>
      </c>
      <c r="F71" s="345">
        <f ca="1">F43</f>
        <v>18583.03</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627</v>
      </c>
      <c r="D75" s="1570"/>
      <c r="E75" s="1570"/>
      <c r="F75" s="1570"/>
      <c r="K75" s="1588"/>
      <c r="L75" s="1570"/>
      <c r="O75" s="1604" t="s">
        <v>1014</v>
      </c>
      <c r="P75" s="1605" t="s">
        <v>1514</v>
      </c>
      <c r="Q75" s="1606">
        <f ca="1">Q65+Q66</f>
        <v>59792</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0.81099999999999994</v>
      </c>
    </row>
    <row r="80" spans="1:18">
      <c r="B80" s="346" t="s">
        <v>1476</v>
      </c>
      <c r="C80" s="280">
        <f ca="1">ROUND(C75/C39,3)</f>
        <v>0.189</v>
      </c>
    </row>
    <row r="81" spans="2:3">
      <c r="B81" s="276" t="s">
        <v>1477</v>
      </c>
      <c r="C81" s="244"/>
    </row>
    <row r="82" spans="2:3">
      <c r="B82" s="279" t="s">
        <v>1478</v>
      </c>
      <c r="C82" s="281">
        <f ca="1">1-C83</f>
        <v>0.86899999999999999</v>
      </c>
    </row>
    <row r="83" spans="2:3">
      <c r="B83" s="279" t="s">
        <v>1479</v>
      </c>
      <c r="C83" s="280">
        <f ca="1">ROUND(C13/C40,3)</f>
        <v>0.13100000000000001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c r="A3" s="1576" t="s">
        <v>1558</v>
      </c>
      <c r="B3" s="1577">
        <f ca="1">IF(ISERROR(D2/F43),0,ROUND(D2/F43,0))</f>
        <v>0</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99" t="s">
        <v>1368</v>
      </c>
      <c r="C6" s="1206">
        <f ca="1">ROUND(F6*F8*F7*(1-F9),0)</f>
        <v>0</v>
      </c>
      <c r="D6" s="160" t="s">
        <v>2846</v>
      </c>
      <c r="E6" s="308" t="s">
        <v>1370</v>
      </c>
      <c r="F6" s="309">
        <f ca="1">INDIRECT("'数据-取费表'!u"&amp;$G$1)</f>
        <v>0</v>
      </c>
      <c r="G6" s="1570"/>
      <c r="H6" s="1201" t="s">
        <v>1003</v>
      </c>
      <c r="I6" s="3299" t="s">
        <v>1368</v>
      </c>
      <c r="J6" s="307">
        <f ca="1">ROUND(M6*M8*M7*(1-M9),0)</f>
        <v>0</v>
      </c>
      <c r="K6" s="1562" t="s">
        <v>2847</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0</v>
      </c>
      <c r="G7" s="1570"/>
      <c r="H7" s="310"/>
      <c r="I7" s="3300"/>
      <c r="J7" s="312"/>
      <c r="K7" s="313"/>
      <c r="L7" s="308" t="s">
        <v>1371</v>
      </c>
      <c r="M7" s="309">
        <f ca="1">F7</f>
        <v>0</v>
      </c>
    </row>
    <row r="8" spans="1:37" ht="18" customHeight="1">
      <c r="A8" s="310"/>
      <c r="B8" s="3300"/>
      <c r="C8" s="312"/>
      <c r="D8" s="313"/>
      <c r="E8" s="308" t="s">
        <v>1372</v>
      </c>
      <c r="F8" s="309">
        <f ca="1">INDIRECT("'数据-取费表'!ai"&amp;$G$1)</f>
        <v>12</v>
      </c>
      <c r="G8" s="1570"/>
      <c r="H8" s="310"/>
      <c r="I8" s="3300"/>
      <c r="J8" s="312"/>
      <c r="K8" s="313"/>
      <c r="L8" s="308" t="s">
        <v>1372</v>
      </c>
      <c r="M8" s="309">
        <f ca="1">INDIRECT("'数据-取费表'!ai"&amp;$G$1)</f>
        <v>12</v>
      </c>
    </row>
    <row r="9" spans="1:37" ht="18" customHeight="1">
      <c r="A9" s="310"/>
      <c r="B9" s="3301"/>
      <c r="C9" s="312"/>
      <c r="D9" s="313"/>
      <c r="E9" s="308" t="s">
        <v>1373</v>
      </c>
      <c r="F9" s="318">
        <f ca="1">INDIRECT("'数据-取费表'!w"&amp;$G$1)</f>
        <v>0</v>
      </c>
      <c r="G9" s="1570"/>
      <c r="H9" s="310"/>
      <c r="I9" s="330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24</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39" t="s">
        <v>3057</v>
      </c>
      <c r="I31" s="1584"/>
      <c r="J31" s="1585"/>
      <c r="K31" s="2701"/>
      <c r="L31" s="2927"/>
      <c r="M31" s="2928"/>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f>
        <v>0</v>
      </c>
      <c r="D34" s="330" t="s">
        <v>1407</v>
      </c>
      <c r="E34" s="308" t="s">
        <v>1408</v>
      </c>
      <c r="F34" s="331">
        <f>'数据-取费表'!B52</f>
        <v>24</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12</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0</v>
      </c>
      <c r="K53" s="3297" t="s">
        <v>1513</v>
      </c>
      <c r="L53" s="329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24</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6"/>
      <c r="G1" s="1676"/>
      <c r="H1" s="1676"/>
      <c r="I1" s="1676"/>
      <c r="J1" s="1676"/>
      <c r="K1" s="1676"/>
      <c r="L1" s="1676"/>
      <c r="M1" s="1676"/>
      <c r="N1" s="1676"/>
      <c r="O1" s="1676"/>
      <c r="P1" s="1676"/>
      <c r="Q1" s="1676"/>
      <c r="R1" s="1676"/>
      <c r="S1" s="1676"/>
    </row>
    <row r="2" spans="1:22" ht="15.75">
      <c r="A2" s="2058" t="s">
        <v>2149</v>
      </c>
      <c r="B2" s="2059">
        <f ca="1">SUMIF(B6:B13,"&lt;&gt;#ref!",B6:B13)</f>
        <v>60224</v>
      </c>
      <c r="C2" s="2060" t="s">
        <v>2341</v>
      </c>
      <c r="D2" s="2061" t="s">
        <v>2342</v>
      </c>
      <c r="E2" s="2833">
        <f>SUM(E6:E13)</f>
        <v>18583.03</v>
      </c>
      <c r="F2" s="2936"/>
      <c r="G2" s="1676"/>
      <c r="H2" s="1676"/>
      <c r="I2" s="1676"/>
      <c r="J2" s="1676"/>
      <c r="K2" s="1676"/>
      <c r="L2" s="1676"/>
      <c r="M2" s="1676"/>
      <c r="N2" s="1676"/>
      <c r="O2" s="1676"/>
      <c r="P2" s="1676"/>
      <c r="Q2" s="1676"/>
      <c r="R2" s="1676"/>
      <c r="S2" s="1676"/>
    </row>
    <row r="3" spans="1:22" ht="15.75">
      <c r="A3" s="2058" t="s">
        <v>1360</v>
      </c>
      <c r="B3" s="2827">
        <f ca="1">ROUND(B2*10000/E2,0)</f>
        <v>32408</v>
      </c>
      <c r="C3" s="2060" t="s">
        <v>2349</v>
      </c>
      <c r="D3" s="2938"/>
      <c r="E3" s="2940"/>
      <c r="F3" s="2936"/>
      <c r="G3" s="1676"/>
      <c r="H3" s="1676"/>
      <c r="I3" s="1676"/>
      <c r="J3" s="1676"/>
      <c r="K3" s="1676"/>
      <c r="L3" s="1676"/>
      <c r="M3" s="1676"/>
      <c r="N3" s="1676"/>
      <c r="O3" s="1676"/>
      <c r="P3" s="1676"/>
      <c r="Q3" s="1676"/>
      <c r="R3" s="1676"/>
      <c r="S3" s="1676"/>
    </row>
    <row r="4" spans="1:22" ht="15.75">
      <c r="A4" s="2941"/>
      <c r="B4" s="2938"/>
      <c r="C4" s="2938"/>
      <c r="D4" s="2938"/>
      <c r="E4" s="2940"/>
      <c r="F4" s="2936"/>
      <c r="G4" s="1676"/>
      <c r="H4" s="1676"/>
      <c r="I4" s="1676"/>
      <c r="J4" s="1676"/>
      <c r="K4" s="1676"/>
      <c r="L4" s="1676"/>
      <c r="M4" s="1676"/>
      <c r="N4" s="1676"/>
      <c r="O4" s="1676"/>
      <c r="P4" s="1676"/>
      <c r="Q4" s="1676"/>
      <c r="R4" s="1676"/>
      <c r="S4" s="1676"/>
    </row>
    <row r="5" spans="1:22" ht="15">
      <c r="A5" s="2829" t="s">
        <v>2343</v>
      </c>
      <c r="B5" s="3302" t="s">
        <v>2344</v>
      </c>
      <c r="C5" s="3303"/>
      <c r="D5" s="2937"/>
      <c r="E5" s="2062" t="s">
        <v>2345</v>
      </c>
      <c r="F5" s="2063" t="s">
        <v>2346</v>
      </c>
      <c r="G5" s="1676"/>
      <c r="H5" s="1676"/>
      <c r="I5" s="1676"/>
      <c r="J5" s="1676"/>
      <c r="K5" s="1676"/>
      <c r="L5" s="1676"/>
      <c r="M5" s="1676"/>
      <c r="N5" s="1676"/>
      <c r="O5" s="1676"/>
      <c r="P5" s="1676"/>
      <c r="Q5" s="1676"/>
      <c r="R5" s="1676"/>
      <c r="S5" s="1676"/>
    </row>
    <row r="6" spans="1:22">
      <c r="A6" s="2830" t="str">
        <f>'数据-取费表'!AN6</f>
        <v>收益法</v>
      </c>
      <c r="B6" s="2828">
        <f ca="1">IF(F6="是",'数据-取费表'!AO6,0)</f>
        <v>60224</v>
      </c>
      <c r="C6" s="2060" t="s">
        <v>2341</v>
      </c>
      <c r="D6" s="2938"/>
      <c r="E6" s="2832">
        <f>IF(OR(A6=0,F6="否"),0,'数据-取费表'!K6+'数据-取费表'!S6)</f>
        <v>18583.03</v>
      </c>
      <c r="F6" s="2064" t="s">
        <v>2347</v>
      </c>
      <c r="G6" s="1676"/>
      <c r="H6" s="1676"/>
      <c r="I6" s="1676"/>
      <c r="J6" s="1676"/>
      <c r="K6" s="1676"/>
      <c r="L6" s="1676"/>
      <c r="M6" s="1676"/>
      <c r="N6" s="1676"/>
      <c r="O6" s="1676"/>
      <c r="P6" s="1676"/>
      <c r="Q6" s="1676"/>
      <c r="R6" s="1676"/>
      <c r="S6" s="1676"/>
    </row>
    <row r="7" spans="1:22">
      <c r="A7" s="2830">
        <f>'数据-取费表'!AN7</f>
        <v>0</v>
      </c>
      <c r="B7" s="2828" t="e">
        <f ca="1">IF(F7="是",'数据-取费表'!AO7,0)</f>
        <v>#REF!</v>
      </c>
      <c r="C7" s="2060" t="s">
        <v>2341</v>
      </c>
      <c r="D7" s="2938"/>
      <c r="E7" s="2832">
        <f>IF(OR(A7=0,F7="否"),0,'数据-取费表'!K7+'数据-取费表'!S7)</f>
        <v>0</v>
      </c>
      <c r="F7" s="2064" t="s">
        <v>2347</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2341</v>
      </c>
      <c r="D8" s="2938"/>
      <c r="E8" s="2832">
        <f>IF(OR(A8=0,F8="否"),0,'数据-取费表'!K8+'数据-取费表'!S8)</f>
        <v>0</v>
      </c>
      <c r="F8" s="2064" t="s">
        <v>2347</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2341</v>
      </c>
      <c r="D9" s="2938"/>
      <c r="E9" s="2832">
        <f>IF(OR(A9=0,F9="否"),0,'数据-取费表'!K9+'数据-取费表'!S9)</f>
        <v>0</v>
      </c>
      <c r="F9" s="2064" t="s">
        <v>2347</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2341</v>
      </c>
      <c r="D10" s="2938"/>
      <c r="E10" s="2832">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2341</v>
      </c>
      <c r="D11" s="2938"/>
      <c r="E11" s="2832">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2341</v>
      </c>
      <c r="D12" s="2938"/>
      <c r="E12" s="2832">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2341</v>
      </c>
      <c r="D13" s="2939"/>
      <c r="E13" s="2832">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4" t="s">
        <v>1044</v>
      </c>
      <c r="B1" s="3305"/>
      <c r="C1" s="3306"/>
      <c r="D1" s="3307">
        <f>SUM(I10,I15,I20,I21,I23)</f>
        <v>0</v>
      </c>
      <c r="E1" s="3307"/>
      <c r="F1" s="3307"/>
      <c r="G1" s="3307"/>
      <c r="H1" s="3307"/>
      <c r="I1" s="3308"/>
    </row>
    <row r="2" spans="1:9">
      <c r="A2" s="3309" t="s">
        <v>1045</v>
      </c>
      <c r="B2" s="3310" t="s">
        <v>1046</v>
      </c>
      <c r="C2" s="3310"/>
      <c r="D2" s="1211" t="s">
        <v>1047</v>
      </c>
      <c r="E2" s="1211" t="s">
        <v>1048</v>
      </c>
      <c r="F2" s="1211" t="s">
        <v>1049</v>
      </c>
      <c r="G2" s="1211" t="s">
        <v>1050</v>
      </c>
      <c r="H2" s="1211" t="s">
        <v>1051</v>
      </c>
      <c r="I2" s="1212" t="s">
        <v>1052</v>
      </c>
    </row>
    <row r="3" spans="1:9">
      <c r="A3" s="3309"/>
      <c r="B3" s="3310" t="s">
        <v>1053</v>
      </c>
      <c r="C3" s="3310"/>
      <c r="D3" s="1213"/>
      <c r="E3" s="1211"/>
      <c r="F3" s="1214"/>
      <c r="G3" s="1214"/>
      <c r="H3" s="1215"/>
      <c r="I3" s="1216">
        <f>ROUND(D3*E3*F3*G3*H3/10000,0)</f>
        <v>0</v>
      </c>
    </row>
    <row r="4" spans="1:9">
      <c r="A4" s="3309"/>
      <c r="B4" s="3310" t="s">
        <v>1054</v>
      </c>
      <c r="C4" s="3310"/>
      <c r="D4" s="1213"/>
      <c r="E4" s="1211"/>
      <c r="F4" s="1214"/>
      <c r="G4" s="1214"/>
      <c r="H4" s="1215"/>
      <c r="I4" s="1216">
        <f t="shared" ref="I4:I9" si="0">ROUND(D4*E4*F4*G4*H4/10000,0)</f>
        <v>0</v>
      </c>
    </row>
    <row r="5" spans="1:9">
      <c r="A5" s="3309"/>
      <c r="B5" s="3310" t="s">
        <v>1055</v>
      </c>
      <c r="C5" s="3310"/>
      <c r="D5" s="1213"/>
      <c r="E5" s="1211"/>
      <c r="F5" s="1214"/>
      <c r="G5" s="1214"/>
      <c r="H5" s="1215"/>
      <c r="I5" s="1216">
        <f t="shared" si="0"/>
        <v>0</v>
      </c>
    </row>
    <row r="6" spans="1:9">
      <c r="A6" s="3309"/>
      <c r="B6" s="3310" t="s">
        <v>1056</v>
      </c>
      <c r="C6" s="3310"/>
      <c r="D6" s="1213"/>
      <c r="E6" s="1211"/>
      <c r="F6" s="1214"/>
      <c r="G6" s="1214"/>
      <c r="H6" s="1215"/>
      <c r="I6" s="1216">
        <f t="shared" si="0"/>
        <v>0</v>
      </c>
    </row>
    <row r="7" spans="1:9">
      <c r="A7" s="3309"/>
      <c r="B7" s="3310" t="s">
        <v>1057</v>
      </c>
      <c r="C7" s="3310"/>
      <c r="D7" s="1213"/>
      <c r="E7" s="1211"/>
      <c r="F7" s="1214"/>
      <c r="G7" s="1214"/>
      <c r="H7" s="1215"/>
      <c r="I7" s="1216">
        <f t="shared" si="0"/>
        <v>0</v>
      </c>
    </row>
    <row r="8" spans="1:9">
      <c r="A8" s="3309"/>
      <c r="B8" s="3310" t="s">
        <v>1058</v>
      </c>
      <c r="C8" s="3310"/>
      <c r="D8" s="1213"/>
      <c r="E8" s="1211"/>
      <c r="F8" s="1214"/>
      <c r="G8" s="1214"/>
      <c r="H8" s="1215"/>
      <c r="I8" s="1216">
        <f t="shared" si="0"/>
        <v>0</v>
      </c>
    </row>
    <row r="9" spans="1:9">
      <c r="A9" s="3309"/>
      <c r="B9" s="3310" t="s">
        <v>1059</v>
      </c>
      <c r="C9" s="3310"/>
      <c r="D9" s="1213"/>
      <c r="E9" s="1211"/>
      <c r="F9" s="1214"/>
      <c r="G9" s="1214"/>
      <c r="H9" s="1215"/>
      <c r="I9" s="1216">
        <f t="shared" si="0"/>
        <v>0</v>
      </c>
    </row>
    <row r="10" spans="1:9">
      <c r="A10" s="3309"/>
      <c r="B10" s="3311" t="s">
        <v>1060</v>
      </c>
      <c r="C10" s="3311"/>
      <c r="D10" s="1217"/>
      <c r="E10" s="1217" t="e">
        <f>ROUND(D1*10000/D10/H9,0)</f>
        <v>#DIV/0!</v>
      </c>
      <c r="F10" s="1218"/>
      <c r="G10" s="1218"/>
      <c r="H10" s="1219"/>
      <c r="I10" s="1220">
        <f>SUM(I3:I9)</f>
        <v>0</v>
      </c>
    </row>
    <row r="11" spans="1:9" ht="14.25">
      <c r="A11" s="3309" t="s">
        <v>1061</v>
      </c>
      <c r="B11" s="3310" t="s">
        <v>1062</v>
      </c>
      <c r="C11" s="3310"/>
      <c r="D11" s="1213" t="s">
        <v>1063</v>
      </c>
      <c r="E11" s="1213" t="s">
        <v>1064</v>
      </c>
      <c r="F11" s="1214" t="s">
        <v>1065</v>
      </c>
      <c r="G11" s="1214" t="s">
        <v>1051</v>
      </c>
      <c r="H11" s="1221" t="s">
        <v>1066</v>
      </c>
      <c r="I11" s="1212" t="s">
        <v>1052</v>
      </c>
    </row>
    <row r="12" spans="1:9">
      <c r="A12" s="3309"/>
      <c r="B12" s="3310" t="s">
        <v>1067</v>
      </c>
      <c r="C12" s="3310"/>
      <c r="D12" s="1213"/>
      <c r="E12" s="1213"/>
      <c r="F12" s="1214"/>
      <c r="G12" s="1215"/>
      <c r="H12" s="1222"/>
      <c r="I12" s="1212">
        <f>ROUND(D12*E12*F12*G12/10000,0)</f>
        <v>0</v>
      </c>
    </row>
    <row r="13" spans="1:9">
      <c r="A13" s="3309"/>
      <c r="B13" s="3310" t="s">
        <v>1068</v>
      </c>
      <c r="C13" s="3310"/>
      <c r="D13" s="1213"/>
      <c r="E13" s="1213"/>
      <c r="F13" s="1214"/>
      <c r="G13" s="1215"/>
      <c r="H13" s="1222"/>
      <c r="I13" s="1212">
        <f>ROUND(D13*E13*F13*G13/10000,0)</f>
        <v>0</v>
      </c>
    </row>
    <row r="14" spans="1:9">
      <c r="A14" s="3309"/>
      <c r="B14" s="3310" t="s">
        <v>1069</v>
      </c>
      <c r="C14" s="3310"/>
      <c r="D14" s="1213"/>
      <c r="E14" s="1213"/>
      <c r="F14" s="1214"/>
      <c r="G14" s="1215"/>
      <c r="H14" s="1222"/>
      <c r="I14" s="1212">
        <f>ROUND(D14*E14*F14*G14/10000,0)</f>
        <v>0</v>
      </c>
    </row>
    <row r="15" spans="1:9">
      <c r="A15" s="3309"/>
      <c r="B15" s="3311" t="s">
        <v>1060</v>
      </c>
      <c r="C15" s="3311"/>
      <c r="D15" s="1217"/>
      <c r="E15" s="1217">
        <f>SUM(E12:E14)</f>
        <v>0</v>
      </c>
      <c r="F15" s="1218"/>
      <c r="G15" s="1215"/>
      <c r="H15" s="1222"/>
      <c r="I15" s="1223">
        <f>SUM(I12:I14)</f>
        <v>0</v>
      </c>
    </row>
    <row r="16" spans="1:9" ht="24">
      <c r="A16" s="3309" t="s">
        <v>1070</v>
      </c>
      <c r="B16" s="3310" t="s">
        <v>1071</v>
      </c>
      <c r="C16" s="3310"/>
      <c r="D16" s="1213" t="s">
        <v>1047</v>
      </c>
      <c r="E16" s="1224" t="s">
        <v>1072</v>
      </c>
      <c r="F16" s="1214" t="s">
        <v>1073</v>
      </c>
      <c r="G16" s="1215" t="s">
        <v>1051</v>
      </c>
      <c r="H16" s="1221" t="s">
        <v>1066</v>
      </c>
      <c r="I16" s="1212" t="s">
        <v>1052</v>
      </c>
    </row>
    <row r="17" spans="1:9" ht="14.25">
      <c r="A17" s="3309"/>
      <c r="B17" s="3310" t="s">
        <v>1074</v>
      </c>
      <c r="C17" s="3310"/>
      <c r="D17" s="1213"/>
      <c r="E17" s="1213"/>
      <c r="F17" s="1214"/>
      <c r="G17" s="1215"/>
      <c r="H17" s="1225"/>
      <c r="I17" s="1226">
        <f>ROUND(D17*E17*F17*G17/10000,0)</f>
        <v>0</v>
      </c>
    </row>
    <row r="18" spans="1:9" ht="14.25">
      <c r="A18" s="3309"/>
      <c r="B18" s="3310" t="s">
        <v>1075</v>
      </c>
      <c r="C18" s="3310"/>
      <c r="D18" s="1213"/>
      <c r="E18" s="1213"/>
      <c r="F18" s="1214"/>
      <c r="G18" s="1215"/>
      <c r="H18" s="1225"/>
      <c r="I18" s="1226">
        <f>ROUND(D18*E18*F18*G18/10000,0)</f>
        <v>0</v>
      </c>
    </row>
    <row r="19" spans="1:9" ht="14.25">
      <c r="A19" s="3309"/>
      <c r="B19" s="3310" t="s">
        <v>1076</v>
      </c>
      <c r="C19" s="3310"/>
      <c r="D19" s="1213"/>
      <c r="E19" s="1213"/>
      <c r="F19" s="1214"/>
      <c r="G19" s="1215"/>
      <c r="H19" s="1225"/>
      <c r="I19" s="1226">
        <f>ROUND(D19*E19*F19*G19/10000,0)</f>
        <v>0</v>
      </c>
    </row>
    <row r="20" spans="1:9">
      <c r="A20" s="3309"/>
      <c r="B20" s="3311" t="s">
        <v>1060</v>
      </c>
      <c r="C20" s="3311"/>
      <c r="D20" s="1217">
        <f>SUM(D17:D19)</f>
        <v>0</v>
      </c>
      <c r="E20" s="1217"/>
      <c r="F20" s="1218"/>
      <c r="G20" s="1215"/>
      <c r="H20" s="1222"/>
      <c r="I20" s="1223">
        <f>SUM(I17:I19)</f>
        <v>0</v>
      </c>
    </row>
    <row r="21" spans="1:9">
      <c r="A21" s="3309" t="s">
        <v>1077</v>
      </c>
      <c r="B21" s="3313"/>
      <c r="C21" s="3313"/>
      <c r="D21" s="3313"/>
      <c r="E21" s="3313"/>
      <c r="F21" s="3313"/>
      <c r="G21" s="3313"/>
      <c r="H21" s="1504">
        <v>0.1</v>
      </c>
      <c r="I21" s="1220">
        <f>ROUND(I10*H21,0)</f>
        <v>0</v>
      </c>
    </row>
    <row r="22" spans="1:9" ht="14.25">
      <c r="A22" s="3314" t="s">
        <v>1078</v>
      </c>
      <c r="B22" s="3315"/>
      <c r="C22" s="3316"/>
      <c r="D22" s="1227" t="s">
        <v>1079</v>
      </c>
      <c r="E22" s="1227" t="s">
        <v>1080</v>
      </c>
      <c r="F22" s="1228" t="s">
        <v>1081</v>
      </c>
      <c r="G22" s="1228" t="s">
        <v>1082</v>
      </c>
      <c r="H22" s="1221" t="s">
        <v>1083</v>
      </c>
      <c r="I22" s="1212" t="s">
        <v>1084</v>
      </c>
    </row>
    <row r="23" spans="1:9" ht="14.25" thickBot="1">
      <c r="A23" s="3317"/>
      <c r="B23" s="3318"/>
      <c r="C23" s="3319"/>
      <c r="D23" s="1229"/>
      <c r="E23" s="1229"/>
      <c r="F23" s="1229"/>
      <c r="G23" s="1230"/>
      <c r="H23" s="1231"/>
      <c r="I23" s="1232">
        <f>ROUND(E23*D23*F23*(1-G23)/10000,0)</f>
        <v>0</v>
      </c>
    </row>
    <row r="26" spans="1:9">
      <c r="A26" s="1233" t="s">
        <v>1085</v>
      </c>
      <c r="B26" s="1233"/>
      <c r="C26" s="1233"/>
      <c r="D26" s="1233"/>
      <c r="E26" s="3320">
        <f>C27-C30-C31-C32</f>
        <v>0</v>
      </c>
      <c r="F26" s="3320"/>
      <c r="G26" s="3320"/>
      <c r="H26" s="1501" t="s">
        <v>1306</v>
      </c>
    </row>
    <row r="27" spans="1:9">
      <c r="A27" s="1234">
        <v>1</v>
      </c>
      <c r="B27" s="1235" t="s">
        <v>1086</v>
      </c>
      <c r="C27" s="1235">
        <f>C28+C29</f>
        <v>0</v>
      </c>
      <c r="D27" s="1235"/>
      <c r="E27" s="3321"/>
      <c r="F27" s="3321"/>
      <c r="G27" s="3321"/>
    </row>
    <row r="28" spans="1:9">
      <c r="A28" s="1236" t="s">
        <v>1087</v>
      </c>
      <c r="B28" s="1235" t="s">
        <v>1088</v>
      </c>
      <c r="C28" s="1235"/>
      <c r="D28" s="1235"/>
      <c r="E28" s="3321"/>
      <c r="F28" s="3321"/>
      <c r="G28" s="332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2"/>
      <c r="F32" s="3312"/>
      <c r="G32" s="3312"/>
    </row>
    <row r="33" spans="1:7" hidden="1">
      <c r="A33" s="3322" t="s">
        <v>1097</v>
      </c>
      <c r="B33" s="3323"/>
      <c r="C33" s="3323"/>
      <c r="D33" s="3324"/>
      <c r="E33" s="3320"/>
      <c r="F33" s="3320"/>
      <c r="G33" s="3320"/>
    </row>
    <row r="34" spans="1:7" hidden="1">
      <c r="A34" s="1238">
        <v>1</v>
      </c>
      <c r="B34" s="1235" t="s">
        <v>1098</v>
      </c>
      <c r="C34" s="1235"/>
      <c r="D34" s="1235"/>
      <c r="E34" s="3321"/>
      <c r="F34" s="3321"/>
      <c r="G34" s="3321"/>
    </row>
    <row r="35" spans="1:7" hidden="1">
      <c r="A35" s="1238">
        <v>2</v>
      </c>
      <c r="B35" s="1235" t="s">
        <v>1099</v>
      </c>
      <c r="C35" s="1235"/>
      <c r="D35" s="1235"/>
      <c r="E35" s="3321"/>
      <c r="F35" s="3321"/>
      <c r="G35" s="3321"/>
    </row>
    <row r="36" spans="1:7" hidden="1">
      <c r="A36" s="1238">
        <v>3</v>
      </c>
      <c r="B36" s="1235" t="s">
        <v>1100</v>
      </c>
      <c r="C36" s="1235"/>
      <c r="D36" s="1235"/>
      <c r="E36" s="3321"/>
      <c r="F36" s="3321"/>
      <c r="G36" s="3321"/>
    </row>
    <row r="37" spans="1:7" hidden="1">
      <c r="A37" s="1238">
        <v>4</v>
      </c>
      <c r="B37" s="1235" t="s">
        <v>1101</v>
      </c>
      <c r="C37" s="1235"/>
      <c r="D37" s="1235"/>
      <c r="E37" s="3321"/>
      <c r="F37" s="3321"/>
      <c r="G37" s="3321"/>
    </row>
    <row r="38" spans="1:7" hidden="1">
      <c r="A38" s="3322" t="s">
        <v>1102</v>
      </c>
      <c r="B38" s="3323"/>
      <c r="C38" s="3323"/>
      <c r="D38" s="3324"/>
      <c r="E38" s="3320"/>
      <c r="F38" s="3320"/>
      <c r="G38" s="33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18583.03</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5">
      <c r="A4" s="361" t="s">
        <v>2357</v>
      </c>
      <c r="B4" s="362"/>
      <c r="C4" s="3343" t="s">
        <v>2358</v>
      </c>
      <c r="D4" s="3344"/>
      <c r="E4" s="3345" t="s">
        <v>2359</v>
      </c>
      <c r="F4" s="3346"/>
      <c r="G4" s="3343" t="s">
        <v>2360</v>
      </c>
      <c r="H4" s="3344"/>
      <c r="I4" s="3343" t="s">
        <v>2361</v>
      </c>
      <c r="J4" s="3344"/>
      <c r="K4" s="2077" t="s">
        <v>2362</v>
      </c>
      <c r="L4" s="2944"/>
      <c r="M4" s="2945"/>
      <c r="N4" s="2945"/>
      <c r="O4" s="2945"/>
      <c r="P4" s="3347" t="s">
        <v>2363</v>
      </c>
      <c r="Q4" s="3348"/>
      <c r="R4" s="3330" t="s">
        <v>2359</v>
      </c>
      <c r="S4" s="3331"/>
      <c r="T4" s="3330" t="s">
        <v>2360</v>
      </c>
      <c r="U4" s="3331"/>
      <c r="V4" s="3355" t="s">
        <v>2361</v>
      </c>
      <c r="W4" s="3355"/>
      <c r="X4" s="1541"/>
      <c r="Y4" s="3330" t="s">
        <v>2363</v>
      </c>
      <c r="Z4" s="3331"/>
      <c r="AA4" s="3325" t="s">
        <v>2359</v>
      </c>
      <c r="AB4" s="3325" t="s">
        <v>2360</v>
      </c>
      <c r="AC4" s="3325" t="s">
        <v>2361</v>
      </c>
    </row>
    <row r="5" spans="1:29" ht="15">
      <c r="A5" s="364"/>
      <c r="B5" s="365"/>
      <c r="C5" s="3336" t="s">
        <v>2364</v>
      </c>
      <c r="D5" s="3337"/>
      <c r="E5" s="3334" t="s">
        <v>2365</v>
      </c>
      <c r="F5" s="3335"/>
      <c r="G5" s="3336" t="s">
        <v>2366</v>
      </c>
      <c r="H5" s="3337"/>
      <c r="I5" s="3336" t="s">
        <v>2367</v>
      </c>
      <c r="J5" s="3337"/>
      <c r="K5" s="2078"/>
      <c r="L5" s="2944"/>
      <c r="M5" s="2945"/>
      <c r="N5" s="2945"/>
      <c r="O5" s="2945"/>
      <c r="P5" s="3349"/>
      <c r="Q5" s="3350"/>
      <c r="R5" s="3332"/>
      <c r="S5" s="3333"/>
      <c r="T5" s="3332"/>
      <c r="U5" s="3333"/>
      <c r="V5" s="3355"/>
      <c r="W5" s="3355"/>
      <c r="X5" s="1541"/>
      <c r="Y5" s="3332"/>
      <c r="Z5" s="3333"/>
      <c r="AA5" s="3326"/>
      <c r="AB5" s="3326"/>
      <c r="AC5" s="3326"/>
    </row>
    <row r="6" spans="1:29" ht="15.75" thickBot="1">
      <c r="A6" s="366"/>
      <c r="B6" s="367"/>
      <c r="C6" s="3338" t="s">
        <v>2368</v>
      </c>
      <c r="D6" s="3339"/>
      <c r="E6" s="3340" t="s">
        <v>2368</v>
      </c>
      <c r="F6" s="3341"/>
      <c r="G6" s="3338" t="s">
        <v>2368</v>
      </c>
      <c r="H6" s="3339"/>
      <c r="I6" s="3338" t="s">
        <v>2368</v>
      </c>
      <c r="J6" s="3339"/>
      <c r="K6" s="2078" t="s">
        <v>2369</v>
      </c>
      <c r="L6" s="2944"/>
      <c r="M6" s="2945"/>
      <c r="N6" s="2945"/>
      <c r="O6" s="2945"/>
      <c r="P6" s="3351"/>
      <c r="Q6" s="3352"/>
      <c r="R6" s="3332"/>
      <c r="S6" s="3333"/>
      <c r="T6" s="3353"/>
      <c r="U6" s="3354"/>
      <c r="V6" s="3355"/>
      <c r="W6" s="3355"/>
      <c r="X6" s="1541"/>
      <c r="Y6" s="3353"/>
      <c r="Z6" s="3354"/>
      <c r="AA6" s="3327"/>
      <c r="AB6" s="3327"/>
      <c r="AC6" s="3327"/>
    </row>
    <row r="7" spans="1:29" s="113" customFormat="1" ht="15.75" thickBot="1">
      <c r="A7" s="368" t="s">
        <v>2370</v>
      </c>
      <c r="B7" s="369"/>
      <c r="C7" s="370">
        <f>'数据-取费表'!B2</f>
        <v>44155</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328" t="s">
        <v>2371</v>
      </c>
      <c r="Q7" s="3356"/>
      <c r="R7" s="710" t="s">
        <v>23</v>
      </c>
      <c r="S7" s="711">
        <f t="shared" ref="S7:S15" si="0">F7</f>
        <v>0</v>
      </c>
      <c r="T7" s="710" t="s">
        <v>23</v>
      </c>
      <c r="U7" s="711">
        <f t="shared" ref="U7:U15" si="1">H7</f>
        <v>0</v>
      </c>
      <c r="V7" s="710" t="s">
        <v>23</v>
      </c>
      <c r="W7" s="711">
        <f t="shared" ref="W7:W15" si="2">J7</f>
        <v>0</v>
      </c>
      <c r="X7" s="712"/>
      <c r="Y7" s="3328" t="s">
        <v>2371</v>
      </c>
      <c r="Z7" s="3329"/>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328" t="s">
        <v>2374</v>
      </c>
      <c r="Q8" s="3329"/>
      <c r="R8" s="710" t="s">
        <v>23</v>
      </c>
      <c r="S8" s="711">
        <f t="shared" si="0"/>
        <v>0</v>
      </c>
      <c r="T8" s="710" t="s">
        <v>23</v>
      </c>
      <c r="U8" s="711">
        <f t="shared" si="1"/>
        <v>0</v>
      </c>
      <c r="V8" s="710" t="s">
        <v>23</v>
      </c>
      <c r="W8" s="711">
        <f t="shared" si="2"/>
        <v>0</v>
      </c>
      <c r="X8" s="712"/>
      <c r="Y8" s="3328" t="s">
        <v>2374</v>
      </c>
      <c r="Z8" s="3329"/>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342" t="s">
        <v>2377</v>
      </c>
      <c r="Q9" s="1529" t="str">
        <f t="shared" ref="Q9:Q15" si="6">B9</f>
        <v>用途</v>
      </c>
      <c r="R9" s="710" t="s">
        <v>17</v>
      </c>
      <c r="S9" s="711">
        <f t="shared" si="0"/>
        <v>100</v>
      </c>
      <c r="T9" s="710" t="s">
        <v>17</v>
      </c>
      <c r="U9" s="711">
        <f t="shared" si="1"/>
        <v>100</v>
      </c>
      <c r="V9" s="710" t="s">
        <v>17</v>
      </c>
      <c r="W9" s="711">
        <f t="shared" si="2"/>
        <v>100</v>
      </c>
      <c r="X9" s="712"/>
      <c r="Y9" s="324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42"/>
      <c r="Q10" s="1529"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42"/>
      <c r="Q11" s="1529" t="str">
        <f t="shared" si="6"/>
        <v>容积率</v>
      </c>
      <c r="R11" s="710" t="s">
        <v>21</v>
      </c>
      <c r="S11" s="711" t="e">
        <f t="shared" si="0"/>
        <v>#N/A</v>
      </c>
      <c r="T11" s="710" t="s">
        <v>21</v>
      </c>
      <c r="U11" s="711" t="e">
        <f t="shared" si="1"/>
        <v>#N/A</v>
      </c>
      <c r="V11" s="710" t="s">
        <v>21</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342"/>
      <c r="Q12" s="1529">
        <f t="shared" si="6"/>
        <v>111</v>
      </c>
      <c r="R12" s="710" t="s">
        <v>21</v>
      </c>
      <c r="S12" s="711">
        <f t="shared" si="0"/>
        <v>100</v>
      </c>
      <c r="T12" s="710" t="s">
        <v>21</v>
      </c>
      <c r="U12" s="711">
        <f t="shared" si="1"/>
        <v>100</v>
      </c>
      <c r="V12" s="710" t="s">
        <v>21</v>
      </c>
      <c r="W12" s="711">
        <f t="shared" si="2"/>
        <v>100</v>
      </c>
      <c r="X12" s="712"/>
      <c r="Y12" s="324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342"/>
      <c r="Q13" s="1529">
        <f t="shared" si="6"/>
        <v>111</v>
      </c>
      <c r="R13" s="710" t="s">
        <v>21</v>
      </c>
      <c r="S13" s="711">
        <f t="shared" si="0"/>
        <v>100</v>
      </c>
      <c r="T13" s="710" t="s">
        <v>21</v>
      </c>
      <c r="U13" s="711">
        <f t="shared" si="1"/>
        <v>100</v>
      </c>
      <c r="V13" s="710" t="s">
        <v>21</v>
      </c>
      <c r="W13" s="711">
        <f t="shared" si="2"/>
        <v>100</v>
      </c>
      <c r="X13" s="712"/>
      <c r="Y13" s="3244"/>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342"/>
      <c r="Q14" s="1529">
        <f t="shared" si="6"/>
        <v>111</v>
      </c>
      <c r="R14" s="710" t="s">
        <v>21</v>
      </c>
      <c r="S14" s="711">
        <f t="shared" si="0"/>
        <v>100</v>
      </c>
      <c r="T14" s="710" t="s">
        <v>21</v>
      </c>
      <c r="U14" s="711">
        <f t="shared" si="1"/>
        <v>100</v>
      </c>
      <c r="V14" s="710" t="s">
        <v>21</v>
      </c>
      <c r="W14" s="711">
        <f t="shared" si="2"/>
        <v>100</v>
      </c>
      <c r="X14" s="712"/>
      <c r="Y14" s="3244"/>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69" t="s">
        <v>2382</v>
      </c>
      <c r="Q15" s="1538" t="str">
        <f t="shared" si="6"/>
        <v>居住社区成熟度</v>
      </c>
      <c r="R15" s="714" t="s">
        <v>21</v>
      </c>
      <c r="S15" s="715">
        <f t="shared" si="0"/>
        <v>100</v>
      </c>
      <c r="T15" s="714" t="s">
        <v>21</v>
      </c>
      <c r="U15" s="715">
        <f t="shared" si="1"/>
        <v>100</v>
      </c>
      <c r="V15" s="714" t="s">
        <v>21</v>
      </c>
      <c r="W15" s="715">
        <f t="shared" si="2"/>
        <v>100</v>
      </c>
      <c r="X15" s="1541"/>
      <c r="Y15" s="3362"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370"/>
      <c r="Q16" s="1538"/>
      <c r="R16" s="714"/>
      <c r="S16" s="715"/>
      <c r="T16" s="714"/>
      <c r="U16" s="715"/>
      <c r="V16" s="714"/>
      <c r="W16" s="715"/>
      <c r="X16" s="1541"/>
      <c r="Y16" s="3363"/>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70"/>
      <c r="Q17" s="1538" t="str">
        <f>B17</f>
        <v>交通便捷度</v>
      </c>
      <c r="R17" s="714" t="s">
        <v>21</v>
      </c>
      <c r="S17" s="715">
        <f>F17</f>
        <v>100</v>
      </c>
      <c r="T17" s="714" t="s">
        <v>21</v>
      </c>
      <c r="U17" s="715">
        <f>H17</f>
        <v>100</v>
      </c>
      <c r="V17" s="714" t="s">
        <v>21</v>
      </c>
      <c r="W17" s="715">
        <f>J17</f>
        <v>100</v>
      </c>
      <c r="X17" s="1541"/>
      <c r="Y17" s="3363"/>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370"/>
      <c r="Q18" s="1538"/>
      <c r="R18" s="714"/>
      <c r="S18" s="715"/>
      <c r="T18" s="714"/>
      <c r="U18" s="715"/>
      <c r="V18" s="714"/>
      <c r="W18" s="715"/>
      <c r="X18" s="1541"/>
      <c r="Y18" s="3363"/>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70"/>
      <c r="Q19" s="1538" t="str">
        <f>B19</f>
        <v>公共配套设施</v>
      </c>
      <c r="R19" s="714" t="s">
        <v>21</v>
      </c>
      <c r="S19" s="715">
        <f>F19</f>
        <v>100</v>
      </c>
      <c r="T19" s="714" t="s">
        <v>21</v>
      </c>
      <c r="U19" s="715">
        <f>H19</f>
        <v>100</v>
      </c>
      <c r="V19" s="714" t="s">
        <v>21</v>
      </c>
      <c r="W19" s="715">
        <f>J19</f>
        <v>100</v>
      </c>
      <c r="X19" s="1541"/>
      <c r="Y19" s="3363"/>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370"/>
      <c r="Q20" s="1538"/>
      <c r="R20" s="714"/>
      <c r="S20" s="715"/>
      <c r="T20" s="714"/>
      <c r="U20" s="715"/>
      <c r="V20" s="714"/>
      <c r="W20" s="715"/>
      <c r="X20" s="1541"/>
      <c r="Y20" s="3363"/>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70"/>
      <c r="Q21" s="1538" t="str">
        <f>B21</f>
        <v>基础设施水平</v>
      </c>
      <c r="R21" s="714" t="s">
        <v>17</v>
      </c>
      <c r="S21" s="715">
        <f>F21</f>
        <v>100</v>
      </c>
      <c r="T21" s="714" t="s">
        <v>17</v>
      </c>
      <c r="U21" s="715">
        <f>H21</f>
        <v>100</v>
      </c>
      <c r="V21" s="714" t="s">
        <v>17</v>
      </c>
      <c r="W21" s="715">
        <f>J21</f>
        <v>100</v>
      </c>
      <c r="X21" s="1541"/>
      <c r="Y21" s="336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370"/>
      <c r="Q22" s="1538"/>
      <c r="R22" s="714"/>
      <c r="S22" s="715"/>
      <c r="T22" s="714"/>
      <c r="U22" s="715"/>
      <c r="V22" s="714"/>
      <c r="W22" s="715"/>
      <c r="X22" s="1541"/>
      <c r="Y22" s="3363"/>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70"/>
      <c r="Q23" s="1538" t="str">
        <f>B23</f>
        <v>自然及人文环境</v>
      </c>
      <c r="R23" s="714" t="s">
        <v>21</v>
      </c>
      <c r="S23" s="715">
        <f>F23</f>
        <v>100</v>
      </c>
      <c r="T23" s="714" t="s">
        <v>21</v>
      </c>
      <c r="U23" s="715">
        <f>H23</f>
        <v>100</v>
      </c>
      <c r="V23" s="714" t="s">
        <v>21</v>
      </c>
      <c r="W23" s="715">
        <f>J23</f>
        <v>100</v>
      </c>
      <c r="X23" s="1541"/>
      <c r="Y23" s="3363"/>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370"/>
      <c r="Q24" s="1538"/>
      <c r="R24" s="714"/>
      <c r="S24" s="715"/>
      <c r="T24" s="714"/>
      <c r="U24" s="715"/>
      <c r="V24" s="714"/>
      <c r="W24" s="715"/>
      <c r="X24" s="1541"/>
      <c r="Y24" s="3363"/>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370"/>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63"/>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370"/>
      <c r="Q26" s="1538" t="str">
        <f t="shared" si="11"/>
        <v>朝向</v>
      </c>
      <c r="R26" s="714" t="s">
        <v>21</v>
      </c>
      <c r="S26" s="715">
        <f t="shared" si="12"/>
        <v>100</v>
      </c>
      <c r="T26" s="714" t="s">
        <v>21</v>
      </c>
      <c r="U26" s="715">
        <f t="shared" si="13"/>
        <v>100</v>
      </c>
      <c r="V26" s="714" t="s">
        <v>21</v>
      </c>
      <c r="W26" s="715">
        <f t="shared" si="14"/>
        <v>100</v>
      </c>
      <c r="X26" s="1541"/>
      <c r="Y26" s="3363"/>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370"/>
      <c r="Q27" s="1529">
        <f t="shared" si="11"/>
        <v>111</v>
      </c>
      <c r="R27" s="710" t="s">
        <v>21</v>
      </c>
      <c r="S27" s="711">
        <f t="shared" si="12"/>
        <v>100</v>
      </c>
      <c r="T27" s="710" t="s">
        <v>21</v>
      </c>
      <c r="U27" s="711">
        <f t="shared" si="13"/>
        <v>100</v>
      </c>
      <c r="V27" s="710" t="s">
        <v>21</v>
      </c>
      <c r="W27" s="711">
        <f t="shared" si="14"/>
        <v>100</v>
      </c>
      <c r="X27" s="712"/>
      <c r="Y27" s="3363"/>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370"/>
      <c r="Q28" s="1538">
        <f t="shared" si="11"/>
        <v>111</v>
      </c>
      <c r="R28" s="714" t="s">
        <v>21</v>
      </c>
      <c r="S28" s="715">
        <f t="shared" si="12"/>
        <v>100</v>
      </c>
      <c r="T28" s="714" t="s">
        <v>21</v>
      </c>
      <c r="U28" s="715">
        <f t="shared" si="13"/>
        <v>100</v>
      </c>
      <c r="V28" s="714" t="s">
        <v>21</v>
      </c>
      <c r="W28" s="715">
        <f t="shared" si="14"/>
        <v>100</v>
      </c>
      <c r="X28" s="1541"/>
      <c r="Y28" s="3363"/>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370"/>
      <c r="Q29" s="1538">
        <f t="shared" si="11"/>
        <v>111</v>
      </c>
      <c r="R29" s="714" t="s">
        <v>21</v>
      </c>
      <c r="S29" s="715">
        <f t="shared" si="12"/>
        <v>100</v>
      </c>
      <c r="T29" s="714" t="s">
        <v>21</v>
      </c>
      <c r="U29" s="715">
        <f t="shared" si="13"/>
        <v>100</v>
      </c>
      <c r="V29" s="714" t="s">
        <v>21</v>
      </c>
      <c r="W29" s="715">
        <f t="shared" si="14"/>
        <v>100</v>
      </c>
      <c r="X29" s="1541"/>
      <c r="Y29" s="3363"/>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370"/>
      <c r="Q30" s="1538">
        <f t="shared" si="11"/>
        <v>111</v>
      </c>
      <c r="R30" s="714" t="s">
        <v>21</v>
      </c>
      <c r="S30" s="715">
        <f t="shared" si="12"/>
        <v>100</v>
      </c>
      <c r="T30" s="714" t="s">
        <v>21</v>
      </c>
      <c r="U30" s="715">
        <f t="shared" si="13"/>
        <v>100</v>
      </c>
      <c r="V30" s="714" t="s">
        <v>21</v>
      </c>
      <c r="W30" s="715">
        <f t="shared" si="14"/>
        <v>100</v>
      </c>
      <c r="X30" s="1541"/>
      <c r="Y30" s="3363"/>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370"/>
      <c r="Q31" s="1538">
        <f t="shared" si="11"/>
        <v>111</v>
      </c>
      <c r="R31" s="714" t="s">
        <v>21</v>
      </c>
      <c r="S31" s="715">
        <f t="shared" si="12"/>
        <v>100</v>
      </c>
      <c r="T31" s="714" t="s">
        <v>21</v>
      </c>
      <c r="U31" s="715">
        <f t="shared" si="13"/>
        <v>100</v>
      </c>
      <c r="V31" s="714" t="s">
        <v>21</v>
      </c>
      <c r="W31" s="715">
        <f t="shared" si="14"/>
        <v>100</v>
      </c>
      <c r="X31" s="1541"/>
      <c r="Y31" s="3363"/>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364" t="s">
        <v>2387</v>
      </c>
      <c r="Q32" s="1538" t="str">
        <f t="shared" si="11"/>
        <v>建筑类型</v>
      </c>
      <c r="R32" s="714" t="s">
        <v>21</v>
      </c>
      <c r="S32" s="715">
        <f t="shared" si="12"/>
        <v>100</v>
      </c>
      <c r="T32" s="714" t="s">
        <v>21</v>
      </c>
      <c r="U32" s="715">
        <f t="shared" si="13"/>
        <v>100</v>
      </c>
      <c r="V32" s="714" t="s">
        <v>21</v>
      </c>
      <c r="W32" s="715">
        <f t="shared" si="14"/>
        <v>100</v>
      </c>
      <c r="X32" s="1541"/>
      <c r="Y32" s="3367"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365"/>
      <c r="Q33" s="716" t="str">
        <f t="shared" si="11"/>
        <v>项目建筑规模</v>
      </c>
      <c r="R33" s="717" t="s">
        <v>21</v>
      </c>
      <c r="S33" s="718" t="e">
        <f t="shared" si="12"/>
        <v>#N/A</v>
      </c>
      <c r="T33" s="717" t="s">
        <v>21</v>
      </c>
      <c r="U33" s="718" t="e">
        <f t="shared" si="13"/>
        <v>#N/A</v>
      </c>
      <c r="V33" s="717" t="s">
        <v>21</v>
      </c>
      <c r="W33" s="718" t="e">
        <f t="shared" si="14"/>
        <v>#N/A</v>
      </c>
      <c r="X33" s="719"/>
      <c r="Y33" s="3367"/>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365"/>
      <c r="Q34" s="1538" t="str">
        <f t="shared" si="11"/>
        <v>建筑结构</v>
      </c>
      <c r="R34" s="714" t="s">
        <v>21</v>
      </c>
      <c r="S34" s="715">
        <f t="shared" si="12"/>
        <v>100</v>
      </c>
      <c r="T34" s="714" t="s">
        <v>21</v>
      </c>
      <c r="U34" s="715">
        <f t="shared" si="13"/>
        <v>100</v>
      </c>
      <c r="V34" s="714" t="s">
        <v>21</v>
      </c>
      <c r="W34" s="715">
        <f t="shared" si="14"/>
        <v>100</v>
      </c>
      <c r="X34" s="1541"/>
      <c r="Y34" s="3367"/>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365"/>
      <c r="Q35" s="1538" t="str">
        <f t="shared" si="11"/>
        <v>建筑品质</v>
      </c>
      <c r="R35" s="714" t="s">
        <v>21</v>
      </c>
      <c r="S35" s="715">
        <f t="shared" si="12"/>
        <v>100</v>
      </c>
      <c r="T35" s="714" t="s">
        <v>21</v>
      </c>
      <c r="U35" s="715">
        <f t="shared" si="13"/>
        <v>100</v>
      </c>
      <c r="V35" s="714" t="s">
        <v>21</v>
      </c>
      <c r="W35" s="715">
        <f t="shared" si="14"/>
        <v>100</v>
      </c>
      <c r="X35" s="1541"/>
      <c r="Y35" s="3367"/>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365"/>
      <c r="Q36" s="1538" t="str">
        <f t="shared" si="11"/>
        <v>公共部分装修</v>
      </c>
      <c r="R36" s="714" t="s">
        <v>21</v>
      </c>
      <c r="S36" s="715">
        <f t="shared" si="12"/>
        <v>100</v>
      </c>
      <c r="T36" s="714" t="s">
        <v>21</v>
      </c>
      <c r="U36" s="715">
        <f t="shared" si="13"/>
        <v>100</v>
      </c>
      <c r="V36" s="714" t="s">
        <v>21</v>
      </c>
      <c r="W36" s="715">
        <f t="shared" si="14"/>
        <v>100</v>
      </c>
      <c r="X36" s="1541"/>
      <c r="Y36" s="3367"/>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65"/>
      <c r="Q37" s="1529" t="str">
        <f t="shared" si="11"/>
        <v>成新度</v>
      </c>
      <c r="R37" s="710" t="s">
        <v>21</v>
      </c>
      <c r="S37" s="711" t="e">
        <f t="shared" si="12"/>
        <v>#N/A</v>
      </c>
      <c r="T37" s="710" t="s">
        <v>21</v>
      </c>
      <c r="U37" s="711" t="e">
        <f t="shared" si="13"/>
        <v>#N/A</v>
      </c>
      <c r="V37" s="710" t="s">
        <v>21</v>
      </c>
      <c r="W37" s="711" t="e">
        <f t="shared" si="14"/>
        <v>#N/A</v>
      </c>
      <c r="X37" s="712"/>
      <c r="Y37" s="3367"/>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365" t="s">
        <v>2387</v>
      </c>
      <c r="Q38" s="1538" t="str">
        <f t="shared" si="11"/>
        <v>物业管理</v>
      </c>
      <c r="R38" s="714" t="s">
        <v>21</v>
      </c>
      <c r="S38" s="715">
        <f t="shared" si="12"/>
        <v>100</v>
      </c>
      <c r="T38" s="714" t="s">
        <v>21</v>
      </c>
      <c r="U38" s="715">
        <f t="shared" si="13"/>
        <v>100</v>
      </c>
      <c r="V38" s="714" t="s">
        <v>21</v>
      </c>
      <c r="W38" s="715">
        <f t="shared" si="14"/>
        <v>100</v>
      </c>
      <c r="X38" s="1541"/>
      <c r="Y38" s="3367"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365"/>
      <c r="Q39" s="1538" t="str">
        <f t="shared" si="11"/>
        <v>市政基础设施</v>
      </c>
      <c r="R39" s="714" t="s">
        <v>21</v>
      </c>
      <c r="S39" s="715">
        <f t="shared" si="12"/>
        <v>100</v>
      </c>
      <c r="T39" s="714" t="s">
        <v>21</v>
      </c>
      <c r="U39" s="715">
        <f t="shared" si="13"/>
        <v>100</v>
      </c>
      <c r="V39" s="714" t="s">
        <v>21</v>
      </c>
      <c r="W39" s="715">
        <f t="shared" si="14"/>
        <v>100</v>
      </c>
      <c r="X39" s="1541"/>
      <c r="Y39" s="3367"/>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365"/>
      <c r="Q40" s="1538" t="str">
        <f t="shared" si="11"/>
        <v>房型</v>
      </c>
      <c r="R40" s="714" t="s">
        <v>21</v>
      </c>
      <c r="S40" s="715">
        <f t="shared" si="12"/>
        <v>100</v>
      </c>
      <c r="T40" s="714" t="s">
        <v>21</v>
      </c>
      <c r="U40" s="715">
        <f t="shared" si="13"/>
        <v>100</v>
      </c>
      <c r="V40" s="714" t="s">
        <v>21</v>
      </c>
      <c r="W40" s="715">
        <f t="shared" si="14"/>
        <v>100</v>
      </c>
      <c r="X40" s="1541"/>
      <c r="Y40" s="3367"/>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365"/>
      <c r="Q41" s="716" t="str">
        <f t="shared" si="11"/>
        <v>单套/主力户型建筑面积</v>
      </c>
      <c r="R41" s="717" t="s">
        <v>21</v>
      </c>
      <c r="S41" s="718">
        <f t="shared" si="12"/>
        <v>100</v>
      </c>
      <c r="T41" s="717" t="s">
        <v>21</v>
      </c>
      <c r="U41" s="718">
        <f t="shared" si="13"/>
        <v>100</v>
      </c>
      <c r="V41" s="717" t="s">
        <v>21</v>
      </c>
      <c r="W41" s="718">
        <f t="shared" si="14"/>
        <v>100</v>
      </c>
      <c r="X41" s="719"/>
      <c r="Y41" s="3367"/>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365"/>
      <c r="Q42" s="1538" t="str">
        <f t="shared" si="11"/>
        <v>内部装修</v>
      </c>
      <c r="R42" s="714" t="s">
        <v>21</v>
      </c>
      <c r="S42" s="715">
        <f t="shared" si="12"/>
        <v>100</v>
      </c>
      <c r="T42" s="714" t="s">
        <v>21</v>
      </c>
      <c r="U42" s="715">
        <f t="shared" si="13"/>
        <v>100</v>
      </c>
      <c r="V42" s="714" t="s">
        <v>21</v>
      </c>
      <c r="W42" s="715">
        <f t="shared" si="14"/>
        <v>100</v>
      </c>
      <c r="X42" s="1541"/>
      <c r="Y42" s="3367"/>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365"/>
      <c r="Q43" s="1538" t="str">
        <f t="shared" si="11"/>
        <v>内部装修维护情况</v>
      </c>
      <c r="R43" s="714" t="s">
        <v>21</v>
      </c>
      <c r="S43" s="715">
        <f t="shared" si="12"/>
        <v>100</v>
      </c>
      <c r="T43" s="714" t="s">
        <v>21</v>
      </c>
      <c r="U43" s="715">
        <f t="shared" si="13"/>
        <v>100</v>
      </c>
      <c r="V43" s="714" t="s">
        <v>21</v>
      </c>
      <c r="W43" s="715">
        <f t="shared" si="14"/>
        <v>100</v>
      </c>
      <c r="X43" s="1541"/>
      <c r="Y43" s="3367"/>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365"/>
      <c r="Q44" s="1529">
        <f t="shared" si="11"/>
        <v>111</v>
      </c>
      <c r="R44" s="710" t="s">
        <v>21</v>
      </c>
      <c r="S44" s="711">
        <f t="shared" si="12"/>
        <v>100</v>
      </c>
      <c r="T44" s="710" t="s">
        <v>21</v>
      </c>
      <c r="U44" s="711">
        <f t="shared" si="13"/>
        <v>100</v>
      </c>
      <c r="V44" s="710" t="s">
        <v>21</v>
      </c>
      <c r="W44" s="711">
        <f t="shared" si="14"/>
        <v>100</v>
      </c>
      <c r="X44" s="712"/>
      <c r="Y44" s="336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365"/>
      <c r="Q45" s="1538">
        <f t="shared" si="11"/>
        <v>111</v>
      </c>
      <c r="R45" s="714" t="s">
        <v>21</v>
      </c>
      <c r="S45" s="715">
        <f t="shared" si="12"/>
        <v>100</v>
      </c>
      <c r="T45" s="714" t="s">
        <v>21</v>
      </c>
      <c r="U45" s="715">
        <f t="shared" si="13"/>
        <v>100</v>
      </c>
      <c r="V45" s="714" t="s">
        <v>21</v>
      </c>
      <c r="W45" s="715">
        <f t="shared" si="14"/>
        <v>100</v>
      </c>
      <c r="X45" s="1541"/>
      <c r="Y45" s="3367"/>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366"/>
      <c r="Q46" s="1538">
        <f t="shared" si="11"/>
        <v>111</v>
      </c>
      <c r="R46" s="714" t="s">
        <v>20</v>
      </c>
      <c r="S46" s="715">
        <f t="shared" si="12"/>
        <v>100</v>
      </c>
      <c r="T46" s="714" t="s">
        <v>20</v>
      </c>
      <c r="U46" s="715">
        <f t="shared" si="13"/>
        <v>100</v>
      </c>
      <c r="V46" s="714" t="s">
        <v>20</v>
      </c>
      <c r="W46" s="715">
        <f t="shared" si="14"/>
        <v>100</v>
      </c>
      <c r="X46" s="1541"/>
      <c r="Y46" s="3368"/>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3"/>
      <c r="M47" s="2954"/>
      <c r="N47" s="2945"/>
      <c r="O47" s="2954"/>
      <c r="P47" s="3360" t="str">
        <f>A47</f>
        <v>成交单价（元/平方米）</v>
      </c>
      <c r="Q47" s="3360"/>
      <c r="R47" s="3361">
        <f>E47</f>
        <v>0</v>
      </c>
      <c r="S47" s="3361"/>
      <c r="T47" s="3361">
        <f>G47</f>
        <v>0</v>
      </c>
      <c r="U47" s="3361"/>
      <c r="V47" s="3361">
        <f>I47</f>
        <v>0</v>
      </c>
      <c r="W47" s="3361"/>
      <c r="X47" s="699"/>
      <c r="Y47" s="721"/>
      <c r="Z47" s="699"/>
      <c r="AA47" s="699"/>
      <c r="AB47" s="699"/>
      <c r="AC47" s="699"/>
    </row>
    <row r="48" spans="1:29" ht="15.75" thickBot="1">
      <c r="A48" s="445" t="s">
        <v>2400</v>
      </c>
      <c r="B48" s="446"/>
      <c r="C48" s="1322" t="e">
        <f>R49</f>
        <v>#DIV/0!</v>
      </c>
      <c r="D48" s="2539" t="s">
        <v>2879</v>
      </c>
      <c r="E48" s="1323" t="e">
        <f>R48</f>
        <v>#DIV/0!</v>
      </c>
      <c r="F48" s="2540"/>
      <c r="G48" s="1322" t="e">
        <f>T48</f>
        <v>#DIV/0!</v>
      </c>
      <c r="H48" s="2540"/>
      <c r="I48" s="1323" t="e">
        <f>V48</f>
        <v>#DIV/0!</v>
      </c>
      <c r="J48" s="2540"/>
      <c r="K48" s="2541">
        <f>F48+H48+J48</f>
        <v>0</v>
      </c>
      <c r="L48" s="2953"/>
      <c r="M48" s="2954"/>
      <c r="N48" s="2954"/>
      <c r="O48" s="2954"/>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3"/>
      <c r="M49" s="2954"/>
      <c r="N49" s="2954"/>
      <c r="O49" s="2954"/>
      <c r="P49" s="3357" t="str">
        <f>A49</f>
        <v>估价对象XX用房的比较价值（楼面单价，元/平方米）</v>
      </c>
      <c r="Q49" s="3358"/>
      <c r="R49" s="3359" t="e">
        <f>IF(F1="售价",ROUND(IF(D48="简单平均",AVERAGE(R48:V48),R48*F48+T48*H48+V48*J48),0),ROUND(IF(D48="简单平均",AVERAGE(R48:V48),R48*F48+T48*H48+V48*J48),1))</f>
        <v>#DIV/0!</v>
      </c>
      <c r="S49" s="3359"/>
      <c r="T49" s="3359"/>
      <c r="U49" s="3359"/>
      <c r="V49" s="3359"/>
      <c r="W49" s="335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85" zoomScaleNormal="70" zoomScaleSheetLayoutView="85" workbookViewId="0">
      <selection activeCell="F2" sqref="F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t="s">
        <v>1343</v>
      </c>
      <c r="E1" s="2544"/>
      <c r="F1" s="2067" t="s">
        <v>3096</v>
      </c>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f>IF(C2="——",ROUND(C49*D3/10000,0),ROUND(C49*D3/10000,0)-D2)</f>
        <v>55749</v>
      </c>
      <c r="C2" s="2069" t="s">
        <v>70</v>
      </c>
      <c r="D2" s="1275" t="e">
        <f ca="1">SUMIF(INDIRECT("'"&amp;F2&amp;"'"&amp;"!A:A"),"承租人权益价值",INDIRECT("'"&amp;F2&amp;"'"&amp;"!c:c"))</f>
        <v>#REF!</v>
      </c>
      <c r="E2" s="2070" t="s">
        <v>2150</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2151</v>
      </c>
      <c r="B3" s="566">
        <f>IF(C2="——",C49,ROUND(B2*10000/D3,0))</f>
        <v>30000</v>
      </c>
      <c r="C3" s="360" t="s">
        <v>2466</v>
      </c>
      <c r="D3" s="359">
        <f>IF(D1="",'数据-汇总表'!E3,SUMIF('数据-汇总表'!$C19:$C33,D1,'数据-汇总表'!$E19:$E33))</f>
        <v>18583.03</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5">
      <c r="A4" s="361" t="s">
        <v>2467</v>
      </c>
      <c r="B4" s="362"/>
      <c r="C4" s="3343" t="s">
        <v>2468</v>
      </c>
      <c r="D4" s="3344"/>
      <c r="E4" s="3345" t="s">
        <v>2469</v>
      </c>
      <c r="F4" s="3346"/>
      <c r="G4" s="3343" t="s">
        <v>2470</v>
      </c>
      <c r="H4" s="3344"/>
      <c r="I4" s="3343" t="s">
        <v>2471</v>
      </c>
      <c r="J4" s="3344"/>
      <c r="K4" s="567" t="s">
        <v>2472</v>
      </c>
      <c r="L4" s="2944"/>
      <c r="M4" s="2945"/>
      <c r="N4" s="2945"/>
      <c r="O4" s="2945"/>
      <c r="P4" s="3347" t="s">
        <v>2473</v>
      </c>
      <c r="Q4" s="3348"/>
      <c r="R4" s="3330" t="s">
        <v>2469</v>
      </c>
      <c r="S4" s="3331"/>
      <c r="T4" s="3330" t="s">
        <v>2470</v>
      </c>
      <c r="U4" s="3331"/>
      <c r="V4" s="3355" t="s">
        <v>2471</v>
      </c>
      <c r="W4" s="3355"/>
      <c r="X4" s="1541"/>
      <c r="Y4" s="3330" t="s">
        <v>2473</v>
      </c>
      <c r="Z4" s="3331"/>
      <c r="AA4" s="3325" t="s">
        <v>2469</v>
      </c>
      <c r="AB4" s="3355" t="s">
        <v>2470</v>
      </c>
      <c r="AC4" s="3325" t="s">
        <v>2471</v>
      </c>
    </row>
    <row r="5" spans="1:29" ht="15">
      <c r="A5" s="364"/>
      <c r="B5" s="365"/>
      <c r="C5" s="3336" t="s">
        <v>2364</v>
      </c>
      <c r="D5" s="3337"/>
      <c r="E5" s="3334" t="s">
        <v>2365</v>
      </c>
      <c r="F5" s="3335"/>
      <c r="G5" s="3336" t="s">
        <v>2366</v>
      </c>
      <c r="H5" s="3337"/>
      <c r="I5" s="3336" t="s">
        <v>2367</v>
      </c>
      <c r="J5" s="3337"/>
      <c r="K5" s="567"/>
      <c r="L5" s="2944"/>
      <c r="M5" s="2945"/>
      <c r="N5" s="2945"/>
      <c r="O5" s="2945"/>
      <c r="P5" s="3349"/>
      <c r="Q5" s="3350"/>
      <c r="R5" s="3332"/>
      <c r="S5" s="3333"/>
      <c r="T5" s="3332"/>
      <c r="U5" s="3333"/>
      <c r="V5" s="3355"/>
      <c r="W5" s="3355"/>
      <c r="X5" s="1541"/>
      <c r="Y5" s="3332"/>
      <c r="Z5" s="3333"/>
      <c r="AA5" s="3326"/>
      <c r="AB5" s="3355"/>
      <c r="AC5" s="3326"/>
    </row>
    <row r="6" spans="1:29" ht="15.75" thickBot="1">
      <c r="A6" s="366"/>
      <c r="B6" s="367"/>
      <c r="C6" s="3338" t="s">
        <v>2368</v>
      </c>
      <c r="D6" s="3339"/>
      <c r="E6" s="3340" t="s">
        <v>2368</v>
      </c>
      <c r="F6" s="3341"/>
      <c r="G6" s="3338" t="s">
        <v>2368</v>
      </c>
      <c r="H6" s="3339"/>
      <c r="I6" s="3338" t="s">
        <v>2368</v>
      </c>
      <c r="J6" s="3339"/>
      <c r="K6" s="567" t="s">
        <v>2369</v>
      </c>
      <c r="L6" s="2944"/>
      <c r="M6" s="2945"/>
      <c r="N6" s="2945"/>
      <c r="O6" s="2945"/>
      <c r="P6" s="3351"/>
      <c r="Q6" s="3352"/>
      <c r="R6" s="3332"/>
      <c r="S6" s="3333"/>
      <c r="T6" s="3353"/>
      <c r="U6" s="3354"/>
      <c r="V6" s="3355"/>
      <c r="W6" s="3355"/>
      <c r="X6" s="1541"/>
      <c r="Y6" s="3353"/>
      <c r="Z6" s="3354"/>
      <c r="AA6" s="3327"/>
      <c r="AB6" s="3355"/>
      <c r="AC6" s="3327"/>
    </row>
    <row r="7" spans="1:29" s="113" customFormat="1" ht="15.75" thickBot="1">
      <c r="A7" s="368" t="s">
        <v>2370</v>
      </c>
      <c r="B7" s="369"/>
      <c r="C7" s="370">
        <f>'数据-取费表'!B2</f>
        <v>44155</v>
      </c>
      <c r="D7" s="371">
        <v>100</v>
      </c>
      <c r="E7" s="372">
        <f>C7</f>
        <v>44155</v>
      </c>
      <c r="F7" s="373">
        <f>SUMIF(58:58,YEAR(E7)&amp;"-"&amp;MONTH(E7),59:59)</f>
        <v>100</v>
      </c>
      <c r="G7" s="372">
        <f>E7</f>
        <v>44155</v>
      </c>
      <c r="H7" s="371">
        <f>SUMIF(58:58,YEAR(G7)&amp;"-"&amp;MONTH(G7),59:59)</f>
        <v>100</v>
      </c>
      <c r="I7" s="372">
        <f>G7</f>
        <v>44155</v>
      </c>
      <c r="J7" s="371">
        <f>SUMIF(58:58,YEAR(I7)&amp;"-"&amp;MONTH(I7),59:59)</f>
        <v>100</v>
      </c>
      <c r="K7" s="568"/>
      <c r="L7" s="2946"/>
      <c r="M7" s="2947"/>
      <c r="N7" s="2947"/>
      <c r="O7" s="2947"/>
      <c r="P7" s="3328" t="s">
        <v>2371</v>
      </c>
      <c r="Q7" s="3356"/>
      <c r="R7" s="710" t="s">
        <v>17</v>
      </c>
      <c r="S7" s="711">
        <f t="shared" ref="S7:S15" si="0">F7</f>
        <v>100</v>
      </c>
      <c r="T7" s="710" t="s">
        <v>17</v>
      </c>
      <c r="U7" s="711">
        <f t="shared" ref="U7:U15" si="1">H7</f>
        <v>100</v>
      </c>
      <c r="V7" s="710" t="s">
        <v>17</v>
      </c>
      <c r="W7" s="711">
        <f t="shared" ref="W7:W15" si="2">J7</f>
        <v>100</v>
      </c>
      <c r="X7" s="712"/>
      <c r="Y7" s="3328" t="s">
        <v>2371</v>
      </c>
      <c r="Z7" s="3329"/>
      <c r="AA7" s="713">
        <f>D7/F7</f>
        <v>1</v>
      </c>
      <c r="AB7" s="713">
        <f>D7/H7</f>
        <v>1</v>
      </c>
      <c r="AC7" s="713">
        <f>D7/J7</f>
        <v>1</v>
      </c>
    </row>
    <row r="8" spans="1:29" s="113" customFormat="1" ht="15.75" thickBot="1">
      <c r="A8" s="368" t="s">
        <v>2372</v>
      </c>
      <c r="B8" s="369"/>
      <c r="C8" s="374" t="s">
        <v>2474</v>
      </c>
      <c r="D8" s="371">
        <v>100</v>
      </c>
      <c r="E8" s="374" t="s">
        <v>3095</v>
      </c>
      <c r="F8" s="373">
        <f>SUMIF(61:61,E8,62:62)-SUMIF(61:61,C8,62:62)+100</f>
        <v>100</v>
      </c>
      <c r="G8" s="374" t="s">
        <v>3095</v>
      </c>
      <c r="H8" s="371">
        <f>SUMIF(61:61,G8,62:62)-SUMIF(61:61,C8,62:62)+100</f>
        <v>100</v>
      </c>
      <c r="I8" s="374" t="s">
        <v>3095</v>
      </c>
      <c r="J8" s="371">
        <f>SUMIF(61:61,I8,62:62)-SUMIF(61:61,C8,62:62)+100</f>
        <v>100</v>
      </c>
      <c r="K8" s="568"/>
      <c r="L8" s="2946"/>
      <c r="M8" s="2947"/>
      <c r="N8" s="2947"/>
      <c r="O8" s="2947"/>
      <c r="P8" s="3328" t="s">
        <v>2374</v>
      </c>
      <c r="Q8" s="3329"/>
      <c r="R8" s="710" t="s">
        <v>17</v>
      </c>
      <c r="S8" s="711">
        <f t="shared" si="0"/>
        <v>100</v>
      </c>
      <c r="T8" s="710" t="s">
        <v>17</v>
      </c>
      <c r="U8" s="711">
        <f t="shared" si="1"/>
        <v>100</v>
      </c>
      <c r="V8" s="710" t="s">
        <v>17</v>
      </c>
      <c r="W8" s="711">
        <f t="shared" si="2"/>
        <v>100</v>
      </c>
      <c r="X8" s="712"/>
      <c r="Y8" s="3328" t="s">
        <v>2374</v>
      </c>
      <c r="Z8" s="3329"/>
      <c r="AA8" s="713">
        <f t="shared" ref="AA8:AA46" si="3">D8/F8</f>
        <v>1</v>
      </c>
      <c r="AB8" s="713">
        <f t="shared" ref="AB8:AB46" si="4">D8/H8</f>
        <v>1</v>
      </c>
      <c r="AC8" s="713">
        <f t="shared" ref="AC8:AC46" si="5">D8/J8</f>
        <v>1</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42" t="s">
        <v>2377</v>
      </c>
      <c r="Q9" s="1529" t="str">
        <f t="shared" ref="Q9:Q15" si="6">B9</f>
        <v>用途</v>
      </c>
      <c r="R9" s="710" t="s">
        <v>17</v>
      </c>
      <c r="S9" s="711">
        <f t="shared" si="0"/>
        <v>100</v>
      </c>
      <c r="T9" s="710" t="s">
        <v>17</v>
      </c>
      <c r="U9" s="711">
        <f t="shared" si="1"/>
        <v>100</v>
      </c>
      <c r="V9" s="710" t="s">
        <v>17</v>
      </c>
      <c r="W9" s="711">
        <f t="shared" si="2"/>
        <v>100</v>
      </c>
      <c r="X9" s="712"/>
      <c r="Y9" s="324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42"/>
      <c r="Q10" s="1529"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2380</v>
      </c>
      <c r="C11" s="388"/>
      <c r="D11" s="132">
        <v>100</v>
      </c>
      <c r="E11" s="389"/>
      <c r="F11" s="384">
        <f>LOOKUP(E11,68:68,69:69)-LOOKUP(C11,68:68,69:69)+100</f>
        <v>100</v>
      </c>
      <c r="G11" s="388"/>
      <c r="H11" s="132">
        <f>LOOKUP(G11,68:68,69:69)-LOOKUP(C11,68:68,69:69)+100</f>
        <v>100</v>
      </c>
      <c r="I11" s="388"/>
      <c r="J11" s="132">
        <f>LOOKUP(I11,68:68,69:69)-LOOKUP(C11,68:68,69:69)+100</f>
        <v>100</v>
      </c>
      <c r="K11" s="569"/>
      <c r="L11" s="2950"/>
      <c r="M11" s="2945"/>
      <c r="N11" s="2945"/>
      <c r="O11" s="2945"/>
      <c r="P11" s="3342"/>
      <c r="Q11" s="1529" t="str">
        <f t="shared" si="6"/>
        <v>容积率</v>
      </c>
      <c r="R11" s="710" t="s">
        <v>17</v>
      </c>
      <c r="S11" s="711">
        <f t="shared" si="0"/>
        <v>100</v>
      </c>
      <c r="T11" s="710" t="s">
        <v>17</v>
      </c>
      <c r="U11" s="711">
        <f t="shared" si="1"/>
        <v>100</v>
      </c>
      <c r="V11" s="710" t="s">
        <v>17</v>
      </c>
      <c r="W11" s="711">
        <f t="shared" si="2"/>
        <v>100</v>
      </c>
      <c r="X11" s="712"/>
      <c r="Y11" s="3244"/>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42"/>
      <c r="Q12" s="1529">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42"/>
      <c r="Q13" s="1529">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42"/>
      <c r="Q14" s="1529">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69" t="s">
        <v>2382</v>
      </c>
      <c r="Q15" s="1538" t="str">
        <f t="shared" si="6"/>
        <v>商业繁华度</v>
      </c>
      <c r="R15" s="714" t="s">
        <v>17</v>
      </c>
      <c r="S15" s="715">
        <f t="shared" si="0"/>
        <v>100</v>
      </c>
      <c r="T15" s="714" t="s">
        <v>17</v>
      </c>
      <c r="U15" s="715">
        <f t="shared" si="1"/>
        <v>100</v>
      </c>
      <c r="V15" s="714" t="s">
        <v>17</v>
      </c>
      <c r="W15" s="715">
        <f t="shared" si="2"/>
        <v>100</v>
      </c>
      <c r="X15" s="1541"/>
      <c r="Y15" s="3362"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1"/>
      <c r="M16" s="2945"/>
      <c r="N16" s="2945"/>
      <c r="O16" s="2945"/>
      <c r="P16" s="3370"/>
      <c r="Q16" s="1538"/>
      <c r="R16" s="714"/>
      <c r="S16" s="715"/>
      <c r="T16" s="714"/>
      <c r="U16" s="715"/>
      <c r="V16" s="714"/>
      <c r="W16" s="715"/>
      <c r="X16" s="1541"/>
      <c r="Y16" s="3363"/>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70"/>
      <c r="Q17" s="1538" t="str">
        <f>B17</f>
        <v>交通便捷度</v>
      </c>
      <c r="R17" s="714" t="s">
        <v>17</v>
      </c>
      <c r="S17" s="715">
        <f>F17</f>
        <v>100</v>
      </c>
      <c r="T17" s="714" t="s">
        <v>17</v>
      </c>
      <c r="U17" s="715">
        <f>H17</f>
        <v>100</v>
      </c>
      <c r="V17" s="714" t="s">
        <v>17</v>
      </c>
      <c r="W17" s="715">
        <f>J17</f>
        <v>100</v>
      </c>
      <c r="X17" s="1541"/>
      <c r="Y17" s="336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1"/>
      <c r="M18" s="2945"/>
      <c r="N18" s="2945"/>
      <c r="O18" s="2945"/>
      <c r="P18" s="3370"/>
      <c r="Q18" s="1538"/>
      <c r="R18" s="714"/>
      <c r="S18" s="715"/>
      <c r="T18" s="714"/>
      <c r="U18" s="715"/>
      <c r="V18" s="714"/>
      <c r="W18" s="715"/>
      <c r="X18" s="1541"/>
      <c r="Y18" s="3363"/>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70"/>
      <c r="Q19" s="1538" t="str">
        <f>B19</f>
        <v>公共配套设施</v>
      </c>
      <c r="R19" s="714" t="s">
        <v>17</v>
      </c>
      <c r="S19" s="715">
        <f>F19</f>
        <v>100</v>
      </c>
      <c r="T19" s="714" t="s">
        <v>17</v>
      </c>
      <c r="U19" s="715">
        <f>H19</f>
        <v>100</v>
      </c>
      <c r="V19" s="714" t="s">
        <v>17</v>
      </c>
      <c r="W19" s="715">
        <f>J19</f>
        <v>100</v>
      </c>
      <c r="X19" s="1541"/>
      <c r="Y19" s="336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1"/>
      <c r="M20" s="2945"/>
      <c r="N20" s="2945"/>
      <c r="O20" s="2945"/>
      <c r="P20" s="3370"/>
      <c r="Q20" s="1538"/>
      <c r="R20" s="714"/>
      <c r="S20" s="715"/>
      <c r="T20" s="714"/>
      <c r="U20" s="715"/>
      <c r="V20" s="714"/>
      <c r="W20" s="715"/>
      <c r="X20" s="1541"/>
      <c r="Y20" s="3363"/>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70"/>
      <c r="Q21" s="1538" t="str">
        <f>B21</f>
        <v>基础设施水平</v>
      </c>
      <c r="R21" s="714" t="s">
        <v>17</v>
      </c>
      <c r="S21" s="715">
        <f>F21</f>
        <v>100</v>
      </c>
      <c r="T21" s="714" t="s">
        <v>17</v>
      </c>
      <c r="U21" s="715">
        <f>H21</f>
        <v>100</v>
      </c>
      <c r="V21" s="714" t="s">
        <v>17</v>
      </c>
      <c r="W21" s="715">
        <f>J21</f>
        <v>100</v>
      </c>
      <c r="X21" s="1541"/>
      <c r="Y21" s="336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1"/>
      <c r="M22" s="2945"/>
      <c r="N22" s="2945"/>
      <c r="O22" s="2945"/>
      <c r="P22" s="3370"/>
      <c r="Q22" s="1538"/>
      <c r="R22" s="714"/>
      <c r="S22" s="715"/>
      <c r="T22" s="714"/>
      <c r="U22" s="715"/>
      <c r="V22" s="714"/>
      <c r="W22" s="715"/>
      <c r="X22" s="1541"/>
      <c r="Y22" s="3363"/>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70"/>
      <c r="Q23" s="1538" t="str">
        <f>B23</f>
        <v>自然及人文环境</v>
      </c>
      <c r="R23" s="714" t="s">
        <v>17</v>
      </c>
      <c r="S23" s="715">
        <f>F23</f>
        <v>100</v>
      </c>
      <c r="T23" s="714" t="s">
        <v>17</v>
      </c>
      <c r="U23" s="715">
        <f>H23</f>
        <v>100</v>
      </c>
      <c r="V23" s="714" t="s">
        <v>17</v>
      </c>
      <c r="W23" s="715">
        <f>J23</f>
        <v>100</v>
      </c>
      <c r="X23" s="1541"/>
      <c r="Y23" s="3363"/>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1"/>
      <c r="M24" s="2945"/>
      <c r="N24" s="2945"/>
      <c r="O24" s="2945"/>
      <c r="P24" s="3370"/>
      <c r="Q24" s="1538"/>
      <c r="R24" s="714"/>
      <c r="S24" s="715"/>
      <c r="T24" s="714"/>
      <c r="U24" s="715"/>
      <c r="V24" s="714"/>
      <c r="W24" s="715"/>
      <c r="X24" s="1541"/>
      <c r="Y24" s="3363"/>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70"/>
      <c r="Q25" s="1538" t="str">
        <f t="shared" ref="Q25:Q46" si="11">B25</f>
        <v>临街状况</v>
      </c>
      <c r="R25" s="714" t="s">
        <v>17</v>
      </c>
      <c r="S25" s="715">
        <f>F25</f>
        <v>100</v>
      </c>
      <c r="T25" s="714" t="s">
        <v>17</v>
      </c>
      <c r="U25" s="715">
        <f>H25</f>
        <v>100</v>
      </c>
      <c r="V25" s="714" t="s">
        <v>17</v>
      </c>
      <c r="W25" s="715">
        <f>J25</f>
        <v>100</v>
      </c>
      <c r="X25" s="1541"/>
      <c r="Y25" s="3363"/>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70"/>
      <c r="Q26" s="1538" t="str">
        <f t="shared" si="11"/>
        <v>平面位置/可视性</v>
      </c>
      <c r="R26" s="714" t="s">
        <v>17</v>
      </c>
      <c r="S26" s="715">
        <f>F26</f>
        <v>100</v>
      </c>
      <c r="T26" s="714" t="s">
        <v>17</v>
      </c>
      <c r="U26" s="715">
        <f>H26</f>
        <v>100</v>
      </c>
      <c r="V26" s="714" t="s">
        <v>17</v>
      </c>
      <c r="W26" s="715">
        <f>J26</f>
        <v>100</v>
      </c>
      <c r="X26" s="1541"/>
      <c r="Y26" s="3363"/>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6"/>
      <c r="M27" s="2947"/>
      <c r="N27" s="2947"/>
      <c r="O27" s="2947"/>
      <c r="P27" s="3370"/>
      <c r="Q27" s="1529" t="str">
        <f t="shared" si="11"/>
        <v>人流量</v>
      </c>
      <c r="R27" s="710" t="s">
        <v>17</v>
      </c>
      <c r="S27" s="711">
        <f>F27</f>
        <v>100</v>
      </c>
      <c r="T27" s="710" t="s">
        <v>17</v>
      </c>
      <c r="U27" s="711">
        <f>H27</f>
        <v>100</v>
      </c>
      <c r="V27" s="710" t="s">
        <v>17</v>
      </c>
      <c r="W27" s="711">
        <f>J27</f>
        <v>100</v>
      </c>
      <c r="X27" s="712"/>
      <c r="Y27" s="3363"/>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70"/>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63"/>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70"/>
      <c r="Q29" s="1538">
        <f t="shared" si="11"/>
        <v>111</v>
      </c>
      <c r="R29" s="714" t="s">
        <v>17</v>
      </c>
      <c r="S29" s="715">
        <f t="shared" si="12"/>
        <v>100</v>
      </c>
      <c r="T29" s="714" t="s">
        <v>17</v>
      </c>
      <c r="U29" s="715">
        <f t="shared" si="13"/>
        <v>100</v>
      </c>
      <c r="V29" s="714" t="s">
        <v>17</v>
      </c>
      <c r="W29" s="715">
        <f t="shared" si="14"/>
        <v>100</v>
      </c>
      <c r="X29" s="1541"/>
      <c r="Y29" s="3363"/>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70"/>
      <c r="Q30" s="1538">
        <f t="shared" si="11"/>
        <v>111</v>
      </c>
      <c r="R30" s="714" t="s">
        <v>17</v>
      </c>
      <c r="S30" s="715">
        <f t="shared" si="12"/>
        <v>100</v>
      </c>
      <c r="T30" s="714" t="s">
        <v>17</v>
      </c>
      <c r="U30" s="715">
        <f t="shared" si="13"/>
        <v>100</v>
      </c>
      <c r="V30" s="714" t="s">
        <v>17</v>
      </c>
      <c r="W30" s="715">
        <f t="shared" si="14"/>
        <v>100</v>
      </c>
      <c r="X30" s="1541"/>
      <c r="Y30" s="3363"/>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70"/>
      <c r="Q31" s="1538">
        <f t="shared" si="11"/>
        <v>111</v>
      </c>
      <c r="R31" s="714" t="s">
        <v>17</v>
      </c>
      <c r="S31" s="715">
        <f t="shared" si="12"/>
        <v>100</v>
      </c>
      <c r="T31" s="714" t="s">
        <v>17</v>
      </c>
      <c r="U31" s="715">
        <f t="shared" si="13"/>
        <v>100</v>
      </c>
      <c r="V31" s="714" t="s">
        <v>17</v>
      </c>
      <c r="W31" s="715">
        <f t="shared" si="14"/>
        <v>100</v>
      </c>
      <c r="X31" s="1541"/>
      <c r="Y31" s="3363"/>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1"/>
      <c r="M32" s="2945"/>
      <c r="N32" s="2945"/>
      <c r="O32" s="2945"/>
      <c r="P32" s="3364" t="s">
        <v>2387</v>
      </c>
      <c r="Q32" s="1538" t="str">
        <f t="shared" si="11"/>
        <v>商业类型</v>
      </c>
      <c r="R32" s="714" t="s">
        <v>17</v>
      </c>
      <c r="S32" s="715">
        <f t="shared" si="12"/>
        <v>100</v>
      </c>
      <c r="T32" s="714" t="s">
        <v>17</v>
      </c>
      <c r="U32" s="715">
        <f t="shared" si="13"/>
        <v>100</v>
      </c>
      <c r="V32" s="714" t="s">
        <v>17</v>
      </c>
      <c r="W32" s="715">
        <f t="shared" si="14"/>
        <v>100</v>
      </c>
      <c r="X32" s="1541"/>
      <c r="Y32" s="3367"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0"/>
      <c r="M33" s="2952"/>
      <c r="N33" s="2952"/>
      <c r="O33" s="2952"/>
      <c r="P33" s="3365"/>
      <c r="Q33" s="716" t="str">
        <f t="shared" si="11"/>
        <v>项目建筑规模</v>
      </c>
      <c r="R33" s="717" t="s">
        <v>17</v>
      </c>
      <c r="S33" s="718">
        <f t="shared" si="12"/>
        <v>100</v>
      </c>
      <c r="T33" s="717" t="s">
        <v>17</v>
      </c>
      <c r="U33" s="718">
        <f t="shared" si="13"/>
        <v>100</v>
      </c>
      <c r="V33" s="717" t="s">
        <v>17</v>
      </c>
      <c r="W33" s="718">
        <f t="shared" si="14"/>
        <v>100</v>
      </c>
      <c r="X33" s="719"/>
      <c r="Y33" s="3367"/>
      <c r="Z33" s="720" t="str">
        <f t="shared" si="15"/>
        <v>项目建筑规模</v>
      </c>
      <c r="AA33" s="1539">
        <f t="shared" si="3"/>
        <v>1</v>
      </c>
      <c r="AB33" s="1539">
        <f t="shared" si="4"/>
        <v>1</v>
      </c>
      <c r="AC33" s="1539">
        <f t="shared" si="5"/>
        <v>1</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1"/>
      <c r="M34" s="2945"/>
      <c r="N34" s="2945"/>
      <c r="O34" s="2945"/>
      <c r="P34" s="3365"/>
      <c r="Q34" s="1538" t="str">
        <f t="shared" si="11"/>
        <v>建筑结构</v>
      </c>
      <c r="R34" s="714" t="s">
        <v>17</v>
      </c>
      <c r="S34" s="715">
        <f t="shared" si="12"/>
        <v>100</v>
      </c>
      <c r="T34" s="714" t="s">
        <v>17</v>
      </c>
      <c r="U34" s="715">
        <f t="shared" si="13"/>
        <v>100</v>
      </c>
      <c r="V34" s="714" t="s">
        <v>17</v>
      </c>
      <c r="W34" s="715">
        <f t="shared" si="14"/>
        <v>100</v>
      </c>
      <c r="X34" s="1541"/>
      <c r="Y34" s="3367"/>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1"/>
      <c r="M35" s="2945"/>
      <c r="N35" s="2945"/>
      <c r="O35" s="2945"/>
      <c r="P35" s="3365"/>
      <c r="Q35" s="1538" t="str">
        <f t="shared" si="11"/>
        <v>公共部分装修</v>
      </c>
      <c r="R35" s="714" t="s">
        <v>17</v>
      </c>
      <c r="S35" s="715">
        <f t="shared" si="12"/>
        <v>100</v>
      </c>
      <c r="T35" s="714" t="s">
        <v>17</v>
      </c>
      <c r="U35" s="715">
        <f t="shared" si="13"/>
        <v>100</v>
      </c>
      <c r="V35" s="714" t="s">
        <v>17</v>
      </c>
      <c r="W35" s="715">
        <f t="shared" si="14"/>
        <v>100</v>
      </c>
      <c r="X35" s="1541"/>
      <c r="Y35" s="3367"/>
      <c r="Z35" s="1542" t="str">
        <f t="shared" si="15"/>
        <v>公共部分装修</v>
      </c>
      <c r="AA35" s="1539">
        <f t="shared" si="3"/>
        <v>1</v>
      </c>
      <c r="AB35" s="1539">
        <f t="shared" si="4"/>
        <v>1</v>
      </c>
      <c r="AC35" s="1539">
        <f t="shared" si="5"/>
        <v>1</v>
      </c>
    </row>
    <row r="36" spans="1:29" ht="15">
      <c r="A36" s="431"/>
      <c r="B36" s="381" t="s">
        <v>2484</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51"/>
      <c r="M36" s="2945"/>
      <c r="N36" s="2945"/>
      <c r="O36" s="2945"/>
      <c r="P36" s="3365"/>
      <c r="Q36" s="1538" t="str">
        <f t="shared" si="11"/>
        <v>成新度</v>
      </c>
      <c r="R36" s="714" t="s">
        <v>17</v>
      </c>
      <c r="S36" s="715">
        <f t="shared" si="12"/>
        <v>100</v>
      </c>
      <c r="T36" s="714" t="s">
        <v>17</v>
      </c>
      <c r="U36" s="715">
        <f t="shared" si="13"/>
        <v>100</v>
      </c>
      <c r="V36" s="714" t="s">
        <v>17</v>
      </c>
      <c r="W36" s="715">
        <f t="shared" si="14"/>
        <v>100</v>
      </c>
      <c r="X36" s="1541"/>
      <c r="Y36" s="3367"/>
      <c r="Z36" s="1542" t="str">
        <f t="shared" si="15"/>
        <v>成新度</v>
      </c>
      <c r="AA36" s="1539">
        <f t="shared" si="3"/>
        <v>1</v>
      </c>
      <c r="AB36" s="1539">
        <f t="shared" si="4"/>
        <v>1</v>
      </c>
      <c r="AC36" s="1539">
        <f t="shared" si="5"/>
        <v>1</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6"/>
      <c r="M37" s="2947"/>
      <c r="N37" s="2947"/>
      <c r="O37" s="2947"/>
      <c r="P37" s="3365"/>
      <c r="Q37" s="1529" t="str">
        <f t="shared" si="11"/>
        <v>市政基础设施</v>
      </c>
      <c r="R37" s="710" t="s">
        <v>17</v>
      </c>
      <c r="S37" s="711">
        <f t="shared" si="12"/>
        <v>100</v>
      </c>
      <c r="T37" s="710" t="s">
        <v>17</v>
      </c>
      <c r="U37" s="711">
        <f t="shared" si="13"/>
        <v>100</v>
      </c>
      <c r="V37" s="710" t="s">
        <v>17</v>
      </c>
      <c r="W37" s="711">
        <f t="shared" si="14"/>
        <v>100</v>
      </c>
      <c r="X37" s="712"/>
      <c r="Y37" s="3367"/>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365" t="s">
        <v>2387</v>
      </c>
      <c r="Q38" s="1538" t="str">
        <f t="shared" si="11"/>
        <v>业态</v>
      </c>
      <c r="R38" s="714" t="s">
        <v>17</v>
      </c>
      <c r="S38" s="715">
        <f t="shared" si="12"/>
        <v>100</v>
      </c>
      <c r="T38" s="714" t="s">
        <v>17</v>
      </c>
      <c r="U38" s="715">
        <f t="shared" si="13"/>
        <v>100</v>
      </c>
      <c r="V38" s="714" t="s">
        <v>17</v>
      </c>
      <c r="W38" s="715">
        <f t="shared" si="14"/>
        <v>100</v>
      </c>
      <c r="X38" s="1541"/>
      <c r="Y38" s="3367"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1"/>
      <c r="M39" s="2945"/>
      <c r="N39" s="2945"/>
      <c r="O39" s="2945"/>
      <c r="P39" s="3365"/>
      <c r="Q39" s="1538" t="str">
        <f t="shared" si="11"/>
        <v>层高</v>
      </c>
      <c r="R39" s="714" t="s">
        <v>17</v>
      </c>
      <c r="S39" s="715">
        <f t="shared" si="12"/>
        <v>100</v>
      </c>
      <c r="T39" s="714" t="s">
        <v>17</v>
      </c>
      <c r="U39" s="715">
        <f t="shared" si="13"/>
        <v>100</v>
      </c>
      <c r="V39" s="714" t="s">
        <v>17</v>
      </c>
      <c r="W39" s="715">
        <f t="shared" si="14"/>
        <v>100</v>
      </c>
      <c r="X39" s="1541"/>
      <c r="Y39" s="3367"/>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65"/>
      <c r="Q40" s="1538" t="str">
        <f t="shared" si="11"/>
        <v>单套建筑面积</v>
      </c>
      <c r="R40" s="714" t="s">
        <v>17</v>
      </c>
      <c r="S40" s="715">
        <f t="shared" si="12"/>
        <v>100</v>
      </c>
      <c r="T40" s="714" t="s">
        <v>17</v>
      </c>
      <c r="U40" s="715">
        <f t="shared" si="13"/>
        <v>100</v>
      </c>
      <c r="V40" s="714" t="s">
        <v>17</v>
      </c>
      <c r="W40" s="715">
        <f t="shared" si="14"/>
        <v>100</v>
      </c>
      <c r="X40" s="1541"/>
      <c r="Y40" s="3367"/>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65"/>
      <c r="Q41" s="716" t="str">
        <f t="shared" si="11"/>
        <v>进深比</v>
      </c>
      <c r="R41" s="717" t="s">
        <v>17</v>
      </c>
      <c r="S41" s="718">
        <f t="shared" si="12"/>
        <v>100</v>
      </c>
      <c r="T41" s="717" t="s">
        <v>17</v>
      </c>
      <c r="U41" s="718">
        <f t="shared" si="13"/>
        <v>100</v>
      </c>
      <c r="V41" s="717" t="s">
        <v>17</v>
      </c>
      <c r="W41" s="718">
        <f t="shared" si="14"/>
        <v>100</v>
      </c>
      <c r="X41" s="719"/>
      <c r="Y41" s="3367"/>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1"/>
      <c r="M42" s="2945"/>
      <c r="N42" s="2945"/>
      <c r="O42" s="2945"/>
      <c r="P42" s="3365"/>
      <c r="Q42" s="1538" t="str">
        <f t="shared" si="11"/>
        <v>内部装修</v>
      </c>
      <c r="R42" s="714" t="s">
        <v>17</v>
      </c>
      <c r="S42" s="715">
        <f t="shared" si="12"/>
        <v>100</v>
      </c>
      <c r="T42" s="714" t="s">
        <v>17</v>
      </c>
      <c r="U42" s="715">
        <f t="shared" si="13"/>
        <v>100</v>
      </c>
      <c r="V42" s="714" t="s">
        <v>17</v>
      </c>
      <c r="W42" s="715">
        <f t="shared" si="14"/>
        <v>100</v>
      </c>
      <c r="X42" s="1541"/>
      <c r="Y42" s="3367"/>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1"/>
      <c r="M43" s="2945"/>
      <c r="N43" s="2945"/>
      <c r="O43" s="2945"/>
      <c r="P43" s="3365"/>
      <c r="Q43" s="1538" t="str">
        <f t="shared" si="11"/>
        <v>内部装修维护情况</v>
      </c>
      <c r="R43" s="714" t="s">
        <v>17</v>
      </c>
      <c r="S43" s="715">
        <f t="shared" si="12"/>
        <v>100</v>
      </c>
      <c r="T43" s="714" t="s">
        <v>17</v>
      </c>
      <c r="U43" s="715">
        <f t="shared" si="13"/>
        <v>100</v>
      </c>
      <c r="V43" s="714" t="s">
        <v>17</v>
      </c>
      <c r="W43" s="715">
        <f t="shared" si="14"/>
        <v>100</v>
      </c>
      <c r="X43" s="1541"/>
      <c r="Y43" s="3367"/>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65"/>
      <c r="Q44" s="1529">
        <f t="shared" si="11"/>
        <v>111</v>
      </c>
      <c r="R44" s="710" t="s">
        <v>17</v>
      </c>
      <c r="S44" s="711">
        <f t="shared" si="12"/>
        <v>100</v>
      </c>
      <c r="T44" s="710" t="s">
        <v>17</v>
      </c>
      <c r="U44" s="711">
        <f t="shared" si="13"/>
        <v>100</v>
      </c>
      <c r="V44" s="710" t="s">
        <v>17</v>
      </c>
      <c r="W44" s="711">
        <f t="shared" si="14"/>
        <v>100</v>
      </c>
      <c r="X44" s="712"/>
      <c r="Y44" s="336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65"/>
      <c r="Q45" s="1538">
        <f t="shared" si="11"/>
        <v>111</v>
      </c>
      <c r="R45" s="714" t="s">
        <v>17</v>
      </c>
      <c r="S45" s="715">
        <f t="shared" si="12"/>
        <v>100</v>
      </c>
      <c r="T45" s="714" t="s">
        <v>17</v>
      </c>
      <c r="U45" s="715">
        <f t="shared" si="13"/>
        <v>100</v>
      </c>
      <c r="V45" s="714" t="s">
        <v>17</v>
      </c>
      <c r="W45" s="715">
        <f t="shared" si="14"/>
        <v>100</v>
      </c>
      <c r="X45" s="1541"/>
      <c r="Y45" s="3367"/>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66"/>
      <c r="Q46" s="1538">
        <f t="shared" si="11"/>
        <v>111</v>
      </c>
      <c r="R46" s="714" t="s">
        <v>17</v>
      </c>
      <c r="S46" s="715">
        <f t="shared" si="12"/>
        <v>100</v>
      </c>
      <c r="T46" s="714" t="s">
        <v>17</v>
      </c>
      <c r="U46" s="715">
        <f t="shared" si="13"/>
        <v>100</v>
      </c>
      <c r="V46" s="714" t="s">
        <v>17</v>
      </c>
      <c r="W46" s="715">
        <f t="shared" si="14"/>
        <v>100</v>
      </c>
      <c r="X46" s="1541"/>
      <c r="Y46" s="3368"/>
      <c r="Z46" s="1542">
        <f t="shared" si="15"/>
        <v>111</v>
      </c>
      <c r="AA46" s="1539">
        <f t="shared" si="3"/>
        <v>1</v>
      </c>
      <c r="AB46" s="1539">
        <f t="shared" si="4"/>
        <v>1</v>
      </c>
      <c r="AC46" s="1539">
        <f t="shared" si="5"/>
        <v>1</v>
      </c>
    </row>
    <row r="47" spans="1:29" ht="15">
      <c r="A47" s="438" t="s">
        <v>2399</v>
      </c>
      <c r="B47" s="439"/>
      <c r="C47" s="1316" t="s">
        <v>1</v>
      </c>
      <c r="D47" s="1317"/>
      <c r="E47" s="1318">
        <v>30000</v>
      </c>
      <c r="F47" s="1319"/>
      <c r="G47" s="1320">
        <f>E47</f>
        <v>30000</v>
      </c>
      <c r="H47" s="1321"/>
      <c r="I47" s="1318">
        <f>G47</f>
        <v>30000</v>
      </c>
      <c r="J47" s="1321"/>
      <c r="K47" s="723"/>
      <c r="L47" s="2953"/>
      <c r="M47" s="2954"/>
      <c r="N47" s="2945"/>
      <c r="O47" s="2954"/>
      <c r="P47" s="3360" t="str">
        <f>A47</f>
        <v>成交单价（元/平方米）</v>
      </c>
      <c r="Q47" s="3360"/>
      <c r="R47" s="3355">
        <f>E47</f>
        <v>30000</v>
      </c>
      <c r="S47" s="3355"/>
      <c r="T47" s="3355">
        <f>G47</f>
        <v>30000</v>
      </c>
      <c r="U47" s="3355"/>
      <c r="V47" s="3355">
        <f>I47</f>
        <v>30000</v>
      </c>
      <c r="W47" s="3355"/>
      <c r="X47" s="699"/>
      <c r="Y47" s="721"/>
      <c r="Z47" s="699"/>
      <c r="AA47" s="699"/>
      <c r="AB47" s="699"/>
      <c r="AC47" s="699"/>
    </row>
    <row r="48" spans="1:29" ht="15.75" thickBot="1">
      <c r="A48" s="445" t="s">
        <v>2491</v>
      </c>
      <c r="B48" s="446"/>
      <c r="C48" s="1322">
        <f>R49</f>
        <v>30000</v>
      </c>
      <c r="D48" s="2539" t="s">
        <v>2879</v>
      </c>
      <c r="E48" s="1323">
        <f>R48</f>
        <v>30000</v>
      </c>
      <c r="F48" s="2540"/>
      <c r="G48" s="1322">
        <f>T48</f>
        <v>30000</v>
      </c>
      <c r="H48" s="2540"/>
      <c r="I48" s="1323">
        <f>V48</f>
        <v>30000</v>
      </c>
      <c r="J48" s="2540"/>
      <c r="K48" s="2542">
        <f>F48+H48+J48</f>
        <v>0</v>
      </c>
      <c r="L48" s="2953"/>
      <c r="M48" s="2954"/>
      <c r="N48" s="2945"/>
      <c r="O48" s="2954"/>
      <c r="P48" s="3360" t="str">
        <f>A48</f>
        <v>比较价值（元/平方米）</v>
      </c>
      <c r="Q48" s="3360"/>
      <c r="R48" s="3361">
        <f>IF(F1="售价",ROUND(PRODUCT(R47,AA7:AA46),0),ROUND(PRODUCT(R47,AA7:AA46),1))</f>
        <v>30000</v>
      </c>
      <c r="S48" s="3361"/>
      <c r="T48" s="3361">
        <f>IF(F1="售价",ROUND(PRODUCT(T47,AB7:AB46),0),ROUND(PRODUCT(T47,AB7:AB46),1))</f>
        <v>30000</v>
      </c>
      <c r="U48" s="3361"/>
      <c r="V48" s="3361">
        <f>IF(F1="售价",ROUND(PRODUCT(V47,AC7:AC46),0),ROUND(PRODUCT(V47,AC7:AC46),1))</f>
        <v>30000</v>
      </c>
      <c r="W48" s="3361"/>
      <c r="X48" s="699"/>
      <c r="Y48" s="699"/>
      <c r="Z48" s="699"/>
      <c r="AA48" s="699"/>
      <c r="AB48" s="699"/>
      <c r="AC48" s="699"/>
    </row>
    <row r="49" spans="1:29" ht="15.75" thickBot="1">
      <c r="A49" s="449" t="s">
        <v>2492</v>
      </c>
      <c r="B49" s="450"/>
      <c r="C49" s="1325">
        <f>R49</f>
        <v>30000</v>
      </c>
      <c r="D49" s="1325"/>
      <c r="E49" s="1325"/>
      <c r="F49" s="1325"/>
      <c r="G49" s="1325"/>
      <c r="H49" s="1325"/>
      <c r="I49" s="1325"/>
      <c r="J49" s="1325"/>
      <c r="K49" s="724"/>
      <c r="L49" s="2953"/>
      <c r="M49" s="2954"/>
      <c r="N49" s="2945"/>
      <c r="O49" s="2954"/>
      <c r="P49" s="3357" t="str">
        <f>A49</f>
        <v>估价对象XX用房的比较价值（楼面单价，元/平方米）</v>
      </c>
      <c r="Q49" s="3358"/>
      <c r="R49" s="3359">
        <f>IF(F1="售价",ROUND(IF(D48="简单平均",AVERAGE(R48:V48),R48*F48+T48*H48+V48*J48),0),ROUND(IF(D48="简单平均",AVERAGE(R48:V48),R48*F48+T48*H48+V48*J48),1))</f>
        <v>30000</v>
      </c>
      <c r="S49" s="3359"/>
      <c r="T49" s="3359"/>
      <c r="U49" s="3359"/>
      <c r="V49" s="3359"/>
      <c r="W49" s="3359"/>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2493</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2494</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2495</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2496</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2370</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2407</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2372</v>
      </c>
      <c r="B61" s="467"/>
      <c r="C61" s="479" t="s">
        <v>2474</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2410</v>
      </c>
      <c r="B63" s="485" t="s">
        <v>2376</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2380</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v>0</v>
      </c>
      <c r="D68" s="506">
        <v>1</v>
      </c>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2381</v>
      </c>
      <c r="B76" s="485" t="s">
        <v>2418</v>
      </c>
      <c r="C76" s="530" t="s">
        <v>2419</v>
      </c>
      <c r="D76" s="530" t="s">
        <v>2420</v>
      </c>
      <c r="E76" s="530" t="s">
        <v>2421</v>
      </c>
      <c r="F76" s="530" t="s">
        <v>2422</v>
      </c>
      <c r="G76" s="530" t="s">
        <v>2423</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2424</v>
      </c>
      <c r="C78" s="535" t="s">
        <v>2419</v>
      </c>
      <c r="D78" s="535" t="s">
        <v>2420</v>
      </c>
      <c r="E78" s="535" t="s">
        <v>2421</v>
      </c>
      <c r="F78" s="535" t="s">
        <v>2422</v>
      </c>
      <c r="G78" s="535" t="s">
        <v>2423</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2425</v>
      </c>
      <c r="C80" s="535" t="s">
        <v>2419</v>
      </c>
      <c r="D80" s="535" t="s">
        <v>2420</v>
      </c>
      <c r="E80" s="535" t="s">
        <v>2421</v>
      </c>
      <c r="F80" s="535" t="s">
        <v>2422</v>
      </c>
      <c r="G80" s="535" t="s">
        <v>2423</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2477</v>
      </c>
      <c r="C82" s="616" t="s">
        <v>2497</v>
      </c>
      <c r="D82" s="616" t="s">
        <v>2498</v>
      </c>
      <c r="E82" s="616" t="s">
        <v>2499</v>
      </c>
      <c r="F82" s="616" t="s">
        <v>2500</v>
      </c>
      <c r="G82" s="616" t="s">
        <v>2501</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2431</v>
      </c>
      <c r="C84" s="535" t="s">
        <v>2419</v>
      </c>
      <c r="D84" s="535" t="s">
        <v>2420</v>
      </c>
      <c r="E84" s="535" t="s">
        <v>2421</v>
      </c>
      <c r="F84" s="535" t="s">
        <v>2422</v>
      </c>
      <c r="G84" s="535" t="s">
        <v>2423</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2502</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2385</v>
      </c>
      <c r="B100" s="485" t="s">
        <v>2503</v>
      </c>
      <c r="C100" s="487">
        <v>500</v>
      </c>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2435</v>
      </c>
      <c r="C102" s="535" t="str">
        <f>C103&amp;"(含)"&amp;"-"&amp;D103</f>
        <v>0(含)-50</v>
      </c>
      <c r="D102" s="535" t="str">
        <f t="shared" ref="D102:L102" si="23">D103&amp;"(含)"&amp;"-"&amp;E103</f>
        <v>50(含)-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v>0</v>
      </c>
      <c r="D103" s="552">
        <v>50</v>
      </c>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2436</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2438</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2440</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2504</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2505</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2506</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2507</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2442</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受贵公司委托，我公司对北京市海淀大街5号房地产抵押价值进行了预评估。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估价对象为北京市海淀大街5号房地产，为所有。根据《国有土地使用证》[]，估价对象（分摊）出让国有建设用地使用权面积为6283.43平方米，建筑面积为18583.03平方米。</v>
      </c>
    </row>
    <row r="8" spans="1:1" ht="57.75">
      <c r="A8" s="1670" t="s">
        <v>1579</v>
      </c>
    </row>
    <row r="9" spans="1:1" ht="18.75">
      <c r="A9" s="1669" t="s">
        <v>1580</v>
      </c>
    </row>
    <row r="10" spans="1:1" ht="54">
      <c r="A10" s="166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大街5号房地产,为开发建设的商业项目，该项目尚在开发建设中。根据《国有土地使用证》[]，估价对象（分摊）出让国有建设用地使用权面积为6283.43平方米，规划建筑面积为18583.03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为估价委托人在向农商行办理贷款手续过程中，确定房地产抵押贷款额度提供参考依据而评估房地产抵押价值。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2020年11月20日（评估专业人员实地查勘之日）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20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"本次评估采用的主估价方法为"&amp;'结果表-商业'!K4&amp;"和"&amp;'结果表-商业'!L4&amp;"。"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18583.03</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2467</v>
      </c>
      <c r="B4" s="362"/>
      <c r="C4" s="3343" t="s">
        <v>2468</v>
      </c>
      <c r="D4" s="3344"/>
      <c r="E4" s="3345" t="s">
        <v>2469</v>
      </c>
      <c r="F4" s="3346"/>
      <c r="G4" s="3343" t="s">
        <v>2470</v>
      </c>
      <c r="H4" s="3344"/>
      <c r="I4" s="3343" t="s">
        <v>2471</v>
      </c>
      <c r="J4" s="3344"/>
      <c r="K4" s="567" t="s">
        <v>2472</v>
      </c>
      <c r="L4" s="2944"/>
      <c r="M4" s="2945"/>
      <c r="N4" s="2945"/>
      <c r="O4" s="2945"/>
      <c r="P4" s="3377" t="s">
        <v>2473</v>
      </c>
      <c r="Q4" s="3378"/>
      <c r="R4" s="3372" t="s">
        <v>2469</v>
      </c>
      <c r="S4" s="3373"/>
      <c r="T4" s="3372" t="s">
        <v>2470</v>
      </c>
      <c r="U4" s="3373"/>
      <c r="V4" s="3381" t="s">
        <v>2471</v>
      </c>
      <c r="W4" s="3381"/>
      <c r="X4" s="2146"/>
      <c r="Y4" s="3372" t="s">
        <v>2473</v>
      </c>
      <c r="Z4" s="3373"/>
      <c r="AA4" s="3371" t="s">
        <v>2469</v>
      </c>
      <c r="AB4" s="3371" t="s">
        <v>2470</v>
      </c>
      <c r="AC4" s="3374" t="s">
        <v>2471</v>
      </c>
    </row>
    <row r="5" spans="1:29" ht="15">
      <c r="A5" s="364"/>
      <c r="B5" s="365"/>
      <c r="C5" s="3336" t="s">
        <v>2364</v>
      </c>
      <c r="D5" s="3337"/>
      <c r="E5" s="3334" t="s">
        <v>2365</v>
      </c>
      <c r="F5" s="3335"/>
      <c r="G5" s="3336" t="s">
        <v>2366</v>
      </c>
      <c r="H5" s="3337"/>
      <c r="I5" s="3336" t="s">
        <v>2367</v>
      </c>
      <c r="J5" s="3337"/>
      <c r="K5" s="567"/>
      <c r="L5" s="2944"/>
      <c r="M5" s="2945"/>
      <c r="N5" s="2945"/>
      <c r="O5" s="2945"/>
      <c r="P5" s="3379"/>
      <c r="Q5" s="3350"/>
      <c r="R5" s="3332"/>
      <c r="S5" s="3333"/>
      <c r="T5" s="3332"/>
      <c r="U5" s="3333"/>
      <c r="V5" s="3355"/>
      <c r="W5" s="3355"/>
      <c r="X5" s="1541"/>
      <c r="Y5" s="3332"/>
      <c r="Z5" s="3333"/>
      <c r="AA5" s="3326"/>
      <c r="AB5" s="3326"/>
      <c r="AC5" s="3375"/>
    </row>
    <row r="6" spans="1:29" ht="15.75" thickBot="1">
      <c r="A6" s="366"/>
      <c r="B6" s="367"/>
      <c r="C6" s="3338" t="s">
        <v>2368</v>
      </c>
      <c r="D6" s="3339"/>
      <c r="E6" s="3340" t="s">
        <v>2368</v>
      </c>
      <c r="F6" s="3341"/>
      <c r="G6" s="3338" t="s">
        <v>2368</v>
      </c>
      <c r="H6" s="3339"/>
      <c r="I6" s="3338" t="s">
        <v>2368</v>
      </c>
      <c r="J6" s="3339"/>
      <c r="K6" s="567" t="s">
        <v>2369</v>
      </c>
      <c r="L6" s="2944"/>
      <c r="M6" s="2945"/>
      <c r="N6" s="2945"/>
      <c r="O6" s="2945"/>
      <c r="P6" s="3380"/>
      <c r="Q6" s="3352"/>
      <c r="R6" s="3332"/>
      <c r="S6" s="3333"/>
      <c r="T6" s="3353"/>
      <c r="U6" s="3354"/>
      <c r="V6" s="3355"/>
      <c r="W6" s="3355"/>
      <c r="X6" s="1541"/>
      <c r="Y6" s="3353"/>
      <c r="Z6" s="3354"/>
      <c r="AA6" s="3327"/>
      <c r="AB6" s="3327"/>
      <c r="AC6" s="3376"/>
    </row>
    <row r="7" spans="1:29" s="113" customFormat="1" ht="15.75" thickBot="1">
      <c r="A7" s="368" t="s">
        <v>2370</v>
      </c>
      <c r="B7" s="369"/>
      <c r="C7" s="370">
        <f>'数据-取费表'!B2</f>
        <v>44155</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82" t="s">
        <v>2371</v>
      </c>
      <c r="Q7" s="3356"/>
      <c r="R7" s="710" t="s">
        <v>17</v>
      </c>
      <c r="S7" s="711">
        <f t="shared" ref="S7:S15" si="0">F7</f>
        <v>0</v>
      </c>
      <c r="T7" s="710" t="s">
        <v>17</v>
      </c>
      <c r="U7" s="711">
        <f t="shared" ref="U7:U15" si="1">H7</f>
        <v>0</v>
      </c>
      <c r="V7" s="710" t="s">
        <v>17</v>
      </c>
      <c r="W7" s="711">
        <f t="shared" ref="W7:W15" si="2">J7</f>
        <v>0</v>
      </c>
      <c r="X7" s="712"/>
      <c r="Y7" s="3328" t="s">
        <v>2371</v>
      </c>
      <c r="Z7" s="3329"/>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82" t="s">
        <v>2374</v>
      </c>
      <c r="Q8" s="3329"/>
      <c r="R8" s="710" t="s">
        <v>17</v>
      </c>
      <c r="S8" s="711">
        <f t="shared" si="0"/>
        <v>0</v>
      </c>
      <c r="T8" s="710" t="s">
        <v>17</v>
      </c>
      <c r="U8" s="711">
        <f t="shared" si="1"/>
        <v>0</v>
      </c>
      <c r="V8" s="710" t="s">
        <v>17</v>
      </c>
      <c r="W8" s="711">
        <f t="shared" si="2"/>
        <v>0</v>
      </c>
      <c r="X8" s="712"/>
      <c r="Y8" s="3328" t="s">
        <v>2374</v>
      </c>
      <c r="Z8" s="3329"/>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42" t="s">
        <v>2377</v>
      </c>
      <c r="Q9" s="1529" t="str">
        <f t="shared" ref="Q9:Q15" si="6">B9</f>
        <v>用途</v>
      </c>
      <c r="R9" s="710" t="s">
        <v>17</v>
      </c>
      <c r="S9" s="711">
        <f t="shared" si="0"/>
        <v>100</v>
      </c>
      <c r="T9" s="710" t="s">
        <v>17</v>
      </c>
      <c r="U9" s="711">
        <f t="shared" si="1"/>
        <v>100</v>
      </c>
      <c r="V9" s="710" t="s">
        <v>17</v>
      </c>
      <c r="W9" s="711">
        <f t="shared" si="2"/>
        <v>100</v>
      </c>
      <c r="X9" s="712"/>
      <c r="Y9" s="3244"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42"/>
      <c r="Q10" s="1529"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42"/>
      <c r="Q11" s="1529"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342"/>
      <c r="Q12" s="1529">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342"/>
      <c r="Q13" s="1529">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342"/>
      <c r="Q14" s="1529">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69" t="s">
        <v>2382</v>
      </c>
      <c r="Q15" s="1538" t="str">
        <f t="shared" si="6"/>
        <v>办公集聚程度</v>
      </c>
      <c r="R15" s="714" t="s">
        <v>17</v>
      </c>
      <c r="S15" s="715">
        <f t="shared" si="0"/>
        <v>100</v>
      </c>
      <c r="T15" s="714" t="s">
        <v>17</v>
      </c>
      <c r="U15" s="715">
        <f t="shared" si="1"/>
        <v>100</v>
      </c>
      <c r="V15" s="714" t="s">
        <v>17</v>
      </c>
      <c r="W15" s="715">
        <f t="shared" si="2"/>
        <v>100</v>
      </c>
      <c r="X15" s="1541"/>
      <c r="Y15" s="3362"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1"/>
      <c r="M16" s="2945"/>
      <c r="N16" s="2945"/>
      <c r="O16" s="2945"/>
      <c r="P16" s="3370"/>
      <c r="Q16" s="1538"/>
      <c r="R16" s="714"/>
      <c r="S16" s="715"/>
      <c r="T16" s="714"/>
      <c r="U16" s="715"/>
      <c r="V16" s="714"/>
      <c r="W16" s="715"/>
      <c r="X16" s="1541"/>
      <c r="Y16" s="3363"/>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70"/>
      <c r="Q17" s="1538" t="str">
        <f>B17</f>
        <v>交通便捷度</v>
      </c>
      <c r="R17" s="714" t="s">
        <v>17</v>
      </c>
      <c r="S17" s="715">
        <f>F17</f>
        <v>100</v>
      </c>
      <c r="T17" s="714" t="s">
        <v>17</v>
      </c>
      <c r="U17" s="715">
        <f>H17</f>
        <v>100</v>
      </c>
      <c r="V17" s="714" t="s">
        <v>17</v>
      </c>
      <c r="W17" s="715">
        <f>J17</f>
        <v>100</v>
      </c>
      <c r="X17" s="1541"/>
      <c r="Y17" s="3363"/>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1"/>
      <c r="M18" s="2945"/>
      <c r="N18" s="2945"/>
      <c r="O18" s="2945"/>
      <c r="P18" s="3370"/>
      <c r="Q18" s="1538"/>
      <c r="R18" s="714"/>
      <c r="S18" s="715"/>
      <c r="T18" s="714"/>
      <c r="U18" s="715"/>
      <c r="V18" s="714"/>
      <c r="W18" s="715"/>
      <c r="X18" s="1541"/>
      <c r="Y18" s="3363"/>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70"/>
      <c r="Q19" s="1538" t="str">
        <f>B19</f>
        <v>公共配套设施</v>
      </c>
      <c r="R19" s="714" t="s">
        <v>17</v>
      </c>
      <c r="S19" s="715">
        <f>F19</f>
        <v>100</v>
      </c>
      <c r="T19" s="714" t="s">
        <v>17</v>
      </c>
      <c r="U19" s="715">
        <f>H19</f>
        <v>100</v>
      </c>
      <c r="V19" s="714" t="s">
        <v>17</v>
      </c>
      <c r="W19" s="715">
        <f>J19</f>
        <v>100</v>
      </c>
      <c r="X19" s="1541"/>
      <c r="Y19" s="3363"/>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1"/>
      <c r="M20" s="2945"/>
      <c r="N20" s="2945"/>
      <c r="O20" s="2945"/>
      <c r="P20" s="3370"/>
      <c r="Q20" s="1538"/>
      <c r="R20" s="714"/>
      <c r="S20" s="715"/>
      <c r="T20" s="714"/>
      <c r="U20" s="715"/>
      <c r="V20" s="714"/>
      <c r="W20" s="715"/>
      <c r="X20" s="1541"/>
      <c r="Y20" s="3363"/>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70"/>
      <c r="Q21" s="1538" t="str">
        <f>B21</f>
        <v>基础设施水平</v>
      </c>
      <c r="R21" s="714" t="s">
        <v>17</v>
      </c>
      <c r="S21" s="715">
        <f>F21</f>
        <v>100</v>
      </c>
      <c r="T21" s="714" t="s">
        <v>17</v>
      </c>
      <c r="U21" s="715">
        <f>H21</f>
        <v>100</v>
      </c>
      <c r="V21" s="714" t="s">
        <v>17</v>
      </c>
      <c r="W21" s="715">
        <f>J21</f>
        <v>100</v>
      </c>
      <c r="X21" s="1541"/>
      <c r="Y21" s="3363"/>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1"/>
      <c r="M22" s="2945"/>
      <c r="N22" s="2945"/>
      <c r="O22" s="2945"/>
      <c r="P22" s="3370"/>
      <c r="Q22" s="1538"/>
      <c r="R22" s="714"/>
      <c r="S22" s="715"/>
      <c r="T22" s="714"/>
      <c r="U22" s="715"/>
      <c r="V22" s="714"/>
      <c r="W22" s="715"/>
      <c r="X22" s="1541"/>
      <c r="Y22" s="3363"/>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70"/>
      <c r="Q23" s="1538" t="str">
        <f>B23</f>
        <v>环境质量</v>
      </c>
      <c r="R23" s="714" t="s">
        <v>17</v>
      </c>
      <c r="S23" s="715">
        <f>F23</f>
        <v>100</v>
      </c>
      <c r="T23" s="714" t="s">
        <v>17</v>
      </c>
      <c r="U23" s="715">
        <f>H23</f>
        <v>100</v>
      </c>
      <c r="V23" s="714" t="s">
        <v>17</v>
      </c>
      <c r="W23" s="715">
        <f>J23</f>
        <v>100</v>
      </c>
      <c r="X23" s="1541"/>
      <c r="Y23" s="3363"/>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1"/>
      <c r="M24" s="2945"/>
      <c r="N24" s="2945"/>
      <c r="O24" s="2945"/>
      <c r="P24" s="3370"/>
      <c r="Q24" s="1538"/>
      <c r="R24" s="714"/>
      <c r="S24" s="715"/>
      <c r="T24" s="714"/>
      <c r="U24" s="715"/>
      <c r="V24" s="714"/>
      <c r="W24" s="715"/>
      <c r="X24" s="1541"/>
      <c r="Y24" s="3363"/>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1"/>
      <c r="M25" s="2945"/>
      <c r="N25" s="2945"/>
      <c r="O25" s="2945"/>
      <c r="P25" s="3370"/>
      <c r="Q25" s="1538" t="str">
        <f>B25</f>
        <v>毗邻道路的类型与等级</v>
      </c>
      <c r="R25" s="714" t="s">
        <v>17</v>
      </c>
      <c r="S25" s="715">
        <f>F25</f>
        <v>100</v>
      </c>
      <c r="T25" s="714" t="s">
        <v>17</v>
      </c>
      <c r="U25" s="715">
        <f>H25</f>
        <v>100</v>
      </c>
      <c r="V25" s="714" t="s">
        <v>17</v>
      </c>
      <c r="W25" s="715">
        <f>J25</f>
        <v>100</v>
      </c>
      <c r="X25" s="1541"/>
      <c r="Y25" s="3363"/>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1"/>
      <c r="M26" s="2945"/>
      <c r="N26" s="2945"/>
      <c r="O26" s="2945"/>
      <c r="P26" s="3370"/>
      <c r="Q26" s="1538"/>
      <c r="R26" s="714"/>
      <c r="S26" s="715"/>
      <c r="T26" s="714"/>
      <c r="U26" s="715"/>
      <c r="V26" s="714"/>
      <c r="W26" s="715"/>
      <c r="X26" s="1541"/>
      <c r="Y26" s="3363"/>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70"/>
      <c r="Q27" s="1538" t="str">
        <f t="shared" ref="Q27:Q47" si="11">B27</f>
        <v>楼层</v>
      </c>
      <c r="R27" s="714" t="s">
        <v>17</v>
      </c>
      <c r="S27" s="715">
        <f>F27</f>
        <v>100</v>
      </c>
      <c r="T27" s="714" t="s">
        <v>17</v>
      </c>
      <c r="U27" s="715">
        <f>H27</f>
        <v>100</v>
      </c>
      <c r="V27" s="714" t="s">
        <v>17</v>
      </c>
      <c r="W27" s="715">
        <f>J27</f>
        <v>100</v>
      </c>
      <c r="X27" s="1541"/>
      <c r="Y27" s="3363"/>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370"/>
      <c r="Q28" s="1529" t="str">
        <f t="shared" si="11"/>
        <v>朝向</v>
      </c>
      <c r="R28" s="710" t="s">
        <v>17</v>
      </c>
      <c r="S28" s="711">
        <f>F28</f>
        <v>100</v>
      </c>
      <c r="T28" s="710" t="s">
        <v>17</v>
      </c>
      <c r="U28" s="711">
        <f>H28</f>
        <v>100</v>
      </c>
      <c r="V28" s="710" t="s">
        <v>17</v>
      </c>
      <c r="W28" s="711">
        <f>J28</f>
        <v>100</v>
      </c>
      <c r="X28" s="712"/>
      <c r="Y28" s="3363"/>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1"/>
      <c r="M29" s="2945"/>
      <c r="N29" s="2945"/>
      <c r="O29" s="2945"/>
      <c r="P29" s="3370"/>
      <c r="Q29" s="1538">
        <f t="shared" si="11"/>
        <v>111</v>
      </c>
      <c r="R29" s="714" t="s">
        <v>17</v>
      </c>
      <c r="S29" s="715">
        <f t="shared" ref="S29:S47" si="12">F29</f>
        <v>100</v>
      </c>
      <c r="T29" s="714" t="s">
        <v>17</v>
      </c>
      <c r="U29" s="715">
        <f t="shared" ref="U29:U47" si="13">H29</f>
        <v>100</v>
      </c>
      <c r="V29" s="714" t="s">
        <v>17</v>
      </c>
      <c r="W29" s="715">
        <f t="shared" ref="W29:W47" si="14">J29</f>
        <v>100</v>
      </c>
      <c r="X29" s="1541"/>
      <c r="Y29" s="3363"/>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370"/>
      <c r="Q30" s="1538">
        <f t="shared" si="11"/>
        <v>111</v>
      </c>
      <c r="R30" s="714" t="s">
        <v>17</v>
      </c>
      <c r="S30" s="715">
        <f t="shared" si="12"/>
        <v>100</v>
      </c>
      <c r="T30" s="714" t="s">
        <v>17</v>
      </c>
      <c r="U30" s="715">
        <f t="shared" si="13"/>
        <v>100</v>
      </c>
      <c r="V30" s="714" t="s">
        <v>17</v>
      </c>
      <c r="W30" s="715">
        <f t="shared" si="14"/>
        <v>100</v>
      </c>
      <c r="X30" s="1541"/>
      <c r="Y30" s="3363"/>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370"/>
      <c r="Q31" s="1538">
        <f t="shared" si="11"/>
        <v>111</v>
      </c>
      <c r="R31" s="714" t="s">
        <v>17</v>
      </c>
      <c r="S31" s="715">
        <f t="shared" si="12"/>
        <v>100</v>
      </c>
      <c r="T31" s="714" t="s">
        <v>17</v>
      </c>
      <c r="U31" s="715">
        <f t="shared" si="13"/>
        <v>100</v>
      </c>
      <c r="V31" s="714" t="s">
        <v>17</v>
      </c>
      <c r="W31" s="715">
        <f t="shared" si="14"/>
        <v>100</v>
      </c>
      <c r="X31" s="1541"/>
      <c r="Y31" s="3363"/>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370"/>
      <c r="Q32" s="1538">
        <f t="shared" si="11"/>
        <v>111</v>
      </c>
      <c r="R32" s="714" t="s">
        <v>17</v>
      </c>
      <c r="S32" s="715">
        <f t="shared" si="12"/>
        <v>100</v>
      </c>
      <c r="T32" s="714" t="s">
        <v>17</v>
      </c>
      <c r="U32" s="715">
        <f t="shared" si="13"/>
        <v>100</v>
      </c>
      <c r="V32" s="714" t="s">
        <v>17</v>
      </c>
      <c r="W32" s="715">
        <f t="shared" si="14"/>
        <v>100</v>
      </c>
      <c r="X32" s="1541"/>
      <c r="Y32" s="3363"/>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364" t="s">
        <v>2387</v>
      </c>
      <c r="Q33" s="1538" t="str">
        <f t="shared" si="11"/>
        <v>建筑类型</v>
      </c>
      <c r="R33" s="714" t="s">
        <v>17</v>
      </c>
      <c r="S33" s="715">
        <f t="shared" si="12"/>
        <v>100</v>
      </c>
      <c r="T33" s="714" t="s">
        <v>17</v>
      </c>
      <c r="U33" s="715">
        <f t="shared" si="13"/>
        <v>100</v>
      </c>
      <c r="V33" s="714" t="s">
        <v>17</v>
      </c>
      <c r="W33" s="715">
        <f t="shared" si="14"/>
        <v>100</v>
      </c>
      <c r="X33" s="1541"/>
      <c r="Y33" s="3367"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65"/>
      <c r="Q34" s="716" t="str">
        <f t="shared" si="11"/>
        <v>项目建筑规模</v>
      </c>
      <c r="R34" s="717" t="s">
        <v>17</v>
      </c>
      <c r="S34" s="718" t="e">
        <f t="shared" si="12"/>
        <v>#N/A</v>
      </c>
      <c r="T34" s="717" t="s">
        <v>17</v>
      </c>
      <c r="U34" s="718" t="e">
        <f t="shared" si="13"/>
        <v>#N/A</v>
      </c>
      <c r="V34" s="717" t="s">
        <v>17</v>
      </c>
      <c r="W34" s="718" t="e">
        <f t="shared" si="14"/>
        <v>#N/A</v>
      </c>
      <c r="X34" s="719"/>
      <c r="Y34" s="3367"/>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65"/>
      <c r="Q35" s="1538" t="str">
        <f t="shared" si="11"/>
        <v>建筑结构</v>
      </c>
      <c r="R35" s="714" t="s">
        <v>17</v>
      </c>
      <c r="S35" s="715">
        <f t="shared" si="12"/>
        <v>100</v>
      </c>
      <c r="T35" s="714" t="s">
        <v>17</v>
      </c>
      <c r="U35" s="715">
        <f t="shared" si="13"/>
        <v>100</v>
      </c>
      <c r="V35" s="714" t="s">
        <v>17</v>
      </c>
      <c r="W35" s="715">
        <f t="shared" si="14"/>
        <v>100</v>
      </c>
      <c r="X35" s="1541"/>
      <c r="Y35" s="3367"/>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65"/>
      <c r="Q36" s="1538" t="str">
        <f t="shared" si="11"/>
        <v>公共部分装修</v>
      </c>
      <c r="R36" s="714" t="s">
        <v>17</v>
      </c>
      <c r="S36" s="715">
        <f t="shared" si="12"/>
        <v>100</v>
      </c>
      <c r="T36" s="714" t="s">
        <v>17</v>
      </c>
      <c r="U36" s="715">
        <f t="shared" si="13"/>
        <v>100</v>
      </c>
      <c r="V36" s="714" t="s">
        <v>17</v>
      </c>
      <c r="W36" s="715">
        <f t="shared" si="14"/>
        <v>100</v>
      </c>
      <c r="X36" s="1541"/>
      <c r="Y36" s="3367"/>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65"/>
      <c r="Q37" s="1538" t="str">
        <f t="shared" si="11"/>
        <v>成新度</v>
      </c>
      <c r="R37" s="714" t="s">
        <v>17</v>
      </c>
      <c r="S37" s="715" t="e">
        <f t="shared" si="12"/>
        <v>#N/A</v>
      </c>
      <c r="T37" s="714" t="s">
        <v>17</v>
      </c>
      <c r="U37" s="715" t="e">
        <f t="shared" si="13"/>
        <v>#N/A</v>
      </c>
      <c r="V37" s="714" t="s">
        <v>17</v>
      </c>
      <c r="W37" s="715" t="e">
        <f t="shared" si="14"/>
        <v>#N/A</v>
      </c>
      <c r="X37" s="1541"/>
      <c r="Y37" s="3367"/>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65"/>
      <c r="Q38" s="1529" t="str">
        <f t="shared" si="11"/>
        <v>写字楼等级</v>
      </c>
      <c r="R38" s="710" t="s">
        <v>17</v>
      </c>
      <c r="S38" s="711">
        <f t="shared" si="12"/>
        <v>100</v>
      </c>
      <c r="T38" s="710" t="s">
        <v>17</v>
      </c>
      <c r="U38" s="711">
        <f t="shared" si="13"/>
        <v>100</v>
      </c>
      <c r="V38" s="710" t="s">
        <v>17</v>
      </c>
      <c r="W38" s="711">
        <f t="shared" si="14"/>
        <v>100</v>
      </c>
      <c r="X38" s="712"/>
      <c r="Y38" s="3367"/>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65" t="s">
        <v>2387</v>
      </c>
      <c r="Q39" s="1538" t="str">
        <f t="shared" si="11"/>
        <v>物业管理</v>
      </c>
      <c r="R39" s="714" t="s">
        <v>17</v>
      </c>
      <c r="S39" s="715">
        <f t="shared" si="12"/>
        <v>100</v>
      </c>
      <c r="T39" s="714" t="s">
        <v>17</v>
      </c>
      <c r="U39" s="715">
        <f t="shared" si="13"/>
        <v>100</v>
      </c>
      <c r="V39" s="714" t="s">
        <v>17</v>
      </c>
      <c r="W39" s="715">
        <f t="shared" si="14"/>
        <v>100</v>
      </c>
      <c r="X39" s="1541"/>
      <c r="Y39" s="3367"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65"/>
      <c r="Q40" s="1538" t="str">
        <f t="shared" si="11"/>
        <v>市政基础设施</v>
      </c>
      <c r="R40" s="714" t="s">
        <v>17</v>
      </c>
      <c r="S40" s="715">
        <f t="shared" si="12"/>
        <v>100</v>
      </c>
      <c r="T40" s="714" t="s">
        <v>17</v>
      </c>
      <c r="U40" s="715">
        <f t="shared" si="13"/>
        <v>100</v>
      </c>
      <c r="V40" s="714" t="s">
        <v>17</v>
      </c>
      <c r="W40" s="715">
        <f t="shared" si="14"/>
        <v>100</v>
      </c>
      <c r="X40" s="1541"/>
      <c r="Y40" s="3367"/>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65"/>
      <c r="Q41" s="1538" t="str">
        <f t="shared" si="11"/>
        <v>层高</v>
      </c>
      <c r="R41" s="714" t="s">
        <v>17</v>
      </c>
      <c r="S41" s="715">
        <f t="shared" si="12"/>
        <v>100</v>
      </c>
      <c r="T41" s="714" t="s">
        <v>17</v>
      </c>
      <c r="U41" s="715">
        <f t="shared" si="13"/>
        <v>100</v>
      </c>
      <c r="V41" s="714" t="s">
        <v>17</v>
      </c>
      <c r="W41" s="715">
        <f t="shared" si="14"/>
        <v>100</v>
      </c>
      <c r="X41" s="1541"/>
      <c r="Y41" s="3367"/>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65"/>
      <c r="Q42" s="716" t="str">
        <f t="shared" si="11"/>
        <v>单套建筑面积</v>
      </c>
      <c r="R42" s="717" t="s">
        <v>17</v>
      </c>
      <c r="S42" s="718">
        <f t="shared" si="12"/>
        <v>100</v>
      </c>
      <c r="T42" s="717" t="s">
        <v>17</v>
      </c>
      <c r="U42" s="718">
        <f t="shared" si="13"/>
        <v>100</v>
      </c>
      <c r="V42" s="717" t="s">
        <v>17</v>
      </c>
      <c r="W42" s="718">
        <f t="shared" si="14"/>
        <v>100</v>
      </c>
      <c r="X42" s="719"/>
      <c r="Y42" s="3367"/>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65"/>
      <c r="Q43" s="1538" t="str">
        <f t="shared" si="11"/>
        <v>内部装修</v>
      </c>
      <c r="R43" s="714" t="s">
        <v>17</v>
      </c>
      <c r="S43" s="715">
        <f t="shared" si="12"/>
        <v>100</v>
      </c>
      <c r="T43" s="714" t="s">
        <v>17</v>
      </c>
      <c r="U43" s="715">
        <f t="shared" si="13"/>
        <v>100</v>
      </c>
      <c r="V43" s="714" t="s">
        <v>17</v>
      </c>
      <c r="W43" s="715">
        <f t="shared" si="14"/>
        <v>100</v>
      </c>
      <c r="X43" s="1541"/>
      <c r="Y43" s="3367"/>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365"/>
      <c r="Q44" s="1538" t="str">
        <f t="shared" si="11"/>
        <v>内部装修维护情况</v>
      </c>
      <c r="R44" s="714" t="s">
        <v>17</v>
      </c>
      <c r="S44" s="715">
        <f t="shared" si="12"/>
        <v>100</v>
      </c>
      <c r="T44" s="714" t="s">
        <v>17</v>
      </c>
      <c r="U44" s="715">
        <f t="shared" si="13"/>
        <v>100</v>
      </c>
      <c r="V44" s="714" t="s">
        <v>17</v>
      </c>
      <c r="W44" s="715">
        <f t="shared" si="14"/>
        <v>100</v>
      </c>
      <c r="X44" s="1541"/>
      <c r="Y44" s="3367"/>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65"/>
      <c r="Q45" s="1529">
        <f t="shared" si="11"/>
        <v>111</v>
      </c>
      <c r="R45" s="710" t="s">
        <v>17</v>
      </c>
      <c r="S45" s="711">
        <f t="shared" si="12"/>
        <v>100</v>
      </c>
      <c r="T45" s="710" t="s">
        <v>17</v>
      </c>
      <c r="U45" s="711">
        <f t="shared" si="13"/>
        <v>100</v>
      </c>
      <c r="V45" s="710" t="s">
        <v>17</v>
      </c>
      <c r="W45" s="711">
        <f t="shared" si="14"/>
        <v>100</v>
      </c>
      <c r="X45" s="712"/>
      <c r="Y45" s="3367"/>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65"/>
      <c r="Q46" s="1538">
        <f t="shared" si="11"/>
        <v>111</v>
      </c>
      <c r="R46" s="714" t="s">
        <v>17</v>
      </c>
      <c r="S46" s="715">
        <f t="shared" si="12"/>
        <v>100</v>
      </c>
      <c r="T46" s="714" t="s">
        <v>17</v>
      </c>
      <c r="U46" s="715">
        <f t="shared" si="13"/>
        <v>100</v>
      </c>
      <c r="V46" s="714" t="s">
        <v>17</v>
      </c>
      <c r="W46" s="715">
        <f t="shared" si="14"/>
        <v>100</v>
      </c>
      <c r="X46" s="1541"/>
      <c r="Y46" s="3367"/>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66"/>
      <c r="Q47" s="1538">
        <f t="shared" si="11"/>
        <v>111</v>
      </c>
      <c r="R47" s="714" t="s">
        <v>17</v>
      </c>
      <c r="S47" s="715">
        <f t="shared" si="12"/>
        <v>100</v>
      </c>
      <c r="T47" s="714" t="s">
        <v>17</v>
      </c>
      <c r="U47" s="715">
        <f t="shared" si="13"/>
        <v>100</v>
      </c>
      <c r="V47" s="714" t="s">
        <v>17</v>
      </c>
      <c r="W47" s="715">
        <f t="shared" si="14"/>
        <v>100</v>
      </c>
      <c r="X47" s="1541"/>
      <c r="Y47" s="3368"/>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3"/>
      <c r="M48" s="2945"/>
      <c r="N48" s="2945"/>
      <c r="O48" s="2945"/>
      <c r="P48" s="3342" t="str">
        <f>A48</f>
        <v>成交单价（元/平方米）</v>
      </c>
      <c r="Q48" s="3360"/>
      <c r="R48" s="3361">
        <f>E48</f>
        <v>0</v>
      </c>
      <c r="S48" s="3361"/>
      <c r="T48" s="3361">
        <f>G48</f>
        <v>0</v>
      </c>
      <c r="U48" s="3361"/>
      <c r="V48" s="3361">
        <f>I48</f>
        <v>0</v>
      </c>
      <c r="W48" s="3361"/>
      <c r="X48" s="405"/>
      <c r="Y48" s="721"/>
      <c r="Z48" s="405"/>
      <c r="AA48" s="405"/>
      <c r="AB48" s="405"/>
      <c r="AC48" s="586"/>
    </row>
    <row r="49" spans="1:29" ht="15.75" thickBot="1">
      <c r="A49" s="445" t="s">
        <v>2491</v>
      </c>
      <c r="B49" s="446"/>
      <c r="C49" s="1322" t="e">
        <f>R50</f>
        <v>#DIV/0!</v>
      </c>
      <c r="D49" s="2539" t="s">
        <v>2879</v>
      </c>
      <c r="E49" s="1323" t="e">
        <f>R49</f>
        <v>#DIV/0!</v>
      </c>
      <c r="F49" s="2540"/>
      <c r="G49" s="1322" t="e">
        <f>T49</f>
        <v>#DIV/0!</v>
      </c>
      <c r="H49" s="2540"/>
      <c r="I49" s="1323" t="e">
        <f>V49</f>
        <v>#DIV/0!</v>
      </c>
      <c r="J49" s="2540"/>
      <c r="K49" s="2542">
        <f>F49+H49+J49</f>
        <v>0</v>
      </c>
      <c r="L49" s="2953"/>
      <c r="M49" s="2945"/>
      <c r="N49" s="2945"/>
      <c r="O49" s="2945"/>
      <c r="P49" s="3342" t="str">
        <f>A49</f>
        <v>比较价值（元/平方米）</v>
      </c>
      <c r="Q49" s="3360"/>
      <c r="R49" s="3361" t="e">
        <f>IF(F1="售价",ROUND(PRODUCT(R48,AA7:AA47),0),ROUND(PRODUCT(R48,AA7:AA47),1))</f>
        <v>#DIV/0!</v>
      </c>
      <c r="S49" s="3361"/>
      <c r="T49" s="3361" t="e">
        <f>IF(F1="售价",ROUND(PRODUCT(T48,AB7:AB47),0),ROUND(PRODUCT(T48,AB7:AB47),1))</f>
        <v>#DIV/0!</v>
      </c>
      <c r="U49" s="3361"/>
      <c r="V49" s="3361" t="e">
        <f>IF(F1="售价",ROUND(PRODUCT(V48,AC7:AC47),0),ROUND(PRODUCT(V48,AC7:AC47),1))</f>
        <v>#DIV/0!</v>
      </c>
      <c r="W49" s="3361"/>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3"/>
      <c r="M50" s="2945"/>
      <c r="N50" s="2945"/>
      <c r="O50" s="2945"/>
      <c r="P50" s="3383" t="str">
        <f>A50</f>
        <v>估价对象XX用房的比较价值（楼面单价，元/平方米）</v>
      </c>
      <c r="Q50" s="3384"/>
      <c r="R50" s="3385" t="e">
        <f>IF(F1="售价",ROUND(IF(D49="简单平均",AVERAGE(R49:V49),R49*F49+T49*H49+V49*J49),0),ROUND(IF(D49="简单平均",AVERAGE(R49:V49),R49*F49+T49*H49+V49*J49),1))</f>
        <v>#DIV/0!</v>
      </c>
      <c r="S50" s="3385"/>
      <c r="T50" s="3385"/>
      <c r="U50" s="3385"/>
      <c r="V50" s="3385"/>
      <c r="W50" s="3385"/>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2496</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2370</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2407</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2372</v>
      </c>
      <c r="B62" s="467"/>
      <c r="C62" s="479" t="s">
        <v>2474</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2410</v>
      </c>
      <c r="B64" s="485" t="s">
        <v>2376</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2381</v>
      </c>
      <c r="B77" s="485" t="s">
        <v>2519</v>
      </c>
      <c r="C77" s="530" t="s">
        <v>2419</v>
      </c>
      <c r="D77" s="530" t="s">
        <v>2420</v>
      </c>
      <c r="E77" s="530" t="s">
        <v>2421</v>
      </c>
      <c r="F77" s="530" t="s">
        <v>2422</v>
      </c>
      <c r="G77" s="530" t="s">
        <v>2423</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2424</v>
      </c>
      <c r="C79" s="535" t="s">
        <v>2419</v>
      </c>
      <c r="D79" s="535" t="s">
        <v>2420</v>
      </c>
      <c r="E79" s="535" t="s">
        <v>2421</v>
      </c>
      <c r="F79" s="535" t="s">
        <v>2422</v>
      </c>
      <c r="G79" s="535" t="s">
        <v>2423</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2425</v>
      </c>
      <c r="C81" s="535" t="s">
        <v>2419</v>
      </c>
      <c r="D81" s="535" t="s">
        <v>2420</v>
      </c>
      <c r="E81" s="535" t="s">
        <v>2421</v>
      </c>
      <c r="F81" s="535" t="s">
        <v>2422</v>
      </c>
      <c r="G81" s="535" t="s">
        <v>2423</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2511</v>
      </c>
      <c r="C83" s="616" t="s">
        <v>2497</v>
      </c>
      <c r="D83" s="616" t="s">
        <v>2498</v>
      </c>
      <c r="E83" s="616" t="s">
        <v>2499</v>
      </c>
      <c r="F83" s="616" t="s">
        <v>2500</v>
      </c>
      <c r="G83" s="616" t="s">
        <v>2501</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2520</v>
      </c>
      <c r="C85" s="535" t="s">
        <v>2419</v>
      </c>
      <c r="D85" s="535" t="s">
        <v>2420</v>
      </c>
      <c r="E85" s="535" t="s">
        <v>2421</v>
      </c>
      <c r="F85" s="535" t="s">
        <v>2422</v>
      </c>
      <c r="G85" s="535" t="s">
        <v>2423</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2521</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2385</v>
      </c>
      <c r="B101" s="485" t="s">
        <v>2434</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2436</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2438</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2522</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2439</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2440</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2523</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2506</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2442</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18583.03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43" t="s">
        <v>2468</v>
      </c>
      <c r="D4" s="3344"/>
      <c r="E4" s="3345" t="s">
        <v>2469</v>
      </c>
      <c r="F4" s="3346"/>
      <c r="G4" s="3343" t="s">
        <v>2470</v>
      </c>
      <c r="H4" s="3344"/>
      <c r="I4" s="3343" t="s">
        <v>2471</v>
      </c>
      <c r="J4" s="3344"/>
      <c r="K4" s="567" t="s">
        <v>2472</v>
      </c>
      <c r="L4" s="1044"/>
      <c r="M4" s="1045"/>
      <c r="N4" s="1045"/>
      <c r="O4" s="1045"/>
      <c r="P4" s="3347" t="s">
        <v>2473</v>
      </c>
      <c r="Q4" s="3348"/>
      <c r="R4" s="3330" t="s">
        <v>2469</v>
      </c>
      <c r="S4" s="3331"/>
      <c r="T4" s="3330" t="s">
        <v>2470</v>
      </c>
      <c r="U4" s="3331"/>
      <c r="V4" s="3355" t="s">
        <v>2471</v>
      </c>
      <c r="W4" s="3355"/>
      <c r="X4" s="1541"/>
      <c r="Y4" s="3330" t="s">
        <v>2473</v>
      </c>
      <c r="Z4" s="3331"/>
      <c r="AA4" s="3325" t="s">
        <v>2469</v>
      </c>
      <c r="AB4" s="3326" t="s">
        <v>2470</v>
      </c>
      <c r="AC4" s="3325" t="s">
        <v>2471</v>
      </c>
    </row>
    <row r="5" spans="1:29" ht="15">
      <c r="A5" s="364"/>
      <c r="B5" s="365"/>
      <c r="C5" s="3336" t="s">
        <v>2364</v>
      </c>
      <c r="D5" s="3337"/>
      <c r="E5" s="3334" t="s">
        <v>2365</v>
      </c>
      <c r="F5" s="3335"/>
      <c r="G5" s="3336" t="s">
        <v>2366</v>
      </c>
      <c r="H5" s="3337"/>
      <c r="I5" s="3336" t="s">
        <v>2367</v>
      </c>
      <c r="J5" s="3337"/>
      <c r="K5" s="567"/>
      <c r="L5" s="1044"/>
      <c r="M5" s="1045"/>
      <c r="N5" s="1045"/>
      <c r="O5" s="1045"/>
      <c r="P5" s="3349"/>
      <c r="Q5" s="3350"/>
      <c r="R5" s="3332"/>
      <c r="S5" s="3333"/>
      <c r="T5" s="3332"/>
      <c r="U5" s="3333"/>
      <c r="V5" s="3355"/>
      <c r="W5" s="3355"/>
      <c r="X5" s="1541"/>
      <c r="Y5" s="3332"/>
      <c r="Z5" s="3333"/>
      <c r="AA5" s="3326"/>
      <c r="AB5" s="3326"/>
      <c r="AC5" s="3326"/>
    </row>
    <row r="6" spans="1:29" ht="15.75" thickBot="1">
      <c r="A6" s="366"/>
      <c r="B6" s="367"/>
      <c r="C6" s="3338" t="s">
        <v>2368</v>
      </c>
      <c r="D6" s="3339"/>
      <c r="E6" s="3340" t="s">
        <v>2368</v>
      </c>
      <c r="F6" s="3341"/>
      <c r="G6" s="3338" t="s">
        <v>2368</v>
      </c>
      <c r="H6" s="3339"/>
      <c r="I6" s="3338" t="s">
        <v>2368</v>
      </c>
      <c r="J6" s="3339"/>
      <c r="K6" s="567" t="s">
        <v>2369</v>
      </c>
      <c r="L6" s="1044"/>
      <c r="M6" s="1045"/>
      <c r="N6" s="1045"/>
      <c r="O6" s="1045"/>
      <c r="P6" s="3351"/>
      <c r="Q6" s="3352"/>
      <c r="R6" s="3332"/>
      <c r="S6" s="3333"/>
      <c r="T6" s="3353"/>
      <c r="U6" s="3354"/>
      <c r="V6" s="3355"/>
      <c r="W6" s="3355"/>
      <c r="X6" s="1541"/>
      <c r="Y6" s="3353"/>
      <c r="Z6" s="3354"/>
      <c r="AA6" s="3327"/>
      <c r="AB6" s="3327"/>
      <c r="AC6" s="3327"/>
    </row>
    <row r="7" spans="1:29" s="113" customFormat="1" ht="15.75" thickBot="1">
      <c r="A7" s="368" t="s">
        <v>2370</v>
      </c>
      <c r="B7" s="369"/>
      <c r="C7" s="370">
        <f>'数据-取费表'!B2</f>
        <v>44155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8" t="s">
        <v>2371</v>
      </c>
      <c r="Q7" s="3356"/>
      <c r="R7" s="710" t="s">
        <v>17</v>
      </c>
      <c r="S7" s="711">
        <f t="shared" ref="S7:S15" si="0">F7</f>
        <v>0</v>
      </c>
      <c r="T7" s="710" t="s">
        <v>17</v>
      </c>
      <c r="U7" s="711">
        <f t="shared" ref="U7:U15" si="1">H7</f>
        <v>0</v>
      </c>
      <c r="V7" s="710" t="s">
        <v>17</v>
      </c>
      <c r="W7" s="711">
        <f t="shared" ref="W7:W15" si="2">J7</f>
        <v>0</v>
      </c>
      <c r="X7" s="712"/>
      <c r="Y7" s="3328" t="s">
        <v>2371</v>
      </c>
      <c r="Z7" s="3329"/>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8" t="s">
        <v>2374</v>
      </c>
      <c r="Q8" s="3329"/>
      <c r="R8" s="710" t="s">
        <v>17</v>
      </c>
      <c r="S8" s="711">
        <f t="shared" si="0"/>
        <v>0</v>
      </c>
      <c r="T8" s="710" t="s">
        <v>17</v>
      </c>
      <c r="U8" s="711">
        <f t="shared" si="1"/>
        <v>0</v>
      </c>
      <c r="V8" s="710" t="s">
        <v>17</v>
      </c>
      <c r="W8" s="711">
        <f t="shared" si="2"/>
        <v>0</v>
      </c>
      <c r="X8" s="712"/>
      <c r="Y8" s="3328" t="s">
        <v>2374</v>
      </c>
      <c r="Z8" s="3329"/>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0" t="s">
        <v>2377</v>
      </c>
      <c r="Q9" s="1529" t="str">
        <f t="shared" ref="Q9:Q15" si="6">B9</f>
        <v>用途</v>
      </c>
      <c r="R9" s="710" t="s">
        <v>17</v>
      </c>
      <c r="S9" s="711">
        <f t="shared" si="0"/>
        <v>100</v>
      </c>
      <c r="T9" s="710" t="s">
        <v>17</v>
      </c>
      <c r="U9" s="711">
        <f t="shared" si="1"/>
        <v>100</v>
      </c>
      <c r="V9" s="710" t="s">
        <v>17</v>
      </c>
      <c r="W9" s="711">
        <f t="shared" si="2"/>
        <v>100</v>
      </c>
      <c r="X9" s="712"/>
      <c r="Y9" s="3244"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0"/>
      <c r="Q10" s="1529"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0"/>
      <c r="Q11" s="1529"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60"/>
      <c r="Q12" s="1529">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60"/>
      <c r="Q13" s="1529">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60"/>
      <c r="Q14" s="1529">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2" t="s">
        <v>2382</v>
      </c>
      <c r="Q15" s="1538" t="str">
        <f t="shared" si="6"/>
        <v>产业集聚程度</v>
      </c>
      <c r="R15" s="714" t="s">
        <v>17</v>
      </c>
      <c r="S15" s="715">
        <f t="shared" si="0"/>
        <v>100</v>
      </c>
      <c r="T15" s="714" t="s">
        <v>17</v>
      </c>
      <c r="U15" s="715">
        <f t="shared" si="1"/>
        <v>100</v>
      </c>
      <c r="V15" s="714" t="s">
        <v>17</v>
      </c>
      <c r="W15" s="715">
        <f t="shared" si="2"/>
        <v>100</v>
      </c>
      <c r="X15" s="1541"/>
      <c r="Y15" s="3362"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63"/>
      <c r="Q16" s="1538"/>
      <c r="R16" s="714"/>
      <c r="S16" s="715"/>
      <c r="T16" s="714"/>
      <c r="U16" s="715"/>
      <c r="V16" s="714"/>
      <c r="W16" s="715"/>
      <c r="X16" s="1541"/>
      <c r="Y16" s="3363"/>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3"/>
      <c r="Q17" s="1538" t="str">
        <f>B17</f>
        <v>交通便捷度</v>
      </c>
      <c r="R17" s="714" t="s">
        <v>17</v>
      </c>
      <c r="S17" s="715">
        <f>F17</f>
        <v>100</v>
      </c>
      <c r="T17" s="714" t="s">
        <v>17</v>
      </c>
      <c r="U17" s="715">
        <f>H17</f>
        <v>100</v>
      </c>
      <c r="V17" s="714" t="s">
        <v>17</v>
      </c>
      <c r="W17" s="715">
        <f>J17</f>
        <v>100</v>
      </c>
      <c r="X17" s="1541"/>
      <c r="Y17" s="3363"/>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63"/>
      <c r="Q18" s="1538"/>
      <c r="R18" s="714"/>
      <c r="S18" s="715"/>
      <c r="T18" s="714"/>
      <c r="U18" s="715"/>
      <c r="V18" s="714"/>
      <c r="W18" s="715"/>
      <c r="X18" s="1541"/>
      <c r="Y18" s="3363"/>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3"/>
      <c r="Q19" s="1538" t="str">
        <f>B19</f>
        <v>公共配套设施</v>
      </c>
      <c r="R19" s="714" t="s">
        <v>17</v>
      </c>
      <c r="S19" s="715">
        <f>F19</f>
        <v>100</v>
      </c>
      <c r="T19" s="714" t="s">
        <v>17</v>
      </c>
      <c r="U19" s="715">
        <f>H19</f>
        <v>100</v>
      </c>
      <c r="V19" s="714" t="s">
        <v>17</v>
      </c>
      <c r="W19" s="715">
        <f>J19</f>
        <v>100</v>
      </c>
      <c r="X19" s="1541"/>
      <c r="Y19" s="3363"/>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63"/>
      <c r="Q20" s="1538"/>
      <c r="R20" s="714"/>
      <c r="S20" s="715"/>
      <c r="T20" s="714"/>
      <c r="U20" s="715"/>
      <c r="V20" s="714"/>
      <c r="W20" s="715"/>
      <c r="X20" s="1541"/>
      <c r="Y20" s="3363"/>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3"/>
      <c r="Q21" s="1538" t="str">
        <f>B21</f>
        <v>基础设施水平</v>
      </c>
      <c r="R21" s="714" t="s">
        <v>17</v>
      </c>
      <c r="S21" s="715">
        <f>F21</f>
        <v>100</v>
      </c>
      <c r="T21" s="714" t="s">
        <v>17</v>
      </c>
      <c r="U21" s="715">
        <f>H21</f>
        <v>100</v>
      </c>
      <c r="V21" s="714" t="s">
        <v>17</v>
      </c>
      <c r="W21" s="715">
        <f>J21</f>
        <v>100</v>
      </c>
      <c r="X21" s="1541"/>
      <c r="Y21" s="3363"/>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63"/>
      <c r="Q22" s="1538"/>
      <c r="R22" s="714"/>
      <c r="S22" s="715"/>
      <c r="T22" s="714"/>
      <c r="U22" s="715"/>
      <c r="V22" s="714"/>
      <c r="W22" s="715"/>
      <c r="X22" s="1541"/>
      <c r="Y22" s="3363"/>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3"/>
      <c r="Q23" s="1538" t="str">
        <f>B23</f>
        <v>环境质量</v>
      </c>
      <c r="R23" s="714" t="s">
        <v>17</v>
      </c>
      <c r="S23" s="715">
        <f>F23</f>
        <v>100</v>
      </c>
      <c r="T23" s="714" t="s">
        <v>17</v>
      </c>
      <c r="U23" s="715">
        <f>H23</f>
        <v>100</v>
      </c>
      <c r="V23" s="714" t="s">
        <v>17</v>
      </c>
      <c r="W23" s="715">
        <f>J23</f>
        <v>100</v>
      </c>
      <c r="X23" s="1541"/>
      <c r="Y23" s="3363"/>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63"/>
      <c r="Q24" s="1538"/>
      <c r="R24" s="714"/>
      <c r="S24" s="715"/>
      <c r="T24" s="714"/>
      <c r="U24" s="715"/>
      <c r="V24" s="714"/>
      <c r="W24" s="715"/>
      <c r="X24" s="1541"/>
      <c r="Y24" s="3363"/>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3"/>
      <c r="Q25" s="1538">
        <f>B25</f>
        <v>111</v>
      </c>
      <c r="R25" s="714" t="s">
        <v>17</v>
      </c>
      <c r="S25" s="715">
        <f>F25</f>
        <v>100</v>
      </c>
      <c r="T25" s="714" t="s">
        <v>17</v>
      </c>
      <c r="U25" s="715">
        <f>H25</f>
        <v>100</v>
      </c>
      <c r="V25" s="714" t="s">
        <v>17</v>
      </c>
      <c r="W25" s="715">
        <f>J25</f>
        <v>100</v>
      </c>
      <c r="X25" s="1541"/>
      <c r="Y25" s="3363"/>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3"/>
      <c r="Q26" s="1538">
        <f t="shared" ref="Q26:Q40" si="11">B26</f>
        <v>111</v>
      </c>
      <c r="R26" s="714" t="s">
        <v>17</v>
      </c>
      <c r="S26" s="715">
        <f>F26</f>
        <v>100</v>
      </c>
      <c r="T26" s="714" t="s">
        <v>17</v>
      </c>
      <c r="U26" s="715">
        <f>H26</f>
        <v>100</v>
      </c>
      <c r="V26" s="714" t="s">
        <v>17</v>
      </c>
      <c r="W26" s="715">
        <f>J26</f>
        <v>100</v>
      </c>
      <c r="X26" s="1541"/>
      <c r="Y26" s="3363"/>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3"/>
      <c r="Q27" s="1529">
        <f t="shared" si="11"/>
        <v>111</v>
      </c>
      <c r="R27" s="710" t="s">
        <v>17</v>
      </c>
      <c r="S27" s="711">
        <f>F27</f>
        <v>100</v>
      </c>
      <c r="T27" s="710" t="s">
        <v>17</v>
      </c>
      <c r="U27" s="711">
        <f>H27</f>
        <v>100</v>
      </c>
      <c r="V27" s="710" t="s">
        <v>17</v>
      </c>
      <c r="W27" s="711">
        <f>J27</f>
        <v>100</v>
      </c>
      <c r="X27" s="712"/>
      <c r="Y27" s="3363"/>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3"/>
      <c r="Q28" s="1538">
        <f t="shared" si="11"/>
        <v>111</v>
      </c>
      <c r="R28" s="714" t="s">
        <v>17</v>
      </c>
      <c r="S28" s="715">
        <f t="shared" ref="S28:S40" si="12">F28</f>
        <v>100</v>
      </c>
      <c r="T28" s="714" t="s">
        <v>17</v>
      </c>
      <c r="U28" s="715">
        <f t="shared" ref="U28:U40" si="13">H28</f>
        <v>100</v>
      </c>
      <c r="V28" s="714" t="s">
        <v>17</v>
      </c>
      <c r="W28" s="715">
        <f t="shared" ref="W28:W40" si="14">J28</f>
        <v>100</v>
      </c>
      <c r="X28" s="1541"/>
      <c r="Y28" s="3363"/>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6" t="s">
        <v>2387</v>
      </c>
      <c r="Q29" s="1538" t="str">
        <f t="shared" si="11"/>
        <v>建筑类型</v>
      </c>
      <c r="R29" s="714" t="s">
        <v>17</v>
      </c>
      <c r="S29" s="715">
        <f t="shared" si="12"/>
        <v>100</v>
      </c>
      <c r="T29" s="714" t="s">
        <v>17</v>
      </c>
      <c r="U29" s="715">
        <f t="shared" si="13"/>
        <v>100</v>
      </c>
      <c r="V29" s="714" t="s">
        <v>17</v>
      </c>
      <c r="W29" s="715">
        <f t="shared" si="14"/>
        <v>100</v>
      </c>
      <c r="X29" s="1541"/>
      <c r="Y29" s="3367"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7"/>
      <c r="Q30" s="716" t="str">
        <f t="shared" si="11"/>
        <v>项目建筑规模</v>
      </c>
      <c r="R30" s="717" t="s">
        <v>17</v>
      </c>
      <c r="S30" s="718" t="e">
        <f t="shared" si="12"/>
        <v>#N/A</v>
      </c>
      <c r="T30" s="717" t="s">
        <v>17</v>
      </c>
      <c r="U30" s="718" t="e">
        <f t="shared" si="13"/>
        <v>#N/A</v>
      </c>
      <c r="V30" s="717" t="s">
        <v>17</v>
      </c>
      <c r="W30" s="718" t="e">
        <f t="shared" si="14"/>
        <v>#N/A</v>
      </c>
      <c r="X30" s="719"/>
      <c r="Y30" s="3367"/>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7"/>
      <c r="Q31" s="1538" t="str">
        <f t="shared" si="11"/>
        <v>建筑结构</v>
      </c>
      <c r="R31" s="714" t="s">
        <v>17</v>
      </c>
      <c r="S31" s="715">
        <f t="shared" si="12"/>
        <v>100</v>
      </c>
      <c r="T31" s="714" t="s">
        <v>17</v>
      </c>
      <c r="U31" s="715">
        <f t="shared" si="13"/>
        <v>100</v>
      </c>
      <c r="V31" s="714" t="s">
        <v>17</v>
      </c>
      <c r="W31" s="715">
        <f t="shared" si="14"/>
        <v>100</v>
      </c>
      <c r="X31" s="1541"/>
      <c r="Y31" s="3367"/>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7"/>
      <c r="Q32" s="1538" t="str">
        <f t="shared" si="11"/>
        <v>公共部分装修</v>
      </c>
      <c r="R32" s="714" t="s">
        <v>17</v>
      </c>
      <c r="S32" s="715">
        <f t="shared" si="12"/>
        <v>100</v>
      </c>
      <c r="T32" s="714" t="s">
        <v>17</v>
      </c>
      <c r="U32" s="715">
        <f t="shared" si="13"/>
        <v>100</v>
      </c>
      <c r="V32" s="714" t="s">
        <v>17</v>
      </c>
      <c r="W32" s="715">
        <f t="shared" si="14"/>
        <v>100</v>
      </c>
      <c r="X32" s="1541"/>
      <c r="Y32" s="3367"/>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7"/>
      <c r="Q33" s="1538" t="str">
        <f t="shared" si="11"/>
        <v>成新度</v>
      </c>
      <c r="R33" s="714" t="s">
        <v>17</v>
      </c>
      <c r="S33" s="715" t="e">
        <f t="shared" si="12"/>
        <v>#N/A</v>
      </c>
      <c r="T33" s="714" t="s">
        <v>17</v>
      </c>
      <c r="U33" s="715" t="e">
        <f t="shared" si="13"/>
        <v>#N/A</v>
      </c>
      <c r="V33" s="714" t="s">
        <v>17</v>
      </c>
      <c r="W33" s="715" t="e">
        <f t="shared" si="14"/>
        <v>#N/A</v>
      </c>
      <c r="X33" s="1541"/>
      <c r="Y33" s="3367"/>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7"/>
      <c r="Q34" s="1529" t="str">
        <f t="shared" si="11"/>
        <v>物业管理</v>
      </c>
      <c r="R34" s="710" t="s">
        <v>17</v>
      </c>
      <c r="S34" s="711">
        <f t="shared" si="12"/>
        <v>100</v>
      </c>
      <c r="T34" s="710" t="s">
        <v>17</v>
      </c>
      <c r="U34" s="711">
        <f t="shared" si="13"/>
        <v>100</v>
      </c>
      <c r="V34" s="710" t="s">
        <v>17</v>
      </c>
      <c r="W34" s="711">
        <f t="shared" si="14"/>
        <v>100</v>
      </c>
      <c r="X34" s="712"/>
      <c r="Y34" s="3367"/>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7" t="s">
        <v>2387</v>
      </c>
      <c r="Q35" s="1538" t="str">
        <f t="shared" si="11"/>
        <v>市政基础设施</v>
      </c>
      <c r="R35" s="714" t="s">
        <v>17</v>
      </c>
      <c r="S35" s="715">
        <f t="shared" si="12"/>
        <v>100</v>
      </c>
      <c r="T35" s="714" t="s">
        <v>17</v>
      </c>
      <c r="U35" s="715">
        <f t="shared" si="13"/>
        <v>100</v>
      </c>
      <c r="V35" s="714" t="s">
        <v>17</v>
      </c>
      <c r="W35" s="715">
        <f t="shared" si="14"/>
        <v>100</v>
      </c>
      <c r="X35" s="1541"/>
      <c r="Y35" s="3367"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7"/>
      <c r="Q36" s="1538" t="str">
        <f t="shared" si="11"/>
        <v>内部装修</v>
      </c>
      <c r="R36" s="714" t="s">
        <v>17</v>
      </c>
      <c r="S36" s="715">
        <f t="shared" si="12"/>
        <v>100</v>
      </c>
      <c r="T36" s="714" t="s">
        <v>17</v>
      </c>
      <c r="U36" s="715">
        <f t="shared" si="13"/>
        <v>100</v>
      </c>
      <c r="V36" s="714" t="s">
        <v>17</v>
      </c>
      <c r="W36" s="715">
        <f t="shared" si="14"/>
        <v>100</v>
      </c>
      <c r="X36" s="1541"/>
      <c r="Y36" s="3367"/>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7"/>
      <c r="Q37" s="1538" t="str">
        <f t="shared" si="11"/>
        <v>内部装修状况</v>
      </c>
      <c r="R37" s="714" t="s">
        <v>17</v>
      </c>
      <c r="S37" s="715">
        <f t="shared" si="12"/>
        <v>100</v>
      </c>
      <c r="T37" s="714" t="s">
        <v>17</v>
      </c>
      <c r="U37" s="715">
        <f t="shared" si="13"/>
        <v>100</v>
      </c>
      <c r="V37" s="714" t="s">
        <v>17</v>
      </c>
      <c r="W37" s="715">
        <f t="shared" si="14"/>
        <v>100</v>
      </c>
      <c r="X37" s="1541"/>
      <c r="Y37" s="3367"/>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7"/>
      <c r="Q38" s="716">
        <f t="shared" si="11"/>
        <v>111</v>
      </c>
      <c r="R38" s="717" t="s">
        <v>17</v>
      </c>
      <c r="S38" s="718">
        <f t="shared" si="12"/>
        <v>100</v>
      </c>
      <c r="T38" s="717" t="s">
        <v>17</v>
      </c>
      <c r="U38" s="718">
        <f t="shared" si="13"/>
        <v>100</v>
      </c>
      <c r="V38" s="717" t="s">
        <v>17</v>
      </c>
      <c r="W38" s="718">
        <f t="shared" si="14"/>
        <v>100</v>
      </c>
      <c r="X38" s="719"/>
      <c r="Y38" s="3367"/>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7"/>
      <c r="Q39" s="1538">
        <f t="shared" si="11"/>
        <v>111</v>
      </c>
      <c r="R39" s="714" t="s">
        <v>17</v>
      </c>
      <c r="S39" s="715">
        <f t="shared" si="12"/>
        <v>100</v>
      </c>
      <c r="T39" s="714" t="s">
        <v>17</v>
      </c>
      <c r="U39" s="715">
        <f t="shared" si="13"/>
        <v>100</v>
      </c>
      <c r="V39" s="714" t="s">
        <v>17</v>
      </c>
      <c r="W39" s="715">
        <f t="shared" si="14"/>
        <v>100</v>
      </c>
      <c r="X39" s="1541"/>
      <c r="Y39" s="3367"/>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8"/>
      <c r="Q40" s="1538">
        <f t="shared" si="11"/>
        <v>111</v>
      </c>
      <c r="R40" s="714" t="s">
        <v>17</v>
      </c>
      <c r="S40" s="715">
        <f t="shared" si="12"/>
        <v>100</v>
      </c>
      <c r="T40" s="714" t="s">
        <v>17</v>
      </c>
      <c r="U40" s="715">
        <f t="shared" si="13"/>
        <v>100</v>
      </c>
      <c r="V40" s="714" t="s">
        <v>17</v>
      </c>
      <c r="W40" s="715">
        <f t="shared" si="14"/>
        <v>100</v>
      </c>
      <c r="X40" s="1541"/>
      <c r="Y40" s="3368"/>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60" t="str">
        <f>A41</f>
        <v>成交单价（元/平方米）</v>
      </c>
      <c r="Q41" s="3360"/>
      <c r="R41" s="3361">
        <f>E41</f>
        <v>0</v>
      </c>
      <c r="S41" s="3361"/>
      <c r="T41" s="3361">
        <f>G41</f>
        <v>0</v>
      </c>
      <c r="U41" s="3361"/>
      <c r="V41" s="3361">
        <f>I41</f>
        <v>0</v>
      </c>
      <c r="W41" s="3361"/>
      <c r="X41" s="699"/>
      <c r="Y41" s="721"/>
      <c r="Z41" s="699"/>
      <c r="AA41" s="699"/>
      <c r="AB41" s="699"/>
      <c r="AC41" s="699"/>
    </row>
    <row r="42" spans="1:29" ht="15.75" thickBot="1">
      <c r="A42" s="445" t="s">
        <v>2491</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60" t="str">
        <f>A42</f>
        <v>比较价值（元/平方米）</v>
      </c>
      <c r="Q42" s="3360"/>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57" t="str">
        <f>A43</f>
        <v>估价对象XX用房的比较价值（楼面单价，元/平方米）</v>
      </c>
      <c r="Q43" s="3358"/>
      <c r="R43" s="3359" t="e">
        <f>IF(F1="售价",ROUND(IF(D42="简单平均",AVERAGE(R42:V42),R42*F42+T42*H42+V42*J42),0),ROUND(IF(D42="简单平均",AVERAGE(R42:V42),R42*F42+T42*H42+V42*J42),1))</f>
        <v>#DIV/0!</v>
      </c>
      <c r="S43" s="3359"/>
      <c r="T43" s="3359"/>
      <c r="U43" s="3359"/>
      <c r="V43" s="3359"/>
      <c r="W43" s="3359"/>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9"/>
      <c r="O54" s="3000"/>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7" zoomScale="115" zoomScaleNormal="100" zoomScaleSheetLayoutView="115" zoomScalePageLayoutView="80" workbookViewId="0">
      <selection activeCell="F28" sqref="F28"/>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3100</v>
      </c>
      <c r="D1" s="1935"/>
      <c r="E1" s="1935"/>
      <c r="F1" s="1937" t="s">
        <v>1950</v>
      </c>
      <c r="G1" s="1748" t="s">
        <v>3065</v>
      </c>
      <c r="H1" s="1938" t="str">
        <f>IF(G1="现房","——","估价对象范围")</f>
        <v>——</v>
      </c>
      <c r="I1" s="1939" t="s">
        <v>3089</v>
      </c>
    </row>
    <row r="2" spans="1:12" ht="21.75" customHeight="1" thickBot="1">
      <c r="A2" s="3241" t="str">
        <f>项目基本情况!S2</f>
        <v>北京市海淀大街5号房地产</v>
      </c>
      <c r="B2" s="3242"/>
      <c r="C2" s="3242"/>
      <c r="D2" s="3242"/>
      <c r="E2" s="3242"/>
      <c r="F2" s="3242"/>
      <c r="G2" s="3242"/>
      <c r="H2" s="3242"/>
      <c r="I2" s="3243"/>
    </row>
    <row r="3" spans="1:12" ht="12.75">
      <c r="A3" s="3245" t="s">
        <v>1951</v>
      </c>
      <c r="B3" s="3246"/>
      <c r="C3" s="3246"/>
      <c r="D3" s="3246"/>
      <c r="E3" s="3246"/>
      <c r="F3" s="3246"/>
      <c r="G3" s="3246"/>
      <c r="H3" s="3246"/>
      <c r="I3" s="3246"/>
    </row>
    <row r="4" spans="1:12" ht="14.25">
      <c r="A4" s="1942" t="s">
        <v>1952</v>
      </c>
      <c r="B4" s="1943" t="s">
        <v>1953</v>
      </c>
      <c r="C4" s="1944" t="s">
        <v>3106</v>
      </c>
      <c r="D4" s="1944" t="s">
        <v>3107</v>
      </c>
      <c r="E4" s="3250" t="s">
        <v>1954</v>
      </c>
      <c r="F4" s="3251"/>
      <c r="G4" s="3251"/>
      <c r="H4" s="3251"/>
      <c r="I4" s="3252"/>
      <c r="K4" s="151" t="str">
        <f>IF(ISNUMBER(FIND("比较法",'结果表-车位'!C4)),"比较法",IF(ISNUMBER(FIND("成本法",'结果表-车位'!C4)),"成本法",IF(ISNUMBER(FIND("假设开发法",'结果表-车位'!C4)),"假设开发法",IF(ISNUMBER(FIND("收益法",'结果表-车位'!C4)),"收益法","基准地价系数修正法"))))</f>
        <v>比较法</v>
      </c>
      <c r="L4" s="151"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86" t="s">
        <v>1955</v>
      </c>
      <c r="B5" s="3244">
        <v>25</v>
      </c>
      <c r="C5" s="3247"/>
      <c r="D5" s="3235"/>
      <c r="E5" s="136" t="s">
        <v>1956</v>
      </c>
      <c r="F5" s="1945"/>
      <c r="G5" s="1945"/>
      <c r="H5" s="1945"/>
      <c r="I5" s="1559"/>
    </row>
    <row r="6" spans="1:12" ht="12.75">
      <c r="A6" s="3186"/>
      <c r="B6" s="3244"/>
      <c r="C6" s="3249"/>
      <c r="D6" s="3235"/>
      <c r="E6" s="136" t="s">
        <v>1957</v>
      </c>
      <c r="F6" s="1945"/>
      <c r="G6" s="1945"/>
      <c r="H6" s="1945"/>
      <c r="I6" s="1559"/>
    </row>
    <row r="7" spans="1:12" ht="12.75">
      <c r="A7" s="3186"/>
      <c r="B7" s="3244"/>
      <c r="C7" s="3248"/>
      <c r="D7" s="3235"/>
      <c r="E7" s="136" t="s">
        <v>1958</v>
      </c>
      <c r="F7" s="1945"/>
      <c r="G7" s="1945"/>
      <c r="H7" s="1945"/>
      <c r="I7" s="1559"/>
    </row>
    <row r="8" spans="1:12" ht="12.75">
      <c r="A8" s="3186" t="s">
        <v>1959</v>
      </c>
      <c r="B8" s="3244">
        <v>15</v>
      </c>
      <c r="C8" s="3247"/>
      <c r="D8" s="3235"/>
      <c r="E8" s="136" t="s">
        <v>1960</v>
      </c>
      <c r="F8" s="1945"/>
      <c r="G8" s="1945"/>
      <c r="H8" s="1945"/>
      <c r="I8" s="1559"/>
    </row>
    <row r="9" spans="1:12" ht="12.75">
      <c r="A9" s="3186"/>
      <c r="B9" s="3244"/>
      <c r="C9" s="3248"/>
      <c r="D9" s="3235"/>
      <c r="E9" s="136" t="s">
        <v>1961</v>
      </c>
      <c r="F9" s="1945"/>
      <c r="G9" s="1945"/>
      <c r="H9" s="1945"/>
      <c r="I9" s="1559"/>
    </row>
    <row r="10" spans="1:12" ht="12.75">
      <c r="A10" s="3186" t="s">
        <v>1962</v>
      </c>
      <c r="B10" s="3244">
        <v>15</v>
      </c>
      <c r="C10" s="3247"/>
      <c r="D10" s="3235"/>
      <c r="E10" s="136" t="s">
        <v>1963</v>
      </c>
      <c r="F10" s="1945"/>
      <c r="G10" s="1945"/>
      <c r="H10" s="1945"/>
      <c r="I10" s="1559"/>
    </row>
    <row r="11" spans="1:12" ht="12.75">
      <c r="A11" s="3186"/>
      <c r="B11" s="3244"/>
      <c r="C11" s="3248"/>
      <c r="D11" s="3235"/>
      <c r="E11" s="136" t="s">
        <v>1964</v>
      </c>
      <c r="F11" s="1945"/>
      <c r="G11" s="1945"/>
      <c r="H11" s="1945"/>
      <c r="I11" s="1559"/>
    </row>
    <row r="12" spans="1:12" ht="12.75">
      <c r="A12" s="3186" t="s">
        <v>1965</v>
      </c>
      <c r="B12" s="3244">
        <v>15</v>
      </c>
      <c r="C12" s="3247"/>
      <c r="D12" s="3235"/>
      <c r="E12" s="136" t="s">
        <v>1966</v>
      </c>
      <c r="F12" s="1945"/>
      <c r="G12" s="1945"/>
      <c r="H12" s="1945"/>
      <c r="I12" s="1559"/>
    </row>
    <row r="13" spans="1:12" ht="12.75">
      <c r="A13" s="3186"/>
      <c r="B13" s="3244"/>
      <c r="C13" s="3248"/>
      <c r="D13" s="3235"/>
      <c r="E13" s="136" t="s">
        <v>1967</v>
      </c>
      <c r="F13" s="1945"/>
      <c r="G13" s="1945"/>
      <c r="H13" s="1945"/>
      <c r="I13" s="1559"/>
    </row>
    <row r="14" spans="1:12" ht="12.75">
      <c r="A14" s="3186" t="s">
        <v>1968</v>
      </c>
      <c r="B14" s="3244">
        <v>30</v>
      </c>
      <c r="C14" s="3247">
        <v>5</v>
      </c>
      <c r="D14" s="3235">
        <v>5</v>
      </c>
      <c r="E14" s="136" t="s">
        <v>1969</v>
      </c>
      <c r="F14" s="1945"/>
      <c r="G14" s="1945"/>
      <c r="H14" s="1945"/>
      <c r="I14" s="1559"/>
    </row>
    <row r="15" spans="1:12" ht="12.75">
      <c r="A15" s="3186"/>
      <c r="B15" s="3244"/>
      <c r="C15" s="3249"/>
      <c r="D15" s="3235"/>
      <c r="E15" s="136" t="s">
        <v>1970</v>
      </c>
      <c r="F15" s="1945"/>
      <c r="G15" s="1945"/>
      <c r="H15" s="1945"/>
      <c r="I15" s="1559"/>
    </row>
    <row r="16" spans="1:12" ht="12.75">
      <c r="A16" s="3186"/>
      <c r="B16" s="3244"/>
      <c r="C16" s="3248"/>
      <c r="D16" s="3235"/>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266" t="s">
        <v>2872</v>
      </c>
      <c r="F18" s="3267"/>
      <c r="G18" s="3267"/>
      <c r="H18" s="3267"/>
      <c r="I18" s="3267"/>
      <c r="K18" s="308" t="s">
        <v>1976</v>
      </c>
      <c r="L18" s="308">
        <f>IF(C1="",'数据-汇总表'!E3,SUMIF(项目类型,C1,'数据-汇总表'!E17:E26)+SUMIF(项目类型,C1,'数据-汇总表'!I17:I26))</f>
        <v>0</v>
      </c>
      <c r="M18" s="308">
        <f>IF(C1="",'数据-汇总表'!E3,SUMIF(项目类型,C1,'数据-汇总表'!E17:E26))</f>
        <v>0</v>
      </c>
    </row>
    <row r="19" spans="1:36" ht="15">
      <c r="A19" s="1949" t="s">
        <v>1977</v>
      </c>
      <c r="B19" s="1950" t="s">
        <v>1978</v>
      </c>
      <c r="C19" s="139">
        <f ca="1">SUMIF(INDIRECT("'"&amp;C4&amp;"'"&amp;"!A:A"),'结果表-车位'!B19,INDIRECT("'"&amp;C4&amp;"'"&amp;"!B:B"))</f>
        <v>0</v>
      </c>
      <c r="D19" s="140" t="e">
        <f ca="1">SUMIF(INDIRECT("'"&amp;D4&amp;"'"&amp;"!A:A"),'结果表-车位'!B19,INDIRECT("'"&amp;D4&amp;"'"&amp;"!B:B"))</f>
        <v>#N/A</v>
      </c>
      <c r="E19" s="1949" t="s">
        <v>1979</v>
      </c>
      <c r="F19" s="1950" t="s">
        <v>1978</v>
      </c>
      <c r="G19" s="141" t="e">
        <f ca="1">ROUND(C19*$C$18+D19*$D$18,0)</f>
        <v>#N/A</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t="e">
        <f ca="1">SUMIF(INDIRECT("'"&amp;C4&amp;"'"&amp;"!A:A"),'结果表-车位'!B20,INDIRECT("'"&amp;C4&amp;"'"&amp;"!B:B"))</f>
        <v>#DIV/0!</v>
      </c>
      <c r="D20" s="143">
        <f ca="1">SUMIF(INDIRECT("'"&amp;D4&amp;"'"&amp;"!A:A"),'结果表-车位'!B20,INDIRECT("'"&amp;D4&amp;"'"&amp;"!B:B"))</f>
        <v>0</v>
      </c>
      <c r="E20" s="1952"/>
      <c r="F20" s="1157" t="s">
        <v>1982</v>
      </c>
      <c r="G20" s="144" t="e">
        <f ca="1">ROUND(C20*$C$18+D20*$D$18,0)</f>
        <v>#DIV/0!</v>
      </c>
      <c r="H20" s="917" t="s">
        <v>1983</v>
      </c>
      <c r="I20" s="134" t="s">
        <v>3109</v>
      </c>
    </row>
    <row r="21" spans="1:36" ht="15" customHeight="1" thickBot="1">
      <c r="A21" s="937"/>
      <c r="B21" s="1953" t="s">
        <v>1984</v>
      </c>
      <c r="C21" s="728" t="e">
        <f ca="1">ROUND(C19*10000/L19,0)</f>
        <v>#DIV/0!</v>
      </c>
      <c r="D21" s="729" t="e">
        <f ca="1">ROUND(D19*10000/L19,0)</f>
        <v>#N/A</v>
      </c>
      <c r="E21" s="937"/>
      <c r="F21" s="1953" t="s">
        <v>1984</v>
      </c>
      <c r="G21" s="145" t="e">
        <f ca="1">ROUND(G19*10000/L19,0)</f>
        <v>#N/A</v>
      </c>
      <c r="H21" s="1954" t="s">
        <v>1983</v>
      </c>
      <c r="I21" s="134" t="e">
        <f ca="1">ROUND(G21*30/10000,2)</f>
        <v>#N/A</v>
      </c>
    </row>
    <row r="22" spans="1:36" ht="15" thickBot="1">
      <c r="A22" s="1876" t="s">
        <v>1985</v>
      </c>
      <c r="B22" s="1955"/>
      <c r="C22" s="1956"/>
      <c r="D22" s="730" t="e">
        <f ca="1">IF(C19&lt;D19,D19/C19-1,C19/D19-1)</f>
        <v>#N/A</v>
      </c>
      <c r="E22" s="134"/>
      <c r="F22" s="134"/>
      <c r="G22" s="134"/>
      <c r="H22" s="134"/>
      <c r="I22" s="134"/>
    </row>
    <row r="23" spans="1:36" ht="13.5" thickBot="1">
      <c r="A23" s="1935"/>
      <c r="B23" s="1935"/>
      <c r="C23" s="1935"/>
      <c r="D23" s="1935"/>
      <c r="E23" s="134"/>
      <c r="F23" s="134"/>
      <c r="G23" s="134"/>
      <c r="H23" s="134"/>
      <c r="I23" s="134"/>
    </row>
    <row r="24" spans="1:36" ht="14.25">
      <c r="A24" s="3259" t="s">
        <v>1986</v>
      </c>
      <c r="B24" s="1950" t="s">
        <v>1978</v>
      </c>
      <c r="C24" s="141">
        <f>IF(B30=0,0,D30)</f>
        <v>0</v>
      </c>
      <c r="D24" s="1957"/>
      <c r="E24" s="134"/>
      <c r="F24" s="134"/>
      <c r="G24" s="134"/>
      <c r="H24" s="134"/>
      <c r="I24" s="134"/>
    </row>
    <row r="25" spans="1:36" ht="14.25">
      <c r="A25" s="326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t="e">
        <f ca="1">IF(D32="总价",G19-C24,G20-C25)</f>
        <v>#N/A</v>
      </c>
      <c r="D32" s="1963" t="s">
        <v>3093</v>
      </c>
      <c r="E32" s="134"/>
      <c r="F32" s="134"/>
      <c r="G32" s="134"/>
      <c r="H32" s="134"/>
      <c r="I32" s="134"/>
    </row>
    <row r="33" spans="1:15" ht="15">
      <c r="A33" s="894" t="s">
        <v>1993</v>
      </c>
      <c r="B33" s="1964"/>
      <c r="C33" s="1965" t="s">
        <v>3094</v>
      </c>
      <c r="D33" s="1966" t="s">
        <v>3090</v>
      </c>
      <c r="E33" s="1967" t="s">
        <v>1994</v>
      </c>
      <c r="F33" s="1968" t="str">
        <f>IF(D32="楼面单价","取值（单价）","取值（总价）")</f>
        <v>取值（总价）</v>
      </c>
      <c r="G33" s="134"/>
      <c r="H33" s="134"/>
      <c r="I33" s="134"/>
    </row>
    <row r="34" spans="1:15" ht="15">
      <c r="A34" s="1969"/>
      <c r="B34" s="1970" t="s">
        <v>1995</v>
      </c>
      <c r="C34" s="153" t="e">
        <f ca="1">IF(C33="自定义",F34,C32-C35)</f>
        <v>#N/A</v>
      </c>
      <c r="D34" s="970">
        <f ca="1">IF(C33="自定义",ROUND(C34/C32,3),IF(C33="收益比率",SUMIF(INDIRECT("'"&amp;D33&amp;"'"&amp;"!b:b"),"土地收益比率",INDIRECT("'"&amp;D33&amp;"'"&amp;"!c:c")),SUMIF(INDIRECT("'"&amp;D33&amp;"'"&amp;"!b:b"),"土地成本比率",INDIRECT("'"&amp;D33&amp;"'"&amp;"!c:c"))))</f>
        <v>0.91400000000000003</v>
      </c>
      <c r="E34" s="1971" t="s">
        <v>1996</v>
      </c>
      <c r="F34" s="1500"/>
      <c r="G34" s="134"/>
      <c r="H34" s="134"/>
      <c r="I34" s="134"/>
    </row>
    <row r="35" spans="1:15" ht="15.75" thickBot="1">
      <c r="A35" s="1972"/>
      <c r="B35" s="1973" t="s">
        <v>1997</v>
      </c>
      <c r="C35" s="1332" t="e">
        <f ca="1">IF(C33="自定义",F35,ROUND(C32*D35,0))</f>
        <v>#N/A</v>
      </c>
      <c r="D35" s="1333">
        <f ca="1">IF(C33="自定义",ROUND(C35/C32,3),IF(C33="收益比率",SUMIF(INDIRECT("'"&amp;D33&amp;"'"&amp;"!b:b"),"建筑物收益比率",INDIRECT("'"&amp;D33&amp;"'"&amp;"!c:c")),SUMIF(INDIRECT("'"&amp;D33&amp;"'"&amp;"!b:b"),"建筑物成本比率",INDIRECT("'"&amp;D33&amp;"'"&amp;"!c:c"))))</f>
        <v>8.5999999999999993E-2</v>
      </c>
      <c r="E35" s="1974" t="s">
        <v>1998</v>
      </c>
      <c r="F35" s="159"/>
      <c r="G35" s="134"/>
      <c r="H35" s="134"/>
      <c r="I35" s="134"/>
    </row>
    <row r="36" spans="1:15" ht="15.75" thickBot="1">
      <c r="A36" s="3236" t="s">
        <v>1999</v>
      </c>
      <c r="B36" s="1975" t="s">
        <v>2000</v>
      </c>
      <c r="C36" s="150"/>
      <c r="D36" s="1976"/>
      <c r="E36" s="1977"/>
      <c r="F36" s="1978"/>
      <c r="G36" s="134"/>
      <c r="H36" s="134"/>
      <c r="I36" s="134"/>
    </row>
    <row r="37" spans="1:15" ht="15.75" thickBot="1">
      <c r="A37" s="3237"/>
      <c r="B37" s="1862" t="s">
        <v>2001</v>
      </c>
      <c r="C37" s="152"/>
      <c r="D37" s="1301"/>
      <c r="E37" s="1301"/>
      <c r="F37" s="1978"/>
      <c r="G37" s="134"/>
      <c r="H37" s="134"/>
      <c r="I37" s="134"/>
    </row>
    <row r="38" spans="1:15" ht="15.75" thickBot="1">
      <c r="A38" s="3238"/>
      <c r="B38" s="1979" t="s">
        <v>2002</v>
      </c>
      <c r="C38" s="683"/>
      <c r="D38" s="1980" t="s">
        <v>2003</v>
      </c>
      <c r="E38" s="1301"/>
      <c r="F38" s="1978"/>
      <c r="G38" s="134"/>
      <c r="H38" s="134"/>
      <c r="I38" s="134"/>
    </row>
    <row r="39" spans="1:15" ht="15">
      <c r="A39" s="1952" t="s">
        <v>2004</v>
      </c>
      <c r="B39" s="1981" t="s">
        <v>1988</v>
      </c>
      <c r="C39" s="1982" t="s">
        <v>1989</v>
      </c>
      <c r="D39" s="1982" t="s">
        <v>2007</v>
      </c>
      <c r="E39" s="1983" t="s">
        <v>1990</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256" t="s">
        <v>2013</v>
      </c>
      <c r="B45" s="3257"/>
      <c r="C45" s="3258"/>
      <c r="D45" s="160" t="e">
        <f ca="1">ROUND(H101*F45,0)</f>
        <v>#N/A</v>
      </c>
      <c r="E45" s="161" t="s">
        <v>2014</v>
      </c>
      <c r="F45" s="162">
        <v>1</v>
      </c>
      <c r="G45" s="163" t="s">
        <v>2015</v>
      </c>
      <c r="H45" s="134"/>
      <c r="I45" s="134"/>
      <c r="J45" s="3173" t="s">
        <v>2016</v>
      </c>
      <c r="K45" s="3173"/>
      <c r="L45" s="3173"/>
      <c r="M45" s="3173"/>
      <c r="N45" s="3173"/>
      <c r="O45" s="3173"/>
    </row>
    <row r="46" spans="1:15" ht="14.25" customHeight="1">
      <c r="A46" s="3253" t="s">
        <v>2017</v>
      </c>
      <c r="B46" s="3254"/>
      <c r="C46" s="3254"/>
      <c r="D46" s="3254"/>
      <c r="E46" s="3254"/>
      <c r="F46" s="3254"/>
      <c r="G46" s="3255"/>
      <c r="H46" s="1994"/>
      <c r="I46" s="164"/>
      <c r="J46" s="3056">
        <v>1</v>
      </c>
      <c r="K46" s="3174" t="s">
        <v>2018</v>
      </c>
      <c r="L46" s="3174"/>
      <c r="M46" s="3175"/>
      <c r="N46" s="3175"/>
      <c r="O46" s="3175"/>
    </row>
    <row r="47" spans="1:15" ht="12" customHeight="1">
      <c r="A47" s="165" t="s">
        <v>2019</v>
      </c>
      <c r="B47" s="166"/>
      <c r="C47" s="167"/>
      <c r="D47" s="1247" t="s">
        <v>2020</v>
      </c>
      <c r="E47" s="308" t="s">
        <v>2021</v>
      </c>
      <c r="F47" s="168" t="s">
        <v>2022</v>
      </c>
      <c r="G47" s="2772" t="s">
        <v>2023</v>
      </c>
      <c r="H47" s="2773"/>
      <c r="I47" s="164"/>
      <c r="J47" s="3056">
        <v>2</v>
      </c>
      <c r="K47" s="3174" t="s">
        <v>2024</v>
      </c>
      <c r="L47" s="3174"/>
      <c r="M47" s="3176">
        <f>'数据-取费表'!B2</f>
        <v>44155</v>
      </c>
      <c r="N47" s="3176"/>
      <c r="O47" s="3176"/>
    </row>
    <row r="48" spans="1:15" ht="25.5">
      <c r="A48" s="3239" t="s">
        <v>2025</v>
      </c>
      <c r="B48" s="3240"/>
      <c r="C48" s="3240"/>
      <c r="D48" s="3051" t="b">
        <f>IF(H48="情况1",0,IF(H48="情况2",D52,IF(H48="情况3",D53,IF(H48="情况4",D54))))</f>
        <v>0</v>
      </c>
      <c r="E48" s="3066" t="str">
        <f>IF(H48="情况4","(销售额-原购置价)×税（费）率","销售额×税（费）率")</f>
        <v>销售额×税（费）率</v>
      </c>
      <c r="F48" s="2774">
        <f>IF(H48="情况1","免征",'数据-取费表'!B41)</f>
        <v>5.6000000000000001E-2</v>
      </c>
      <c r="G48" s="2775" t="s">
        <v>2026</v>
      </c>
      <c r="H48" s="2776"/>
      <c r="I48" s="1994"/>
      <c r="J48" s="3056">
        <v>3</v>
      </c>
      <c r="K48" s="3174" t="s">
        <v>2027</v>
      </c>
      <c r="L48" s="3174"/>
      <c r="M48" s="3177" t="e">
        <f ca="1">H101</f>
        <v>#N/A</v>
      </c>
      <c r="N48" s="3177"/>
      <c r="O48" s="3177"/>
    </row>
    <row r="49" spans="1:35" ht="25.5" customHeight="1">
      <c r="A49" s="3065" t="s">
        <v>2028</v>
      </c>
      <c r="B49" s="3222" t="s">
        <v>2029</v>
      </c>
      <c r="C49" s="3222"/>
      <c r="D49" s="1777">
        <v>0</v>
      </c>
      <c r="E49" s="330" t="s">
        <v>2030</v>
      </c>
      <c r="F49" s="3049" t="s">
        <v>34</v>
      </c>
      <c r="G49" s="3205"/>
      <c r="H49" s="2529" t="s">
        <v>2875</v>
      </c>
      <c r="I49" s="2530"/>
      <c r="J49" s="3056">
        <v>4</v>
      </c>
      <c r="K49" s="3174" t="str">
        <f>IF(项目基本情况!E8="房地产抵押价值","房地产抵押价值","抵押担保权已注销时的房地产抵押价值")</f>
        <v>抵押担保权已注销时的房地产抵押价值</v>
      </c>
      <c r="L49" s="3174"/>
      <c r="M49" s="3177" t="e">
        <f ca="1">IF(项目基本情况!E8="房地产抵押价值",H107,H109)</f>
        <v>#N/A</v>
      </c>
      <c r="N49" s="3177"/>
      <c r="O49" s="3177"/>
    </row>
    <row r="50" spans="1:35" ht="25.5" customHeight="1">
      <c r="A50" s="2777"/>
      <c r="B50" s="3222" t="s">
        <v>2031</v>
      </c>
      <c r="C50" s="3222"/>
      <c r="D50" s="2778"/>
      <c r="E50" s="338"/>
      <c r="F50" s="3049"/>
      <c r="G50" s="3206"/>
      <c r="H50" s="2531" t="s">
        <v>2876</v>
      </c>
      <c r="I50" s="2530"/>
      <c r="J50" s="3173" t="s">
        <v>2032</v>
      </c>
      <c r="K50" s="3173"/>
      <c r="L50" s="3173"/>
      <c r="M50" s="3173"/>
      <c r="N50" s="3173"/>
      <c r="O50" s="3173"/>
    </row>
    <row r="51" spans="1:35" ht="20.45" customHeight="1">
      <c r="A51" s="2779"/>
      <c r="B51" s="3222" t="s">
        <v>2033</v>
      </c>
      <c r="C51" s="3222"/>
      <c r="D51" s="1247"/>
      <c r="E51" s="333"/>
      <c r="F51" s="3049"/>
      <c r="G51" s="3207"/>
      <c r="H51" s="2531" t="s">
        <v>2877</v>
      </c>
      <c r="I51" s="2530"/>
      <c r="J51" s="3050" t="s">
        <v>2034</v>
      </c>
      <c r="K51" s="3174" t="s">
        <v>2035</v>
      </c>
      <c r="L51" s="3174"/>
      <c r="M51" s="3050" t="s">
        <v>2036</v>
      </c>
      <c r="N51" s="3050" t="s">
        <v>2037</v>
      </c>
      <c r="O51" s="3050" t="s">
        <v>2038</v>
      </c>
    </row>
    <row r="52" spans="1:35" ht="24" customHeight="1">
      <c r="A52" s="3068" t="s">
        <v>2039</v>
      </c>
      <c r="B52" s="3222" t="s">
        <v>2040</v>
      </c>
      <c r="C52" s="3222"/>
      <c r="D52" s="1247" t="e">
        <f ca="1">ROUND(D45*'数据-取费表'!B41/(1+'数据-取费表'!C42),0)</f>
        <v>#N/A</v>
      </c>
      <c r="E52" s="3066" t="s">
        <v>2041</v>
      </c>
      <c r="F52" s="2780">
        <f>'数据-取费表'!B41</f>
        <v>5.6000000000000001E-2</v>
      </c>
      <c r="G52" s="2781"/>
      <c r="H52" s="2770"/>
      <c r="I52" s="1995"/>
      <c r="J52" s="3056">
        <v>1</v>
      </c>
      <c r="K52" s="3199" t="s">
        <v>2042</v>
      </c>
      <c r="L52" s="3199"/>
      <c r="M52" s="2751" t="b">
        <f>D48</f>
        <v>0</v>
      </c>
      <c r="N52" s="3056" t="str">
        <f>E48</f>
        <v>销售额×税（费）率</v>
      </c>
      <c r="O52" s="2752">
        <f>F48</f>
        <v>5.6000000000000001E-2</v>
      </c>
    </row>
    <row r="53" spans="1:35" ht="12" customHeight="1">
      <c r="A53" s="3068" t="s">
        <v>2043</v>
      </c>
      <c r="B53" s="3223" t="s">
        <v>3036</v>
      </c>
      <c r="C53" s="3224"/>
      <c r="D53" s="1247" t="e">
        <f ca="1">ROUND(D45*'数据-取费表'!B41/(1+'数据-取费表'!C42),0)</f>
        <v>#N/A</v>
      </c>
      <c r="E53" s="3066" t="s">
        <v>2041</v>
      </c>
      <c r="F53" s="2780">
        <f>'数据-取费表'!B41</f>
        <v>5.6000000000000001E-2</v>
      </c>
      <c r="G53" s="2781"/>
      <c r="H53" s="2770"/>
      <c r="I53" s="1995"/>
      <c r="J53" s="3056">
        <v>2</v>
      </c>
      <c r="K53" s="3199" t="s">
        <v>2044</v>
      </c>
      <c r="L53" s="3199"/>
      <c r="M53" s="2751" t="e">
        <f t="shared" ref="M53:O54" ca="1" si="0">D55</f>
        <v>#N/A</v>
      </c>
      <c r="N53" s="3056" t="str">
        <f t="shared" si="0"/>
        <v>销售额×税（费）率</v>
      </c>
      <c r="O53" s="2752" t="str">
        <f t="shared" si="0"/>
        <v>免征</v>
      </c>
    </row>
    <row r="54" spans="1:35" ht="12" customHeight="1">
      <c r="A54" s="3068" t="s">
        <v>2045</v>
      </c>
      <c r="B54" s="3223" t="s">
        <v>3037</v>
      </c>
      <c r="C54" s="3224"/>
      <c r="D54" s="1247" t="e">
        <f ca="1">C68</f>
        <v>#N/A</v>
      </c>
      <c r="E54" s="333" t="s">
        <v>2046</v>
      </c>
      <c r="F54" s="2780">
        <f>'数据-取费表'!B41</f>
        <v>5.6000000000000001E-2</v>
      </c>
      <c r="G54" s="2781"/>
      <c r="H54" s="2782"/>
      <c r="I54" s="1995"/>
      <c r="J54" s="3056">
        <v>3</v>
      </c>
      <c r="K54" s="3199" t="s">
        <v>2047</v>
      </c>
      <c r="L54" s="3199"/>
      <c r="M54" s="2751" t="e">
        <f t="shared" ca="1" si="0"/>
        <v>#N/A</v>
      </c>
      <c r="N54" s="3056" t="str">
        <f t="shared" si="0"/>
        <v>增值额×税（费）率</v>
      </c>
      <c r="O54" s="2753" t="str">
        <f t="shared" si="0"/>
        <v>免征</v>
      </c>
    </row>
    <row r="55" spans="1:35" ht="24" customHeight="1">
      <c r="A55" s="3262" t="s">
        <v>2048</v>
      </c>
      <c r="B55" s="3240"/>
      <c r="C55" s="3240"/>
      <c r="D55" s="3051" t="e">
        <f ca="1">IF(H55="个人住宅",0,ROUND(D45*I55,0))</f>
        <v>#N/A</v>
      </c>
      <c r="E55" s="3066" t="s">
        <v>2049</v>
      </c>
      <c r="F55" s="2780" t="str">
        <f>IF(H55="正常",I55,"免征")</f>
        <v>免征</v>
      </c>
      <c r="G55" s="2781"/>
      <c r="H55" s="2776"/>
      <c r="I55" s="170">
        <f>'数据-取费表'!B49</f>
        <v>5.0000000000000001E-4</v>
      </c>
      <c r="J55" s="3056">
        <f>IF(H59="非个人房产","",4)</f>
        <v>4</v>
      </c>
      <c r="K55" s="3199" t="str">
        <f>IF(H59="非个人房产","——","个人所得税")</f>
        <v>个人所得税</v>
      </c>
      <c r="L55" s="3199"/>
      <c r="M55" s="2754" t="e">
        <f ca="1">D59</f>
        <v>#N/A</v>
      </c>
      <c r="N55" s="3057" t="str">
        <f>E59</f>
        <v>差额计税</v>
      </c>
      <c r="O55" s="2755">
        <f>F59</f>
        <v>0.01</v>
      </c>
    </row>
    <row r="56" spans="1:35" ht="24.75">
      <c r="A56" s="3262" t="s">
        <v>2050</v>
      </c>
      <c r="B56" s="3240"/>
      <c r="C56" s="3240"/>
      <c r="D56" s="3051" t="e">
        <f ca="1">IF(H56="个人住宅",D57,D58)</f>
        <v>#N/A</v>
      </c>
      <c r="E56" s="3066" t="s">
        <v>2051</v>
      </c>
      <c r="F56" s="2780" t="str">
        <f>IF(H56="正常",F58,"免征")</f>
        <v>免征</v>
      </c>
      <c r="G56" s="2783" t="s">
        <v>2052</v>
      </c>
      <c r="H56" s="2784"/>
      <c r="I56" s="1996"/>
      <c r="J56" s="3056" t="str">
        <f>IF(项目基本情况!K6="上海银行",IF(J55="",4,J55+1),"")</f>
        <v/>
      </c>
      <c r="K56" s="3180" t="str">
        <f>IF(项目基本情况!K6="上海银行","其他处置费用","")</f>
        <v/>
      </c>
      <c r="L56" s="3181"/>
      <c r="M56" s="2751" t="str">
        <f>IF(项目基本情况!K6="上海银行",M69,"")</f>
        <v/>
      </c>
      <c r="N56" s="3180" t="str">
        <f>IF(项目基本情况!K6="上海银行","包含处置中涉及的律师、诉讼、拍卖、评估等费用","")</f>
        <v/>
      </c>
      <c r="O56" s="3183"/>
    </row>
    <row r="57" spans="1:35" ht="12.75">
      <c r="A57" s="3068" t="s">
        <v>2028</v>
      </c>
      <c r="B57" s="3223" t="s">
        <v>2053</v>
      </c>
      <c r="C57" s="3224"/>
      <c r="D57" s="1777">
        <v>0</v>
      </c>
      <c r="E57" s="330" t="s">
        <v>2030</v>
      </c>
      <c r="F57" s="308"/>
      <c r="G57" s="2781"/>
      <c r="H57" s="2785"/>
      <c r="I57" s="1996"/>
      <c r="J57" s="3199">
        <f>IF(AND(J55="",J56=""),4,IF(项目基本情况!K6="上海银行",'结果表-车位'!J56+1,'结果表-车位'!J55+1))</f>
        <v>5</v>
      </c>
      <c r="K57" s="3199" t="s">
        <v>2054</v>
      </c>
      <c r="L57" s="2756" t="s">
        <v>2055</v>
      </c>
      <c r="M57" s="2757"/>
      <c r="N57" s="2758">
        <f ca="1">SUMIF(M52:M56,"&lt;9e307")</f>
        <v>0</v>
      </c>
      <c r="O57" s="2759"/>
      <c r="P57" s="2919" t="e">
        <f ca="1">N57/M49</f>
        <v>#N/A</v>
      </c>
    </row>
    <row r="58" spans="1:35" ht="24.75">
      <c r="A58" s="3068" t="s">
        <v>2039</v>
      </c>
      <c r="B58" s="3223" t="s">
        <v>2056</v>
      </c>
      <c r="C58" s="3222"/>
      <c r="D58" s="3051" t="e">
        <f ca="1">IF(H58="转让取得",C81,C97)</f>
        <v>#N/A</v>
      </c>
      <c r="E58" s="3066" t="s">
        <v>2051</v>
      </c>
      <c r="F58" s="308" t="s">
        <v>34</v>
      </c>
      <c r="G58" s="2781"/>
      <c r="H58" s="2784"/>
      <c r="I58" s="1996"/>
      <c r="J58" s="3199"/>
      <c r="K58" s="3199"/>
      <c r="L58" s="2756" t="s">
        <v>2057</v>
      </c>
      <c r="M58" s="2760"/>
      <c r="N58" s="2761" t="str">
        <f ca="1">NUMBERSTRING(INT(N57*10000),2)&amp;"元整"</f>
        <v>零元整</v>
      </c>
      <c r="O58" s="2762"/>
    </row>
    <row r="59" spans="1:35" ht="24.75" thickBot="1">
      <c r="A59" s="3203" t="s">
        <v>2058</v>
      </c>
      <c r="B59" s="3204"/>
      <c r="C59" s="3204"/>
      <c r="D59" s="2786" t="e">
        <f ca="1">IF(H59="非个人房产","——",IF(H59="个人住宅（满五唯一有凭证）",0,IF(H59="个人其他（无凭证）",ROUND(D45*F59,0),ROUND(C67*F59,0))))</f>
        <v>#N/A</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3"/>
      <c r="I59" s="2532" t="s">
        <v>2878</v>
      </c>
      <c r="J59" s="3201">
        <f>J57+1</f>
        <v>6</v>
      </c>
      <c r="K59" s="3199" t="s">
        <v>2059</v>
      </c>
      <c r="L59" s="3056" t="s">
        <v>2055</v>
      </c>
      <c r="M59" s="2763"/>
      <c r="N59" s="2764" t="e">
        <f ca="1">M49-N57</f>
        <v>#N/A</v>
      </c>
      <c r="O59" s="2765"/>
    </row>
    <row r="60" spans="1:35" ht="12" customHeight="1">
      <c r="A60" s="1997"/>
      <c r="B60" s="1935"/>
      <c r="C60" s="1935"/>
      <c r="D60" s="1935"/>
      <c r="E60" s="1765"/>
      <c r="F60" s="1996"/>
      <c r="G60" s="1996"/>
      <c r="H60" s="1998"/>
      <c r="I60" s="134"/>
      <c r="J60" s="3202"/>
      <c r="K60" s="3199"/>
      <c r="L60" s="2756" t="s">
        <v>2057</v>
      </c>
      <c r="M60" s="2760"/>
      <c r="N60" s="2761" t="e">
        <f ca="1">NUMBERSTRING(INT(N59*10000),2)&amp;"元整"</f>
        <v>#N/A</v>
      </c>
      <c r="O60" s="2762"/>
    </row>
    <row r="61" spans="1:35" ht="13.5" thickBot="1">
      <c r="A61" s="3261" t="s">
        <v>2060</v>
      </c>
      <c r="B61" s="3261"/>
      <c r="C61" s="3261"/>
      <c r="D61" s="3261"/>
      <c r="E61" s="3261"/>
      <c r="F61" s="1996"/>
      <c r="G61" s="1996"/>
      <c r="H61" s="1998"/>
      <c r="I61" s="134"/>
      <c r="J61" s="3056">
        <f>J59+1</f>
        <v>7</v>
      </c>
      <c r="K61" s="3199" t="s">
        <v>2061</v>
      </c>
      <c r="L61" s="3199"/>
      <c r="M61" s="2766"/>
      <c r="N61" s="2767" t="e">
        <f ca="1">ROUND(N59*10000/'数据-汇总表'!E3,0)</f>
        <v>#N/A</v>
      </c>
      <c r="O61" s="2768"/>
    </row>
    <row r="62" spans="1:35" ht="12.75">
      <c r="A62" s="3218" t="s">
        <v>2062</v>
      </c>
      <c r="B62" s="3219"/>
      <c r="C62" s="3061"/>
      <c r="D62" s="3061" t="s">
        <v>2063</v>
      </c>
      <c r="E62" s="171" t="s">
        <v>2064</v>
      </c>
      <c r="F62" s="1996"/>
      <c r="G62" s="1996"/>
      <c r="H62" s="1998"/>
      <c r="I62" s="134"/>
    </row>
    <row r="63" spans="1:35" ht="12.75">
      <c r="A63" s="178" t="s">
        <v>775</v>
      </c>
      <c r="B63" s="172" t="s">
        <v>2065</v>
      </c>
      <c r="C63" s="2790" t="e">
        <f ca="1">ROUND((C64+C65)/(1+'数据-取费表'!C42),0)</f>
        <v>#N/A</v>
      </c>
      <c r="D63" s="172"/>
      <c r="E63" s="173"/>
      <c r="F63" s="1996"/>
      <c r="G63" s="1996"/>
      <c r="H63" s="1998"/>
      <c r="I63" s="134"/>
      <c r="J63" s="3182" t="s">
        <v>2066</v>
      </c>
      <c r="K63" s="3052" t="s">
        <v>2067</v>
      </c>
      <c r="L63" s="3052" t="e">
        <f ca="1">IF(M49&gt;10000,M49*0.5%,IF(AND(M49&gt;1000,M49&lt;=10000),M49*1%,IF(AND(M49&gt;100,M49&lt;=1000),M49*3%,IF(AND(M49&gt;10,M49&lt;=100),M49*5%,M49*8%))))</f>
        <v>#N/A</v>
      </c>
      <c r="M63" s="308" t="e">
        <f ca="1">ROUND(L63,1)</f>
        <v>#N/A</v>
      </c>
      <c r="N63" s="2769"/>
      <c r="Z63" s="1940"/>
      <c r="AI63" s="1941"/>
    </row>
    <row r="64" spans="1:35" ht="14.25" customHeight="1">
      <c r="A64" s="174" t="s">
        <v>770</v>
      </c>
      <c r="B64" s="175" t="s">
        <v>2068</v>
      </c>
      <c r="C64" s="2791" t="e">
        <f ca="1">D45</f>
        <v>#N/A</v>
      </c>
      <c r="D64" s="175" t="s">
        <v>32</v>
      </c>
      <c r="E64" s="177"/>
      <c r="F64" s="1996"/>
      <c r="G64" s="1996"/>
      <c r="H64" s="1998"/>
      <c r="I64" s="134"/>
      <c r="J64" s="3182"/>
      <c r="K64" s="3052" t="s">
        <v>2069</v>
      </c>
      <c r="L64" s="3052" t="e">
        <f ca="1">IF(M49&gt;2000,M49*0.5%,IF(AND(M49&gt;1000,M49&lt;=2000),M49*0.6%,IF(AND(M49&gt;500,M49&lt;=1000),M49*0.7%,IF(AND(M49&gt;200,M49&lt;=500),M49*0.8%,IF(AND(M49&gt;100,M49&lt;=200),M49*0.9%,IF(AND(M49&gt;50,M49&lt;=100),M49*1%,IF(AND(M49&gt;20,M49&lt;=50),M49*1.5%,IF(AND(M49&gt;10,M49&lt;=20),M49*2%,IF(AND(M49&gt;1,M49&lt;=10),M49*2.5%)))))))))</f>
        <v>#N/A</v>
      </c>
      <c r="M64" s="308" t="e">
        <f t="shared" ref="M64:M65" ca="1" si="1">ROUND(L64,1)</f>
        <v>#N/A</v>
      </c>
      <c r="N64" s="2770" t="s">
        <v>2070</v>
      </c>
      <c r="Z64" s="1940"/>
      <c r="AI64" s="1941"/>
    </row>
    <row r="65" spans="1:35" ht="14.25" customHeight="1">
      <c r="A65" s="174" t="s">
        <v>771</v>
      </c>
      <c r="B65" s="175" t="s">
        <v>2071</v>
      </c>
      <c r="C65" s="2792"/>
      <c r="D65" s="175"/>
      <c r="E65" s="177"/>
      <c r="F65" s="1996"/>
      <c r="G65" s="1996"/>
      <c r="H65" s="1998"/>
      <c r="I65" s="134"/>
      <c r="J65" s="3182"/>
      <c r="K65" s="3052" t="s">
        <v>2072</v>
      </c>
      <c r="L65" s="3052" t="e">
        <f ca="1">IF(M49&gt;1000,M49*0.1%,IF(AND(M49&gt;500,M49&lt;=1000),M49*0.5%,IF(AND(M49&gt;50,M49&lt;=500),M49*1%,IF(AND(M49&gt;1,M49&lt;=50),M49*1.5%))))</f>
        <v>#N/A</v>
      </c>
      <c r="M65" s="308" t="e">
        <f t="shared" ca="1" si="1"/>
        <v>#N/A</v>
      </c>
      <c r="N65" s="2770" t="s">
        <v>2070</v>
      </c>
      <c r="Z65" s="1940"/>
      <c r="AI65" s="1941"/>
    </row>
    <row r="66" spans="1:35" ht="14.25" customHeight="1">
      <c r="A66" s="178" t="s">
        <v>772</v>
      </c>
      <c r="B66" s="179" t="s">
        <v>2073</v>
      </c>
      <c r="C66" s="2793"/>
      <c r="D66" s="179" t="s">
        <v>32</v>
      </c>
      <c r="E66" s="1511" t="s">
        <v>1337</v>
      </c>
      <c r="F66" s="1996"/>
      <c r="G66" s="1996"/>
      <c r="H66" s="1998"/>
      <c r="I66" s="134"/>
      <c r="J66" s="3182"/>
      <c r="K66" s="3052" t="s">
        <v>2074</v>
      </c>
      <c r="L66" s="3052" t="e">
        <f ca="1">M49*0.5%</f>
        <v>#N/A</v>
      </c>
      <c r="M66" s="308" t="e">
        <f ca="1">IF(L66&gt;0.5,0.5,ROUND(L66,0))</f>
        <v>#N/A</v>
      </c>
      <c r="N66" s="2770" t="s">
        <v>2075</v>
      </c>
      <c r="Z66" s="1940"/>
      <c r="AI66" s="1941"/>
    </row>
    <row r="67" spans="1:35" ht="14.25" customHeight="1">
      <c r="A67" s="178" t="s">
        <v>773</v>
      </c>
      <c r="B67" s="179" t="s">
        <v>2076</v>
      </c>
      <c r="C67" s="2794" t="e">
        <f ca="1">C63-C66</f>
        <v>#N/A</v>
      </c>
      <c r="D67" s="175" t="s">
        <v>32</v>
      </c>
      <c r="E67" s="177"/>
      <c r="F67" s="1996"/>
      <c r="G67" s="1996"/>
      <c r="H67" s="1998"/>
      <c r="I67" s="134"/>
      <c r="J67" s="3182"/>
      <c r="K67" s="3052" t="s">
        <v>2077</v>
      </c>
      <c r="L67" s="3052" t="e">
        <f ca="1">IF(M49&gt;=10000,(8.25+(M49-10000)*0.01%),IF(AND(M49&gt;=8000,M49&lt;10000),(7.85+(M49-8000)*0.02%),IF(AND(M49&gt;=5000,M49&lt;8000),(6.65+(M49-5000)*0.04%),IF(AND(M49&gt;=2000,M49&lt;5000),(4.25+(PM49-2000)*0.08%),IF(AND(M49&gt;=1000,M49&lt;2000),(2.75+(M49-1000)*0.15%),IF(AND(M49&gt;=100,M49&lt;1000),(0.5+(M49-100)*0.25%),IF(AND(M49&gt;0,M49&lt;100),M49*0.5%)))))))</f>
        <v>#N/A</v>
      </c>
      <c r="M67" s="308" t="e">
        <f ca="1">ROUND(L67*0.9,1)</f>
        <v>#N/A</v>
      </c>
      <c r="N67" s="2769"/>
      <c r="Z67" s="1940"/>
      <c r="AI67" s="1941"/>
    </row>
    <row r="68" spans="1:35" ht="14.25" customHeight="1" thickBot="1">
      <c r="A68" s="181" t="s">
        <v>774</v>
      </c>
      <c r="B68" s="182" t="s">
        <v>2078</v>
      </c>
      <c r="C68" s="2795" t="e">
        <f ca="1">IF(C67&lt;=0,0,ROUND(C67*D68,0))</f>
        <v>#N/A</v>
      </c>
      <c r="D68" s="2796">
        <f>'数据-取费表'!B41</f>
        <v>5.6000000000000001E-2</v>
      </c>
      <c r="E68" s="184"/>
      <c r="F68" s="1996"/>
      <c r="G68" s="1996"/>
      <c r="H68" s="1998"/>
      <c r="I68" s="134"/>
      <c r="J68" s="3182"/>
      <c r="K68" s="3052" t="s">
        <v>2079</v>
      </c>
      <c r="L68" s="3052" t="e">
        <f ca="1">IF(M49&gt;10000,M49*0.5%,IF(AND(M49&gt;5000,M49&lt;=10000),M49*1%,IF(AND(M49&gt;1000,M49&lt;=5000),M49*2%,IF(AND(M49&gt;200,M49&lt;=1000),M49*3%,M49*5%))))</f>
        <v>#N/A</v>
      </c>
      <c r="M68" s="308" t="e">
        <f ca="1">ROUND(L68,1)</f>
        <v>#N/A</v>
      </c>
      <c r="N68" s="2769"/>
      <c r="Z68" s="1940"/>
      <c r="AI68" s="1941"/>
    </row>
    <row r="69" spans="1:35" s="1960" customFormat="1" ht="16.5" customHeight="1">
      <c r="A69" s="1999"/>
      <c r="B69" s="2000"/>
      <c r="C69" s="2001"/>
      <c r="D69" s="2002"/>
      <c r="E69" s="2003"/>
      <c r="F69" s="1765"/>
      <c r="G69" s="1765"/>
      <c r="H69" s="1764"/>
      <c r="I69" s="1935"/>
      <c r="J69" s="3182"/>
      <c r="K69" s="3052" t="s">
        <v>2080</v>
      </c>
      <c r="L69" s="3052"/>
      <c r="M69" s="308" t="e">
        <f ca="1">ROUND(SUM(M63:M68),0)</f>
        <v>#N/A</v>
      </c>
      <c r="N69" s="2771" t="e">
        <f ca="1">M69/M49</f>
        <v>#N/A</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6" t="s">
        <v>2081</v>
      </c>
      <c r="B70" s="3227"/>
      <c r="C70" s="3227"/>
      <c r="D70" s="3227"/>
      <c r="E70" s="3227"/>
      <c r="F70" s="3227"/>
      <c r="G70" s="3227"/>
      <c r="H70" s="3227"/>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8" t="s">
        <v>2062</v>
      </c>
      <c r="B71" s="3219"/>
      <c r="C71" s="3061"/>
      <c r="D71" s="3061" t="s">
        <v>2063</v>
      </c>
      <c r="E71" s="185" t="s">
        <v>2064</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4" t="e">
        <f ca="1">ROUND(D45/(1+'数据-取费表'!C42),0)</f>
        <v>#N/A</v>
      </c>
      <c r="D72" s="175" t="s">
        <v>32</v>
      </c>
      <c r="E72" s="3063"/>
      <c r="F72" s="3062"/>
      <c r="G72" s="3062"/>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4" t="e">
        <f ca="1">C74+C78</f>
        <v>#N/A</v>
      </c>
      <c r="D73" s="175" t="s">
        <v>32</v>
      </c>
      <c r="E73" s="3063"/>
      <c r="F73" s="3062"/>
      <c r="G73" s="3062"/>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3063"/>
      <c r="F74" s="3062"/>
      <c r="G74" s="3062"/>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0">
        <v>0.05</v>
      </c>
      <c r="E76" s="3223" t="s">
        <v>2089</v>
      </c>
      <c r="F76" s="3222"/>
      <c r="G76" s="3222"/>
      <c r="H76" s="3225"/>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1">
        <f>'数据-取费表'!B48+'数据-取费表'!B49</f>
        <v>3.0499999999999999E-2</v>
      </c>
      <c r="E77" s="3051" t="s">
        <v>2091</v>
      </c>
      <c r="F77" s="192"/>
      <c r="G77" s="2010"/>
      <c r="H77" s="3064"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2" t="e">
        <f ca="1">ROUND(D45*D78/(1+'数据-取费表'!C42),0)</f>
        <v>#N/A</v>
      </c>
      <c r="D78" s="2803">
        <f>'数据-取费表'!B43</f>
        <v>6.000000000000001E-3</v>
      </c>
      <c r="E78" s="3215" t="s">
        <v>2093</v>
      </c>
      <c r="F78" s="3216"/>
      <c r="G78" s="3216"/>
      <c r="H78" s="321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773</v>
      </c>
      <c r="B79" s="179" t="s">
        <v>2094</v>
      </c>
      <c r="C79" s="2794" t="e">
        <f ca="1">C72-C73</f>
        <v>#N/A</v>
      </c>
      <c r="D79" s="175" t="s">
        <v>32</v>
      </c>
      <c r="E79" s="3063"/>
      <c r="F79" s="3062"/>
      <c r="G79" s="3062"/>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4" t="e">
        <f ca="1">IF(C79&lt;=0,0,C79/C73)</f>
        <v>#N/A</v>
      </c>
      <c r="D80" s="175" t="s">
        <v>32</v>
      </c>
      <c r="E80" s="3051" t="e">
        <f ca="1">IF(C80&gt;=200%,"增值额超过扣除项目金额200%",IF(C80&gt;=100%,"增值额超过扣除项目金额100%，未超过200%",IF(C80&gt;=50%,"增值额超过扣除项目金额50%，未超过100%",IF(C80&lt;50%,"增值额未超过扣除项目金额50%"))))</f>
        <v>#N/A</v>
      </c>
      <c r="F80" s="3062"/>
      <c r="G80" s="3062"/>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5" t="e">
        <f ca="1">ROUND(IF(C79&lt;=0,0,IF(C80&gt;=200%,C79*60%-C73*35%,IF(C80&gt;=100%,C79*50%-C73*15%,IF(C80&gt;=50%,C79*40%-C73*5%,IF(C80&lt;50%,C79*30%,0))))),0)</f>
        <v>#N/A</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6" t="s">
        <v>2097</v>
      </c>
      <c r="B83" s="3227"/>
      <c r="C83" s="3227"/>
      <c r="D83" s="3227"/>
      <c r="E83" s="3227"/>
      <c r="F83" s="3227"/>
      <c r="G83" s="3227"/>
      <c r="H83" s="3227"/>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8" t="s">
        <v>2062</v>
      </c>
      <c r="B84" s="3219"/>
      <c r="C84" s="3061"/>
      <c r="D84" s="306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4" t="e">
        <f ca="1">ROUND(D45/(1+'数据-取费表'!C42),0)</f>
        <v>#N/A</v>
      </c>
      <c r="D85" s="175" t="s">
        <v>32</v>
      </c>
      <c r="E85" s="3063"/>
      <c r="F85" s="3062"/>
      <c r="G85" s="3062"/>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4" t="e">
        <f ca="1">IF(H88="仅含出让金",C87+C90+C91+C92+C93+C94,C87+C91+C92+C93+C94)</f>
        <v>#N/A</v>
      </c>
      <c r="D86" s="2807"/>
      <c r="E86" s="3063"/>
      <c r="F86" s="3062"/>
      <c r="G86" s="3062"/>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2">
        <f>C88+C89</f>
        <v>0</v>
      </c>
      <c r="D87" s="2803"/>
      <c r="E87" s="3058"/>
      <c r="F87" s="3059"/>
      <c r="G87" s="3059"/>
      <c r="H87" s="3060"/>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8"/>
      <c r="D88" s="2803"/>
      <c r="E88" s="199" t="s">
        <v>2100</v>
      </c>
      <c r="F88" s="3059"/>
      <c r="G88" s="200" t="s">
        <v>2101</v>
      </c>
      <c r="H88" s="2012"/>
      <c r="I88" s="2009"/>
      <c r="J88" s="2747"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2">
        <f>ROUND(C88*D89,0)</f>
        <v>0</v>
      </c>
      <c r="D89" s="2803">
        <f>'数据-取费表'!B48+'数据-取费表'!B49</f>
        <v>3.0499999999999999E-2</v>
      </c>
      <c r="E89" s="199" t="s">
        <v>2102</v>
      </c>
      <c r="F89" s="3059"/>
      <c r="G89" s="3059"/>
      <c r="H89" s="3060"/>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8"/>
      <c r="D90" s="2803"/>
      <c r="E90" s="199" t="str">
        <f>IF(H88="-","土地取得成本中已包含该笔费用"," ")</f>
        <v xml:space="preserve"> </v>
      </c>
      <c r="F90" s="3059"/>
      <c r="G90" s="3184" t="s">
        <v>2870</v>
      </c>
      <c r="H90" s="3185"/>
      <c r="I90" s="2009"/>
      <c r="J90" s="2747"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2">
        <f>IF(H91="——",成本法!C33,I91)</f>
        <v>0</v>
      </c>
      <c r="D91" s="2803"/>
      <c r="E91" s="3215" t="s">
        <v>2106</v>
      </c>
      <c r="F91" s="3216"/>
      <c r="G91" s="3216"/>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2">
        <f>ROUND((C87+C90+C91)*D92,0)</f>
        <v>0</v>
      </c>
      <c r="D92" s="2809"/>
      <c r="E92" s="3215" t="s">
        <v>2109</v>
      </c>
      <c r="F92" s="3216"/>
      <c r="G92" s="3216"/>
      <c r="H92" s="3217"/>
      <c r="I92" s="2009"/>
      <c r="J92" s="2748"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2" t="e">
        <f ca="1">ROUND(D45*D93/(1+'数据-取费表'!C42),0)</f>
        <v>#N/A</v>
      </c>
      <c r="D93" s="2803">
        <f>'数据-取费表'!B43</f>
        <v>6.000000000000001E-3</v>
      </c>
      <c r="E93" s="3215" t="s">
        <v>2093</v>
      </c>
      <c r="F93" s="3216"/>
      <c r="G93" s="3216"/>
      <c r="H93" s="321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8">
        <f>ROUND((C87+C90+C91)*D94,0)</f>
        <v>0</v>
      </c>
      <c r="D94" s="2803">
        <v>0.2</v>
      </c>
      <c r="E94" s="3263" t="s">
        <v>2113</v>
      </c>
      <c r="F94" s="3264"/>
      <c r="G94" s="3264"/>
      <c r="H94" s="3265"/>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773</v>
      </c>
      <c r="B95" s="179" t="s">
        <v>2094</v>
      </c>
      <c r="C95" s="2794" t="e">
        <f ca="1">ROUND(C85-C86,0)</f>
        <v>#N/A</v>
      </c>
      <c r="D95" s="175" t="s">
        <v>32</v>
      </c>
      <c r="E95" s="3063"/>
      <c r="F95" s="3062"/>
      <c r="G95" s="3062"/>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4" t="e">
        <f ca="1">IF(C95&lt;=0,0,C95/C86)</f>
        <v>#N/A</v>
      </c>
      <c r="D96" s="175" t="s">
        <v>32</v>
      </c>
      <c r="E96" s="3051" t="e">
        <f ca="1">IF(C96&gt;=200%,"增值额超过扣除项目金额200%",IF(C96&gt;=100%,"增值额超过扣除项目金额100%，未超过200%",IF(C96&gt;=50%,"增值额超过扣除项目金额50%，未超过100%",IF(C96&lt;50%,"增值额未超过扣除项目金额50%"))))</f>
        <v>#N/A</v>
      </c>
      <c r="F96" s="3062"/>
      <c r="G96" s="3062"/>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5" t="e">
        <f ca="1">ROUND(IF(C95&lt;=0,0,IF(C96&gt;=200%,C95*60%-C86*35%,IF(C96&gt;=100%,C95*50%-C86*15%,IF(C96&gt;=50%,C95*40%-C86*5%,IF(C96&lt;50%,C95*30%,0))))),0)</f>
        <v>#N/A</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65" t="s">
        <v>2115</v>
      </c>
      <c r="B100" s="3166"/>
      <c r="C100" s="3166"/>
      <c r="D100" s="3200"/>
      <c r="E100" s="3166" t="s">
        <v>2116</v>
      </c>
      <c r="F100" s="3166"/>
      <c r="G100" s="3166"/>
      <c r="H100" s="3200"/>
      <c r="I100" s="134"/>
    </row>
    <row r="101" spans="1:35" ht="18.75" customHeight="1">
      <c r="A101" s="3208" t="s">
        <v>2117</v>
      </c>
      <c r="B101" s="3209"/>
      <c r="C101" s="2811" t="str">
        <f>C4</f>
        <v>比较法-车位</v>
      </c>
      <c r="D101" s="2812" t="str">
        <f>D4</f>
        <v>收益法-车位</v>
      </c>
      <c r="E101" s="3178" t="s">
        <v>2118</v>
      </c>
      <c r="F101" s="3179"/>
      <c r="G101" s="2015" t="s">
        <v>2119</v>
      </c>
      <c r="H101" s="2821" t="e">
        <f ca="1">H118</f>
        <v>#N/A</v>
      </c>
      <c r="I101" s="134"/>
    </row>
    <row r="102" spans="1:35" ht="18.75" customHeight="1">
      <c r="A102" s="3210" t="s">
        <v>2120</v>
      </c>
      <c r="B102" s="2810" t="s">
        <v>2119</v>
      </c>
      <c r="C102" s="2811">
        <f ca="1">C19</f>
        <v>0</v>
      </c>
      <c r="D102" s="2812" t="e">
        <f ca="1">D19</f>
        <v>#N/A</v>
      </c>
      <c r="E102" s="3178"/>
      <c r="F102" s="3179"/>
      <c r="G102" s="2015" t="s">
        <v>2121</v>
      </c>
      <c r="H102" s="2781" t="e">
        <f ca="1">I118</f>
        <v>#N/A</v>
      </c>
      <c r="I102" s="134"/>
    </row>
    <row r="103" spans="1:35" ht="42.75" customHeight="1">
      <c r="A103" s="3210"/>
      <c r="B103" s="2810" t="s">
        <v>2121</v>
      </c>
      <c r="C103" s="2813" t="e">
        <f ca="1">C20</f>
        <v>#DIV/0!</v>
      </c>
      <c r="D103" s="2814">
        <f ca="1">D20</f>
        <v>0</v>
      </c>
      <c r="E103" s="3171" t="s">
        <v>2122</v>
      </c>
      <c r="F103" s="3172"/>
      <c r="G103" s="2016" t="s">
        <v>2123</v>
      </c>
      <c r="H103" s="2821">
        <f>IF(D36="正常操作",H104+H105+H106,H105+H106)</f>
        <v>0</v>
      </c>
      <c r="I103" s="134"/>
    </row>
    <row r="104" spans="1:35" ht="18.75" customHeight="1">
      <c r="A104" s="3210" t="s">
        <v>2124</v>
      </c>
      <c r="B104" s="2815" t="s">
        <v>2119</v>
      </c>
      <c r="C104" s="2816" t="e">
        <f ca="1">H118</f>
        <v>#N/A</v>
      </c>
      <c r="D104" s="2817"/>
      <c r="E104" s="1862" t="s">
        <v>2125</v>
      </c>
      <c r="F104" s="1853"/>
      <c r="G104" s="2016" t="s">
        <v>2123</v>
      </c>
      <c r="H104" s="2822">
        <f>IF(D36="同一抵押权人同一抵押物续贷",C36&amp;"（续贷，未扣减，详见特别提示）",C36)</f>
        <v>0</v>
      </c>
      <c r="I104" s="134"/>
    </row>
    <row r="105" spans="1:35" ht="18.75" customHeight="1" thickBot="1">
      <c r="A105" s="3220"/>
      <c r="B105" s="2818" t="s">
        <v>2121</v>
      </c>
      <c r="C105" s="2819" t="e">
        <f ca="1">I118</f>
        <v>#N/A</v>
      </c>
      <c r="D105" s="2820"/>
      <c r="E105" s="1862" t="s">
        <v>2126</v>
      </c>
      <c r="F105" s="1853"/>
      <c r="G105" s="2016" t="s">
        <v>2123</v>
      </c>
      <c r="H105" s="2823">
        <f>C37</f>
        <v>0</v>
      </c>
      <c r="I105" s="134"/>
    </row>
    <row r="106" spans="1:35" ht="18.75" customHeight="1">
      <c r="A106" s="1935" t="s">
        <v>2127</v>
      </c>
      <c r="B106" s="1935"/>
      <c r="C106" s="1935"/>
      <c r="D106" s="1935"/>
      <c r="E106" s="2017" t="s">
        <v>2128</v>
      </c>
      <c r="F106" s="1853"/>
      <c r="G106" s="2016" t="s">
        <v>2123</v>
      </c>
      <c r="H106" s="2823">
        <f>C38</f>
        <v>0</v>
      </c>
      <c r="I106" s="134"/>
    </row>
    <row r="107" spans="1:35" ht="18.75" customHeight="1">
      <c r="A107" s="134"/>
      <c r="B107" s="134"/>
      <c r="C107" s="134"/>
      <c r="D107" s="134"/>
      <c r="E107" s="3211" t="str">
        <f>IF(项目基本情况!E8="已注销","——","3.房地产抵押价值")</f>
        <v>3.房地产抵押价值</v>
      </c>
      <c r="F107" s="3179"/>
      <c r="G107" s="2015" t="s">
        <v>2119</v>
      </c>
      <c r="H107" s="2821" t="e">
        <f ca="1">IF(E107="——","——",H101-H103)</f>
        <v>#N/A</v>
      </c>
      <c r="I107" s="134"/>
    </row>
    <row r="108" spans="1:35" ht="18.75" customHeight="1">
      <c r="A108" s="134"/>
      <c r="B108" s="134"/>
      <c r="C108" s="134"/>
      <c r="D108" s="134"/>
      <c r="E108" s="3211"/>
      <c r="F108" s="3179"/>
      <c r="G108" s="2015" t="s">
        <v>2121</v>
      </c>
      <c r="H108" s="2781" t="e">
        <f ca="1">ROUND(H107*10000/'数据-汇总表'!E3,0)</f>
        <v>#N/A</v>
      </c>
      <c r="I108" s="134"/>
    </row>
    <row r="109" spans="1:35" ht="18.75" customHeight="1">
      <c r="A109" s="134"/>
      <c r="B109" s="134"/>
      <c r="C109" s="134"/>
      <c r="D109" s="134"/>
      <c r="E109" s="3211" t="str">
        <f>IF(项目基本情况!E8="已注销及未注销","4.抵押担保权已注销时的房地产抵押价值",IF(项目基本情况!E8="已注销","3.抵押担保权已注销时的房地产抵押价值","——"))</f>
        <v>4.抵押担保权已注销时的房地产抵押价值</v>
      </c>
      <c r="F109" s="3179"/>
      <c r="G109" s="2015" t="s">
        <v>2119</v>
      </c>
      <c r="H109" s="2824" t="e">
        <f ca="1">IF(E109="——","——",H101-H105-H106)</f>
        <v>#N/A</v>
      </c>
      <c r="I109" s="134"/>
    </row>
    <row r="110" spans="1:35" ht="18.75" customHeight="1">
      <c r="A110" s="134"/>
      <c r="B110" s="134"/>
      <c r="C110" s="134"/>
      <c r="D110" s="134"/>
      <c r="E110" s="3211"/>
      <c r="F110" s="3179"/>
      <c r="G110" s="2015" t="s">
        <v>2121</v>
      </c>
      <c r="H110" s="2781" t="e">
        <f ca="1">IF(H109="——","——",ROUND(H109*10000/'数据-汇总表'!E3,0))</f>
        <v>#N/A</v>
      </c>
      <c r="I110" s="134"/>
    </row>
    <row r="111" spans="1:35" ht="18.75" customHeight="1">
      <c r="A111" s="134"/>
      <c r="B111" s="134"/>
      <c r="C111" s="134"/>
      <c r="D111" s="134"/>
      <c r="E111" s="3212" t="str">
        <f>IF(项目基本情况!E9="抵押净值",IF(OR(项目基本情况!E8="已注销",项目基本情况!E8="房地产抵押价值"),"4.抵押净值","5.抵押净值"),"——")</f>
        <v>——</v>
      </c>
      <c r="F111" s="3198"/>
      <c r="G111" s="2015" t="s">
        <v>2119</v>
      </c>
      <c r="H111" s="2821" t="str">
        <f>IF(E111="——","——",N59)</f>
        <v>——</v>
      </c>
      <c r="I111" s="134"/>
    </row>
    <row r="112" spans="1:35" ht="18.75" customHeight="1" thickBot="1">
      <c r="A112" s="134"/>
      <c r="B112" s="134"/>
      <c r="C112" s="134"/>
      <c r="D112" s="134"/>
      <c r="E112" s="3213"/>
      <c r="F112" s="3214"/>
      <c r="G112" s="2018" t="s">
        <v>2121</v>
      </c>
      <c r="H112" s="2825" t="str">
        <f>IF(E111="——","——",N61)</f>
        <v>——</v>
      </c>
      <c r="I112" s="134"/>
    </row>
    <row r="113" spans="1:27" ht="18.75" customHeight="1">
      <c r="A113" s="134"/>
      <c r="B113" s="134"/>
      <c r="C113" s="134"/>
      <c r="D113" s="134"/>
      <c r="E113" s="3221" t="s">
        <v>2127</v>
      </c>
      <c r="F113" s="3221"/>
      <c r="G113" s="3221"/>
      <c r="H113" s="3221"/>
      <c r="I113" s="134"/>
    </row>
    <row r="114" spans="1:27" ht="3.75" customHeight="1">
      <c r="A114" s="1935"/>
      <c r="B114" s="1935"/>
      <c r="C114" s="1935"/>
      <c r="D114" s="1935"/>
      <c r="E114" s="1997"/>
      <c r="F114" s="1997"/>
      <c r="G114" s="1997"/>
      <c r="H114" s="1997"/>
      <c r="I114" s="1935"/>
    </row>
    <row r="115" spans="1:27" ht="18.75" customHeight="1">
      <c r="A115" s="3232" t="s">
        <v>2129</v>
      </c>
      <c r="B115" s="3233"/>
      <c r="C115" s="3233"/>
      <c r="D115" s="3233"/>
      <c r="E115" s="3233"/>
      <c r="F115" s="3233"/>
      <c r="G115" s="3233"/>
      <c r="H115" s="3233"/>
      <c r="I115" s="3234"/>
    </row>
    <row r="116" spans="1:27" ht="27" customHeight="1">
      <c r="A116" s="3186" t="s">
        <v>2130</v>
      </c>
      <c r="B116" s="3190" t="s">
        <v>2131</v>
      </c>
      <c r="C116" s="3190" t="s">
        <v>2132</v>
      </c>
      <c r="D116" s="3196" t="s">
        <v>2133</v>
      </c>
      <c r="E116" s="3197"/>
      <c r="F116" s="3228" t="s">
        <v>2134</v>
      </c>
      <c r="G116" s="3228"/>
      <c r="H116" s="3186" t="s">
        <v>2135</v>
      </c>
      <c r="I116" s="3186"/>
    </row>
    <row r="117" spans="1:27" ht="18.75" customHeight="1">
      <c r="A117" s="3186"/>
      <c r="B117" s="3191"/>
      <c r="C117" s="3191"/>
      <c r="D117" s="3054" t="s">
        <v>2136</v>
      </c>
      <c r="E117" s="3054" t="s">
        <v>2137</v>
      </c>
      <c r="F117" s="3054" t="s">
        <v>2136</v>
      </c>
      <c r="G117" s="3054" t="s">
        <v>2138</v>
      </c>
      <c r="H117" s="3054" t="s">
        <v>2136</v>
      </c>
      <c r="I117" s="3054" t="s">
        <v>2138</v>
      </c>
    </row>
    <row r="118" spans="1:27" ht="24.75" customHeight="1">
      <c r="A118" s="2826" t="str">
        <f>项目基本情况!S2</f>
        <v>北京市海淀大街5号房地产</v>
      </c>
      <c r="B118" s="3054">
        <f>M18</f>
        <v>0</v>
      </c>
      <c r="C118" s="3054">
        <f>M19</f>
        <v>0</v>
      </c>
      <c r="D118" s="3054" t="e">
        <f ca="1">ROUND(IF(D32="总价",C34,E118*B118/10000),0)</f>
        <v>#N/A</v>
      </c>
      <c r="E118" s="3054" t="e">
        <f ca="1">ROUND(IF(C33="自定义",IF(D32="楼面单价",C34,D118*10000/B118),I118-G118),0)</f>
        <v>#N/A</v>
      </c>
      <c r="F118" s="3054" t="e">
        <f ca="1">ROUND(IF(D32="总价",C35,G118*B118/10000),0)</f>
        <v>#N/A</v>
      </c>
      <c r="G118" s="3054" t="e">
        <f ca="1">ROUND(IF(D32="楼面单价",C35,F118*10000/B118),0)</f>
        <v>#N/A</v>
      </c>
      <c r="H118" s="3054" t="e">
        <f ca="1">ROUND(IF(D32="总价",C32,I118*B118/10000),0)</f>
        <v>#N/A</v>
      </c>
      <c r="I118" s="3054" t="e">
        <f ca="1">ROUND(IF(D32="楼面单价",C32,H118*10000/B118),0)</f>
        <v>#N/A</v>
      </c>
    </row>
    <row r="119" spans="1:27" ht="18.75" customHeight="1">
      <c r="A119" s="3186" t="s">
        <v>2139</v>
      </c>
      <c r="B119" s="3186"/>
      <c r="C119" s="3186"/>
      <c r="D119" s="3192" t="e">
        <f ca="1">NUMBERSTRING(INT(D118*10000),2)&amp;"元整"</f>
        <v>#N/A</v>
      </c>
      <c r="E119" s="3193"/>
      <c r="F119" s="3192" t="e">
        <f ca="1">NUMBERSTRING(INT(F118*10000),2)&amp;"元整"</f>
        <v>#N/A</v>
      </c>
      <c r="G119" s="3193"/>
      <c r="H119" s="3192" t="e">
        <f ca="1">NUMBERSTRING(INT(H118*10000),2)&amp;"元整"</f>
        <v>#N/A</v>
      </c>
      <c r="I119" s="3193"/>
    </row>
    <row r="120" spans="1:27" ht="18.75" customHeight="1">
      <c r="A120" s="3187" t="str">
        <f>IF(项目基本情况!B9="房地产市场价值","",MID(E103,3,LEN(E103)-2))</f>
        <v>估价师知悉的法定优先受偿款</v>
      </c>
      <c r="B120" s="3188"/>
      <c r="C120" s="3189"/>
      <c r="D120" s="3187">
        <f>H103</f>
        <v>0</v>
      </c>
      <c r="E120" s="3188"/>
      <c r="F120" s="3188"/>
      <c r="G120" s="3188"/>
      <c r="H120" s="3188"/>
      <c r="I120" s="3189"/>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9" t="s">
        <v>2139</v>
      </c>
      <c r="B121" s="3230"/>
      <c r="C121" s="3231"/>
      <c r="D121" s="3192" t="str">
        <f>IF(D120=0,"零元整",NUMBERSTRING(INT(D120*10000),2)&amp;"元整")</f>
        <v>零元整</v>
      </c>
      <c r="E121" s="3194"/>
      <c r="F121" s="3194"/>
      <c r="G121" s="3194"/>
      <c r="H121" s="3194"/>
      <c r="I121" s="3193"/>
      <c r="AA121" s="734"/>
    </row>
    <row r="122" spans="1:27" ht="18.75" customHeight="1">
      <c r="A122" s="3198" t="str">
        <f>IF(项目基本情况!B9="房地产市场价值","",MID(E107,3,LEN(E107)-2))</f>
        <v>房地产抵押价值</v>
      </c>
      <c r="B122" s="3198"/>
      <c r="C122" s="3198"/>
      <c r="D122" s="3187" t="e">
        <f ca="1">H107</f>
        <v>#N/A</v>
      </c>
      <c r="E122" s="3188"/>
      <c r="F122" s="3188"/>
      <c r="G122" s="3188"/>
      <c r="H122" s="3188"/>
      <c r="I122" s="3189"/>
      <c r="AA122" s="734"/>
    </row>
    <row r="123" spans="1:27" ht="18.75" customHeight="1">
      <c r="A123" s="3186" t="s">
        <v>2139</v>
      </c>
      <c r="B123" s="3186"/>
      <c r="C123" s="3186"/>
      <c r="D123" s="3192" t="e">
        <f ca="1">NUMBERSTRING(INT(D122*10000),2)&amp;"元整"</f>
        <v>#N/A</v>
      </c>
      <c r="E123" s="3194"/>
      <c r="F123" s="3194"/>
      <c r="G123" s="3194"/>
      <c r="H123" s="3194"/>
      <c r="I123" s="3193"/>
      <c r="AA123" s="734"/>
    </row>
    <row r="124" spans="1:27" ht="18.75" customHeight="1">
      <c r="A124" s="3198" t="str">
        <f>IF(项目基本情况!B9="房地产市场价值","",MID(E109,3,LEN(E109)-2))</f>
        <v>抵押担保权已注销时的房地产抵押价值</v>
      </c>
      <c r="B124" s="3198"/>
      <c r="C124" s="3198"/>
      <c r="D124" s="3187" t="e">
        <f ca="1">H109</f>
        <v>#N/A</v>
      </c>
      <c r="E124" s="3188"/>
      <c r="F124" s="3188"/>
      <c r="G124" s="3188"/>
      <c r="H124" s="3188"/>
      <c r="I124" s="3189"/>
      <c r="AA124" s="734"/>
    </row>
    <row r="125" spans="1:27" ht="18.75" customHeight="1">
      <c r="A125" s="3186" t="s">
        <v>2139</v>
      </c>
      <c r="B125" s="3186"/>
      <c r="C125" s="3186"/>
      <c r="D125" s="3192" t="e">
        <f ca="1">NUMBERSTRING(INT(D124*10000),2)&amp;"元整"</f>
        <v>#N/A</v>
      </c>
      <c r="E125" s="3194"/>
      <c r="F125" s="3194"/>
      <c r="G125" s="3194"/>
      <c r="H125" s="3194"/>
      <c r="I125" s="3193"/>
      <c r="AA125" s="734"/>
    </row>
    <row r="126" spans="1:27" ht="18.75" customHeight="1">
      <c r="A126" s="3198" t="str">
        <f>IF(项目基本情况!B9="房地产市场价值","",MID(E111,3,LEN(E111)-2))</f>
        <v/>
      </c>
      <c r="B126" s="3198"/>
      <c r="C126" s="3198"/>
      <c r="D126" s="3187" t="str">
        <f>H111</f>
        <v>——</v>
      </c>
      <c r="E126" s="3188"/>
      <c r="F126" s="3188"/>
      <c r="G126" s="3188"/>
      <c r="H126" s="3188"/>
      <c r="I126" s="3189"/>
      <c r="AA126" s="734"/>
    </row>
    <row r="127" spans="1:27" ht="18.75" customHeight="1">
      <c r="A127" s="3186" t="s">
        <v>2139</v>
      </c>
      <c r="B127" s="3186"/>
      <c r="C127" s="3186"/>
      <c r="D127" s="3192" t="e">
        <f>NUMBERSTRING(INT(D126*10000),2)&amp;"元整"</f>
        <v>#VALUE!</v>
      </c>
      <c r="E127" s="3194"/>
      <c r="F127" s="3194"/>
      <c r="G127" s="3194"/>
      <c r="H127" s="3194"/>
      <c r="I127" s="3193"/>
      <c r="AA127" s="734"/>
    </row>
    <row r="128" spans="1:27" ht="21.75" customHeight="1">
      <c r="A128" s="3195" t="s">
        <v>2140</v>
      </c>
      <c r="B128" s="3195"/>
      <c r="C128" s="3195"/>
      <c r="D128" s="3195"/>
      <c r="E128" s="3195"/>
      <c r="F128" s="3195"/>
      <c r="G128" s="3195"/>
      <c r="H128" s="3195"/>
      <c r="I128" s="3195"/>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87" priority="10" stopIfTrue="1" operator="equal">
      <formula>25</formula>
    </cfRule>
  </conditionalFormatting>
  <conditionalFormatting sqref="C8:C9">
    <cfRule type="cellIs" dxfId="86" priority="9" stopIfTrue="1" operator="equal">
      <formula>15</formula>
    </cfRule>
  </conditionalFormatting>
  <conditionalFormatting sqref="C14:C16">
    <cfRule type="cellIs" dxfId="85" priority="8" stopIfTrue="1" operator="equal">
      <formula>30</formula>
    </cfRule>
  </conditionalFormatting>
  <conditionalFormatting sqref="D5:D7">
    <cfRule type="cellIs" dxfId="84" priority="7" stopIfTrue="1" operator="equal">
      <formula>25</formula>
    </cfRule>
  </conditionalFormatting>
  <conditionalFormatting sqref="D8:D9">
    <cfRule type="cellIs" dxfId="83" priority="6" stopIfTrue="1" operator="equal">
      <formula>15</formula>
    </cfRule>
  </conditionalFormatting>
  <conditionalFormatting sqref="C10:D13">
    <cfRule type="cellIs" dxfId="82" priority="5" stopIfTrue="1" operator="equal">
      <formula>15</formula>
    </cfRule>
  </conditionalFormatting>
  <conditionalFormatting sqref="D14:D16">
    <cfRule type="cellIs" dxfId="81" priority="4" stopIfTrue="1" operator="equal">
      <formula>30</formula>
    </cfRule>
  </conditionalFormatting>
  <conditionalFormatting sqref="C90">
    <cfRule type="expression" dxfId="80" priority="3" stopIfTrue="1">
      <formula>$H$88&lt;&gt;"仅含出让金"</formula>
    </cfRule>
  </conditionalFormatting>
  <conditionalFormatting sqref="C91">
    <cfRule type="expression" dxfId="79" priority="2" stopIfTrue="1">
      <formula>$H$91="由企业提供"</formula>
    </cfRule>
  </conditionalFormatting>
  <conditionalFormatting sqref="E36">
    <cfRule type="expression" dxfId="7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5" zoomScale="85" zoomScaleNormal="60" zoomScaleSheetLayoutView="85" workbookViewId="0">
      <selection activeCell="G2" sqref="G2"/>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t="s">
        <v>3100</v>
      </c>
      <c r="C1" s="1392" t="s">
        <v>2352</v>
      </c>
      <c r="D1" s="1393" t="s">
        <v>3100</v>
      </c>
      <c r="E1" s="1394"/>
      <c r="F1" s="2067" t="s">
        <v>3096</v>
      </c>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f ca="1">IF(C2="——",IF(B37="元/平方米",ROUND(C39*D3/10000,0),ROUND(F3*C39/10000,0)),IF(B37="元/平方米",ROUND(C39*D3/10000,0),ROUND(F3*C39/10000,0))-D2)</f>
        <v>0</v>
      </c>
      <c r="C2" s="2069" t="s">
        <v>70</v>
      </c>
      <c r="D2" s="1038" t="e">
        <f ca="1">SUMIF(INDIRECT("'"&amp;F2&amp;"'"&amp;"!A:A"),"承租人权益价值",INDIRECT("'"&amp;F2&amp;"'"&amp;"!c:c"))</f>
        <v>#REF!</v>
      </c>
      <c r="E2" s="2070" t="s">
        <v>2150</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2467</v>
      </c>
      <c r="B4" s="362"/>
      <c r="C4" s="3343" t="s">
        <v>2468</v>
      </c>
      <c r="D4" s="3344"/>
      <c r="E4" s="3345" t="s">
        <v>2469</v>
      </c>
      <c r="F4" s="3346"/>
      <c r="G4" s="3343" t="s">
        <v>2470</v>
      </c>
      <c r="H4" s="3344"/>
      <c r="I4" s="3343" t="s">
        <v>2471</v>
      </c>
      <c r="J4" s="3344"/>
      <c r="K4" s="567" t="s">
        <v>2472</v>
      </c>
      <c r="L4" s="2944"/>
      <c r="M4" s="2945"/>
      <c r="N4" s="2945"/>
      <c r="O4" s="2945"/>
      <c r="P4" s="3347" t="s">
        <v>2473</v>
      </c>
      <c r="Q4" s="3348"/>
      <c r="R4" s="3330" t="s">
        <v>2469</v>
      </c>
      <c r="S4" s="3331"/>
      <c r="T4" s="3330" t="s">
        <v>2470</v>
      </c>
      <c r="U4" s="3331"/>
      <c r="V4" s="3355" t="s">
        <v>2471</v>
      </c>
      <c r="W4" s="3355"/>
      <c r="X4" s="1541"/>
      <c r="Y4" s="3330" t="s">
        <v>2473</v>
      </c>
      <c r="Z4" s="3331"/>
      <c r="AA4" s="3325" t="s">
        <v>2469</v>
      </c>
      <c r="AB4" s="3326" t="s">
        <v>2470</v>
      </c>
      <c r="AC4" s="3325" t="s">
        <v>2471</v>
      </c>
    </row>
    <row r="5" spans="1:29" ht="15">
      <c r="A5" s="364"/>
      <c r="B5" s="365"/>
      <c r="C5" s="3336" t="s">
        <v>2364</v>
      </c>
      <c r="D5" s="3337"/>
      <c r="E5" s="3387" t="s">
        <v>3103</v>
      </c>
      <c r="F5" s="3335"/>
      <c r="G5" s="3388" t="s">
        <v>3104</v>
      </c>
      <c r="H5" s="3337"/>
      <c r="I5" s="3336" t="s">
        <v>2367</v>
      </c>
      <c r="J5" s="3337"/>
      <c r="K5" s="567"/>
      <c r="L5" s="2944"/>
      <c r="M5" s="2945"/>
      <c r="N5" s="2945"/>
      <c r="O5" s="2945"/>
      <c r="P5" s="3349"/>
      <c r="Q5" s="3350"/>
      <c r="R5" s="3332"/>
      <c r="S5" s="3333"/>
      <c r="T5" s="3332"/>
      <c r="U5" s="3333"/>
      <c r="V5" s="3355"/>
      <c r="W5" s="3355"/>
      <c r="X5" s="1541"/>
      <c r="Y5" s="3332"/>
      <c r="Z5" s="3333"/>
      <c r="AA5" s="3326"/>
      <c r="AB5" s="3326"/>
      <c r="AC5" s="3326"/>
    </row>
    <row r="6" spans="1:29" ht="15.75" thickBot="1">
      <c r="A6" s="366"/>
      <c r="B6" s="367"/>
      <c r="C6" s="3338" t="s">
        <v>2368</v>
      </c>
      <c r="D6" s="3339"/>
      <c r="E6" s="3340" t="s">
        <v>2368</v>
      </c>
      <c r="F6" s="3341"/>
      <c r="G6" s="3338" t="s">
        <v>2368</v>
      </c>
      <c r="H6" s="3339"/>
      <c r="I6" s="3338" t="s">
        <v>2368</v>
      </c>
      <c r="J6" s="3339"/>
      <c r="K6" s="567" t="s">
        <v>2369</v>
      </c>
      <c r="L6" s="2944"/>
      <c r="M6" s="2945"/>
      <c r="N6" s="2945"/>
      <c r="O6" s="2945"/>
      <c r="P6" s="3351"/>
      <c r="Q6" s="3352"/>
      <c r="R6" s="3332"/>
      <c r="S6" s="3333"/>
      <c r="T6" s="3353"/>
      <c r="U6" s="3354"/>
      <c r="V6" s="3355"/>
      <c r="W6" s="3355"/>
      <c r="X6" s="1541"/>
      <c r="Y6" s="3353"/>
      <c r="Z6" s="3354"/>
      <c r="AA6" s="3327"/>
      <c r="AB6" s="3327"/>
      <c r="AC6" s="3327"/>
    </row>
    <row r="7" spans="1:29" s="113" customFormat="1" ht="15.75" thickBot="1">
      <c r="A7" s="368" t="s">
        <v>2370</v>
      </c>
      <c r="B7" s="369"/>
      <c r="C7" s="370">
        <f>'数据-取费表'!B2</f>
        <v>44155</v>
      </c>
      <c r="D7" s="371">
        <v>100</v>
      </c>
      <c r="E7" s="372">
        <f>C7</f>
        <v>44155</v>
      </c>
      <c r="F7" s="373">
        <f>SUMIF(48:48,YEAR(E7)&amp;"-"&amp;MONTH(E7),49:49)</f>
        <v>100</v>
      </c>
      <c r="G7" s="372">
        <v>44102</v>
      </c>
      <c r="H7" s="371">
        <f>SUMIF(48:48,YEAR(G7)&amp;"-"&amp;MONTH(G7),49:49)</f>
        <v>100</v>
      </c>
      <c r="I7" s="372">
        <v>44070</v>
      </c>
      <c r="J7" s="371">
        <f>SUMIF(48:48,YEAR(I7)&amp;"-"&amp;MONTH(I7),49:49)</f>
        <v>100</v>
      </c>
      <c r="K7" s="568"/>
      <c r="L7" s="2946"/>
      <c r="M7" s="2947"/>
      <c r="N7" s="2947"/>
      <c r="O7" s="2947"/>
      <c r="P7" s="3328" t="s">
        <v>2371</v>
      </c>
      <c r="Q7" s="3356"/>
      <c r="R7" s="710" t="s">
        <v>17</v>
      </c>
      <c r="S7" s="711">
        <f t="shared" ref="S7:S14" si="0">F7</f>
        <v>100</v>
      </c>
      <c r="T7" s="710" t="s">
        <v>17</v>
      </c>
      <c r="U7" s="711">
        <f t="shared" ref="U7:U14" si="1">H7</f>
        <v>100</v>
      </c>
      <c r="V7" s="710" t="s">
        <v>17</v>
      </c>
      <c r="W7" s="711">
        <f t="shared" ref="W7:W14" si="2">J7</f>
        <v>100</v>
      </c>
      <c r="X7" s="712"/>
      <c r="Y7" s="3328" t="s">
        <v>2371</v>
      </c>
      <c r="Z7" s="3329"/>
      <c r="AA7" s="713">
        <f>D7/F7</f>
        <v>1</v>
      </c>
      <c r="AB7" s="713">
        <f>D7/H7</f>
        <v>1</v>
      </c>
      <c r="AC7" s="713">
        <f>D7/J7</f>
        <v>1</v>
      </c>
    </row>
    <row r="8" spans="1:29" s="113" customFormat="1" ht="15.75" thickBot="1">
      <c r="A8" s="368" t="s">
        <v>2372</v>
      </c>
      <c r="B8" s="369"/>
      <c r="C8" s="374" t="s">
        <v>2474</v>
      </c>
      <c r="D8" s="371">
        <v>100</v>
      </c>
      <c r="E8" s="374" t="s">
        <v>3095</v>
      </c>
      <c r="F8" s="373">
        <f>SUMIF(51:51,E8,52:52)-SUMIF(51:51,C8,52:52)+100</f>
        <v>100</v>
      </c>
      <c r="G8" s="374" t="s">
        <v>3095</v>
      </c>
      <c r="H8" s="371">
        <f>SUMIF(51:51,G8,52:52)-SUMIF(51:51,C8,52:52)+100</f>
        <v>100</v>
      </c>
      <c r="I8" s="374" t="s">
        <v>3095</v>
      </c>
      <c r="J8" s="371">
        <f>SUMIF(51:51,I8,52:52)-SUMIF(51:51,C8,52:52)+100</f>
        <v>100</v>
      </c>
      <c r="K8" s="568"/>
      <c r="L8" s="2946"/>
      <c r="M8" s="2947"/>
      <c r="N8" s="2947"/>
      <c r="O8" s="2947"/>
      <c r="P8" s="3328" t="s">
        <v>2374</v>
      </c>
      <c r="Q8" s="3329"/>
      <c r="R8" s="710" t="s">
        <v>17</v>
      </c>
      <c r="S8" s="711">
        <f t="shared" si="0"/>
        <v>100</v>
      </c>
      <c r="T8" s="710" t="s">
        <v>17</v>
      </c>
      <c r="U8" s="711">
        <f t="shared" si="1"/>
        <v>100</v>
      </c>
      <c r="V8" s="710" t="s">
        <v>17</v>
      </c>
      <c r="W8" s="711">
        <f t="shared" si="2"/>
        <v>100</v>
      </c>
      <c r="X8" s="712"/>
      <c r="Y8" s="3328" t="s">
        <v>2374</v>
      </c>
      <c r="Z8" s="3329"/>
      <c r="AA8" s="713">
        <f t="shared" ref="AA8:AA36" si="3">D8/F8</f>
        <v>1</v>
      </c>
      <c r="AB8" s="713">
        <f t="shared" ref="AB8:AB36" si="4">D8/H8</f>
        <v>1</v>
      </c>
      <c r="AC8" s="713">
        <f t="shared" ref="AC8:AC36" si="5">D8/J8</f>
        <v>1</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60" t="s">
        <v>2377</v>
      </c>
      <c r="Q9" s="1529" t="str">
        <f t="shared" ref="Q9:Q14" si="6">B9</f>
        <v>用途</v>
      </c>
      <c r="R9" s="710" t="s">
        <v>17</v>
      </c>
      <c r="S9" s="711">
        <f t="shared" si="0"/>
        <v>100</v>
      </c>
      <c r="T9" s="710" t="s">
        <v>17</v>
      </c>
      <c r="U9" s="711">
        <f t="shared" si="1"/>
        <v>100</v>
      </c>
      <c r="V9" s="710" t="s">
        <v>17</v>
      </c>
      <c r="W9" s="711">
        <f t="shared" si="2"/>
        <v>100</v>
      </c>
      <c r="X9" s="712"/>
      <c r="Y9" s="3244"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60"/>
      <c r="Q10" s="1529"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60"/>
      <c r="Q11" s="1529">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60"/>
      <c r="Q12" s="1529">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60"/>
      <c r="Q13" s="1529">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62" t="s">
        <v>2382</v>
      </c>
      <c r="Q14" s="1538" t="str">
        <f t="shared" si="6"/>
        <v>交通便捷度</v>
      </c>
      <c r="R14" s="714" t="s">
        <v>17</v>
      </c>
      <c r="S14" s="715">
        <f t="shared" si="0"/>
        <v>100</v>
      </c>
      <c r="T14" s="714" t="s">
        <v>17</v>
      </c>
      <c r="U14" s="715">
        <f t="shared" si="1"/>
        <v>100</v>
      </c>
      <c r="V14" s="714" t="s">
        <v>17</v>
      </c>
      <c r="W14" s="715">
        <f t="shared" si="2"/>
        <v>100</v>
      </c>
      <c r="X14" s="1541"/>
      <c r="Y14" s="3362"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363"/>
      <c r="Q15" s="1538"/>
      <c r="R15" s="714"/>
      <c r="S15" s="715"/>
      <c r="T15" s="714"/>
      <c r="U15" s="715"/>
      <c r="V15" s="714"/>
      <c r="W15" s="715"/>
      <c r="X15" s="1541"/>
      <c r="Y15" s="3363"/>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63"/>
      <c r="Q16" s="1538" t="str">
        <f>B16</f>
        <v>公共配套设施</v>
      </c>
      <c r="R16" s="714" t="s">
        <v>17</v>
      </c>
      <c r="S16" s="715">
        <f>F16</f>
        <v>100</v>
      </c>
      <c r="T16" s="714" t="s">
        <v>17</v>
      </c>
      <c r="U16" s="715">
        <f>H16</f>
        <v>100</v>
      </c>
      <c r="V16" s="714" t="s">
        <v>17</v>
      </c>
      <c r="W16" s="715">
        <f>J16</f>
        <v>100</v>
      </c>
      <c r="X16" s="1541"/>
      <c r="Y16" s="3363"/>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363"/>
      <c r="Q17" s="1538"/>
      <c r="R17" s="714"/>
      <c r="S17" s="715"/>
      <c r="T17" s="714"/>
      <c r="U17" s="715"/>
      <c r="V17" s="714"/>
      <c r="W17" s="715"/>
      <c r="X17" s="1541"/>
      <c r="Y17" s="3363"/>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63"/>
      <c r="Q18" s="1538" t="str">
        <f>B18</f>
        <v>基础设施水平</v>
      </c>
      <c r="R18" s="714" t="s">
        <v>17</v>
      </c>
      <c r="S18" s="715">
        <f>F18</f>
        <v>100</v>
      </c>
      <c r="T18" s="714" t="s">
        <v>17</v>
      </c>
      <c r="U18" s="715">
        <f>H18</f>
        <v>100</v>
      </c>
      <c r="V18" s="714" t="s">
        <v>17</v>
      </c>
      <c r="W18" s="715">
        <f>J18</f>
        <v>100</v>
      </c>
      <c r="X18" s="1541"/>
      <c r="Y18" s="3363"/>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363"/>
      <c r="Q19" s="1538"/>
      <c r="R19" s="714"/>
      <c r="S19" s="715"/>
      <c r="T19" s="714"/>
      <c r="U19" s="715"/>
      <c r="V19" s="714"/>
      <c r="W19" s="715"/>
      <c r="X19" s="1541"/>
      <c r="Y19" s="3363"/>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63"/>
      <c r="Q20" s="1538" t="str">
        <f>B20</f>
        <v>自然及人文环境</v>
      </c>
      <c r="R20" s="714" t="s">
        <v>17</v>
      </c>
      <c r="S20" s="715">
        <f>F20</f>
        <v>100</v>
      </c>
      <c r="T20" s="714" t="s">
        <v>17</v>
      </c>
      <c r="U20" s="715">
        <f>H20</f>
        <v>100</v>
      </c>
      <c r="V20" s="714" t="s">
        <v>17</v>
      </c>
      <c r="W20" s="715">
        <f>J20</f>
        <v>100</v>
      </c>
      <c r="X20" s="1541"/>
      <c r="Y20" s="3363"/>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363"/>
      <c r="Q21" s="1538"/>
      <c r="R21" s="714"/>
      <c r="S21" s="715"/>
      <c r="T21" s="714"/>
      <c r="U21" s="715"/>
      <c r="V21" s="714"/>
      <c r="W21" s="715"/>
      <c r="X21" s="1541"/>
      <c r="Y21" s="3363"/>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63"/>
      <c r="Q22" s="1538" t="str">
        <f>B22</f>
        <v>楼层</v>
      </c>
      <c r="R22" s="714" t="s">
        <v>17</v>
      </c>
      <c r="S22" s="715">
        <f>F22</f>
        <v>100</v>
      </c>
      <c r="T22" s="714" t="s">
        <v>17</v>
      </c>
      <c r="U22" s="715">
        <f>H22</f>
        <v>100</v>
      </c>
      <c r="V22" s="714" t="s">
        <v>17</v>
      </c>
      <c r="W22" s="715">
        <f>J22</f>
        <v>100</v>
      </c>
      <c r="X22" s="1541"/>
      <c r="Y22" s="3363"/>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63"/>
      <c r="Q23" s="1538">
        <f>B23</f>
        <v>111</v>
      </c>
      <c r="R23" s="714" t="s">
        <v>17</v>
      </c>
      <c r="S23" s="715">
        <f>F23</f>
        <v>100</v>
      </c>
      <c r="T23" s="714" t="s">
        <v>17</v>
      </c>
      <c r="U23" s="715">
        <f>H23</f>
        <v>100</v>
      </c>
      <c r="V23" s="714" t="s">
        <v>17</v>
      </c>
      <c r="W23" s="715">
        <f>J23</f>
        <v>100</v>
      </c>
      <c r="X23" s="1541"/>
      <c r="Y23" s="3363"/>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63"/>
      <c r="Q24" s="1538">
        <f t="shared" ref="Q24:Q36" si="11">B24</f>
        <v>111</v>
      </c>
      <c r="R24" s="714" t="s">
        <v>17</v>
      </c>
      <c r="S24" s="715">
        <f>F24</f>
        <v>100</v>
      </c>
      <c r="T24" s="714" t="s">
        <v>17</v>
      </c>
      <c r="U24" s="715">
        <f>H24</f>
        <v>100</v>
      </c>
      <c r="V24" s="714" t="s">
        <v>17</v>
      </c>
      <c r="W24" s="715">
        <f>J24</f>
        <v>100</v>
      </c>
      <c r="X24" s="1541"/>
      <c r="Y24" s="3363"/>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63"/>
      <c r="Q25" s="1529">
        <f t="shared" si="11"/>
        <v>111</v>
      </c>
      <c r="R25" s="710" t="s">
        <v>17</v>
      </c>
      <c r="S25" s="711">
        <f>F25</f>
        <v>100</v>
      </c>
      <c r="T25" s="710" t="s">
        <v>17</v>
      </c>
      <c r="U25" s="711">
        <f>H25</f>
        <v>100</v>
      </c>
      <c r="V25" s="710" t="s">
        <v>17</v>
      </c>
      <c r="W25" s="711">
        <f>J25</f>
        <v>100</v>
      </c>
      <c r="X25" s="712"/>
      <c r="Y25" s="3363"/>
      <c r="Z25" s="55">
        <f>Q25</f>
        <v>111</v>
      </c>
      <c r="AA25" s="1539">
        <f>D25/F25</f>
        <v>1</v>
      </c>
      <c r="AB25" s="1539">
        <f>D25/H25</f>
        <v>1</v>
      </c>
      <c r="AC25" s="1539">
        <f>D25/J25</f>
        <v>1</v>
      </c>
    </row>
    <row r="26" spans="1:29" ht="28.5">
      <c r="A26" s="608" t="s">
        <v>2385</v>
      </c>
      <c r="B26" s="66" t="s">
        <v>2534</v>
      </c>
      <c r="C26" s="2160" t="str">
        <f>B1</f>
        <v>车库</v>
      </c>
      <c r="D26" s="407">
        <v>100</v>
      </c>
      <c r="E26" s="406" t="s">
        <v>3100</v>
      </c>
      <c r="F26" s="408">
        <f>SUMIF(79:79,E26,80:80)-SUMIF(79:79,C26,80:80)+100</f>
        <v>100</v>
      </c>
      <c r="G26" s="406" t="s">
        <v>3100</v>
      </c>
      <c r="H26" s="407">
        <f>SUMIF(79:79,G26,80:80)-SUMIF(79:79,C26,80:80)+100</f>
        <v>100</v>
      </c>
      <c r="I26" s="406" t="s">
        <v>3100</v>
      </c>
      <c r="J26" s="407">
        <f>SUMIF(79:79,I26,80:80)-SUMIF(79:79,C26,80:80)+100</f>
        <v>100</v>
      </c>
      <c r="K26" s="569"/>
      <c r="L26" s="2951"/>
      <c r="M26" s="2945"/>
      <c r="N26" s="2945"/>
      <c r="O26" s="2945"/>
      <c r="P26" s="3386"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67"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67"/>
      <c r="Q27" s="716" t="str">
        <f t="shared" si="11"/>
        <v>项目停车位配比</v>
      </c>
      <c r="R27" s="717" t="s">
        <v>17</v>
      </c>
      <c r="S27" s="718">
        <f t="shared" si="12"/>
        <v>100</v>
      </c>
      <c r="T27" s="717" t="s">
        <v>17</v>
      </c>
      <c r="U27" s="718">
        <f t="shared" si="13"/>
        <v>100</v>
      </c>
      <c r="V27" s="717" t="s">
        <v>17</v>
      </c>
      <c r="W27" s="718">
        <f t="shared" si="14"/>
        <v>100</v>
      </c>
      <c r="X27" s="719"/>
      <c r="Y27" s="3367"/>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67"/>
      <c r="Q28" s="1538" t="str">
        <f t="shared" si="11"/>
        <v>公共部分装修</v>
      </c>
      <c r="R28" s="714" t="s">
        <v>17</v>
      </c>
      <c r="S28" s="715">
        <f t="shared" si="12"/>
        <v>100</v>
      </c>
      <c r="T28" s="714" t="s">
        <v>17</v>
      </c>
      <c r="U28" s="715">
        <f t="shared" si="13"/>
        <v>100</v>
      </c>
      <c r="V28" s="714" t="s">
        <v>17</v>
      </c>
      <c r="W28" s="715">
        <f t="shared" si="14"/>
        <v>100</v>
      </c>
      <c r="X28" s="1541"/>
      <c r="Y28" s="3367"/>
      <c r="Z28" s="1542" t="str">
        <f t="shared" si="15"/>
        <v>公共部分装修</v>
      </c>
      <c r="AA28" s="1539">
        <f t="shared" si="3"/>
        <v>1</v>
      </c>
      <c r="AB28" s="1539">
        <f t="shared" si="4"/>
        <v>1</v>
      </c>
      <c r="AC28" s="1539">
        <f t="shared" si="5"/>
        <v>1</v>
      </c>
    </row>
    <row r="29" spans="1:29" ht="15">
      <c r="A29" s="612"/>
      <c r="B29" s="610" t="s">
        <v>2537</v>
      </c>
      <c r="C29" s="428">
        <f ca="1">收益法!F13</f>
        <v>0.8</v>
      </c>
      <c r="D29" s="394">
        <v>100</v>
      </c>
      <c r="E29" s="433">
        <f ca="1">C29</f>
        <v>0.8</v>
      </c>
      <c r="F29" s="420">
        <f ca="1">LOOKUP(E29,86:86,87:87)-LOOKUP(C29,86:86,87:87)+100</f>
        <v>100</v>
      </c>
      <c r="G29" s="433">
        <f ca="1">E29</f>
        <v>0.8</v>
      </c>
      <c r="H29" s="420">
        <f ca="1">LOOKUP(G29,86:86,87:87)-LOOKUP(C29,86:86,87:87)+100</f>
        <v>100</v>
      </c>
      <c r="I29" s="433">
        <f ca="1">G29</f>
        <v>0.8</v>
      </c>
      <c r="J29" s="394">
        <f ca="1">LOOKUP(I29,86:86,87:87)-LOOKUP(C29,86:86,87:87)+100</f>
        <v>100</v>
      </c>
      <c r="K29" s="569">
        <v>2</v>
      </c>
      <c r="L29" s="2951"/>
      <c r="M29" s="2945"/>
      <c r="N29" s="2945"/>
      <c r="O29" s="2945"/>
      <c r="P29" s="3367"/>
      <c r="Q29" s="1538" t="str">
        <f t="shared" si="11"/>
        <v>成新率</v>
      </c>
      <c r="R29" s="714" t="s">
        <v>17</v>
      </c>
      <c r="S29" s="715">
        <f t="shared" ca="1" si="12"/>
        <v>100</v>
      </c>
      <c r="T29" s="714" t="s">
        <v>17</v>
      </c>
      <c r="U29" s="715">
        <f t="shared" ca="1" si="13"/>
        <v>100</v>
      </c>
      <c r="V29" s="714" t="s">
        <v>17</v>
      </c>
      <c r="W29" s="715">
        <f t="shared" ca="1" si="14"/>
        <v>100</v>
      </c>
      <c r="X29" s="1541"/>
      <c r="Y29" s="3367"/>
      <c r="Z29" s="1542" t="str">
        <f t="shared" si="15"/>
        <v>成新率</v>
      </c>
      <c r="AA29" s="1539">
        <f t="shared" ca="1" si="3"/>
        <v>1</v>
      </c>
      <c r="AB29" s="1539">
        <f t="shared" ca="1" si="4"/>
        <v>1</v>
      </c>
      <c r="AC29" s="1539">
        <f t="shared" ca="1" si="5"/>
        <v>1</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67"/>
      <c r="Q30" s="1538" t="str">
        <f t="shared" si="11"/>
        <v>物业等级</v>
      </c>
      <c r="R30" s="714" t="s">
        <v>17</v>
      </c>
      <c r="S30" s="715">
        <f t="shared" si="12"/>
        <v>100</v>
      </c>
      <c r="T30" s="714" t="s">
        <v>17</v>
      </c>
      <c r="U30" s="715">
        <f t="shared" si="13"/>
        <v>100</v>
      </c>
      <c r="V30" s="714" t="s">
        <v>17</v>
      </c>
      <c r="W30" s="715">
        <f t="shared" si="14"/>
        <v>100</v>
      </c>
      <c r="X30" s="1541"/>
      <c r="Y30" s="3367"/>
      <c r="Z30" s="1542" t="str">
        <f t="shared" si="15"/>
        <v>物业等级</v>
      </c>
      <c r="AA30" s="1539">
        <f t="shared" si="3"/>
        <v>1</v>
      </c>
      <c r="AB30" s="1539">
        <f t="shared" si="4"/>
        <v>1</v>
      </c>
      <c r="AC30" s="1539">
        <f t="shared" si="5"/>
        <v>1</v>
      </c>
    </row>
    <row r="31" spans="1:29" s="113" customFormat="1" ht="15">
      <c r="A31" s="614"/>
      <c r="B31" s="610" t="s">
        <v>2539</v>
      </c>
      <c r="C31" s="428">
        <v>30</v>
      </c>
      <c r="D31" s="132">
        <v>100</v>
      </c>
      <c r="E31" s="428">
        <v>37</v>
      </c>
      <c r="F31" s="420">
        <f>LOOKUP(E31,91:91,92:92)-LOOKUP(C31,91:91,92:92)+100</f>
        <v>100</v>
      </c>
      <c r="G31" s="428">
        <v>37</v>
      </c>
      <c r="H31" s="394">
        <f>LOOKUP(G31,91:91,92:92)-LOOKUP(C31,91:91,92:92)+100</f>
        <v>100</v>
      </c>
      <c r="I31" s="428">
        <v>52</v>
      </c>
      <c r="J31" s="394">
        <f>LOOKUP(I31,91:91,92:92)-LOOKUP(C31,91:91,92:92)+100</f>
        <v>102</v>
      </c>
      <c r="K31" s="569">
        <v>2</v>
      </c>
      <c r="L31" s="2946"/>
      <c r="M31" s="2947"/>
      <c r="N31" s="2947"/>
      <c r="O31" s="2947"/>
      <c r="P31" s="3367"/>
      <c r="Q31" s="1529" t="str">
        <f t="shared" si="11"/>
        <v>停车位面积</v>
      </c>
      <c r="R31" s="710" t="s">
        <v>17</v>
      </c>
      <c r="S31" s="711">
        <f t="shared" si="12"/>
        <v>100</v>
      </c>
      <c r="T31" s="710" t="s">
        <v>17</v>
      </c>
      <c r="U31" s="711">
        <f t="shared" si="13"/>
        <v>100</v>
      </c>
      <c r="V31" s="710" t="s">
        <v>17</v>
      </c>
      <c r="W31" s="711">
        <f t="shared" si="14"/>
        <v>102</v>
      </c>
      <c r="X31" s="712"/>
      <c r="Y31" s="3367"/>
      <c r="Z31" s="55" t="str">
        <f t="shared" si="15"/>
        <v>停车位面积</v>
      </c>
      <c r="AA31" s="713">
        <f t="shared" si="3"/>
        <v>1</v>
      </c>
      <c r="AB31" s="713">
        <f t="shared" si="4"/>
        <v>1</v>
      </c>
      <c r="AC31" s="713">
        <f t="shared" si="5"/>
        <v>0.98039215686274506</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67" t="s">
        <v>2387</v>
      </c>
      <c r="Q32" s="1538" t="str">
        <f t="shared" si="11"/>
        <v>车位类型</v>
      </c>
      <c r="R32" s="714" t="s">
        <v>17</v>
      </c>
      <c r="S32" s="715">
        <f t="shared" si="12"/>
        <v>100</v>
      </c>
      <c r="T32" s="714" t="s">
        <v>17</v>
      </c>
      <c r="U32" s="715">
        <f t="shared" si="13"/>
        <v>100</v>
      </c>
      <c r="V32" s="714" t="s">
        <v>17</v>
      </c>
      <c r="W32" s="715">
        <f t="shared" si="14"/>
        <v>100</v>
      </c>
      <c r="X32" s="1541"/>
      <c r="Y32" s="3367"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67"/>
      <c r="Q33" s="1538" t="str">
        <f t="shared" si="11"/>
        <v>是否直接入户</v>
      </c>
      <c r="R33" s="714" t="s">
        <v>17</v>
      </c>
      <c r="S33" s="715">
        <f t="shared" si="12"/>
        <v>100</v>
      </c>
      <c r="T33" s="714" t="s">
        <v>17</v>
      </c>
      <c r="U33" s="715">
        <f t="shared" si="13"/>
        <v>100</v>
      </c>
      <c r="V33" s="714" t="s">
        <v>17</v>
      </c>
      <c r="W33" s="715">
        <f t="shared" si="14"/>
        <v>100</v>
      </c>
      <c r="X33" s="1541"/>
      <c r="Y33" s="3367"/>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67"/>
      <c r="Q34" s="1538">
        <f t="shared" si="11"/>
        <v>111</v>
      </c>
      <c r="R34" s="714" t="s">
        <v>17</v>
      </c>
      <c r="S34" s="715">
        <f t="shared" si="12"/>
        <v>100</v>
      </c>
      <c r="T34" s="714" t="s">
        <v>17</v>
      </c>
      <c r="U34" s="715">
        <f t="shared" si="13"/>
        <v>100</v>
      </c>
      <c r="V34" s="714" t="s">
        <v>17</v>
      </c>
      <c r="W34" s="715">
        <f t="shared" si="14"/>
        <v>100</v>
      </c>
      <c r="X34" s="1541"/>
      <c r="Y34" s="3367"/>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67"/>
      <c r="Q35" s="716">
        <f t="shared" si="11"/>
        <v>111</v>
      </c>
      <c r="R35" s="717" t="s">
        <v>17</v>
      </c>
      <c r="S35" s="718">
        <f t="shared" si="12"/>
        <v>100</v>
      </c>
      <c r="T35" s="717" t="s">
        <v>17</v>
      </c>
      <c r="U35" s="718">
        <f t="shared" si="13"/>
        <v>100</v>
      </c>
      <c r="V35" s="717" t="s">
        <v>17</v>
      </c>
      <c r="W35" s="718">
        <f t="shared" si="14"/>
        <v>100</v>
      </c>
      <c r="X35" s="719"/>
      <c r="Y35" s="3367"/>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67"/>
      <c r="Q36" s="1538">
        <f t="shared" si="11"/>
        <v>111</v>
      </c>
      <c r="R36" s="714" t="s">
        <v>17</v>
      </c>
      <c r="S36" s="715">
        <f t="shared" si="12"/>
        <v>100</v>
      </c>
      <c r="T36" s="714" t="s">
        <v>17</v>
      </c>
      <c r="U36" s="715">
        <f t="shared" si="13"/>
        <v>100</v>
      </c>
      <c r="V36" s="714" t="s">
        <v>17</v>
      </c>
      <c r="W36" s="715">
        <f t="shared" si="14"/>
        <v>100</v>
      </c>
      <c r="X36" s="1541"/>
      <c r="Y36" s="3367"/>
      <c r="Z36" s="1542">
        <f t="shared" si="15"/>
        <v>111</v>
      </c>
      <c r="AA36" s="1539">
        <f t="shared" si="3"/>
        <v>1</v>
      </c>
      <c r="AB36" s="1539">
        <f t="shared" si="4"/>
        <v>1</v>
      </c>
      <c r="AC36" s="1539">
        <f t="shared" si="5"/>
        <v>1</v>
      </c>
    </row>
    <row r="37" spans="1:29" ht="15">
      <c r="A37" s="438" t="s">
        <v>2542</v>
      </c>
      <c r="B37" s="2161" t="s">
        <v>3102</v>
      </c>
      <c r="C37" s="1316" t="s">
        <v>1</v>
      </c>
      <c r="D37" s="1317"/>
      <c r="E37" s="1318">
        <v>194900</v>
      </c>
      <c r="F37" s="1319"/>
      <c r="G37" s="1320">
        <v>210000</v>
      </c>
      <c r="H37" s="1321"/>
      <c r="I37" s="1318">
        <v>200000</v>
      </c>
      <c r="J37" s="1321"/>
      <c r="K37" s="576"/>
      <c r="L37" s="2953"/>
      <c r="M37" s="2954"/>
      <c r="N37" s="2945"/>
      <c r="O37" s="2954"/>
      <c r="P37" s="3360" t="str">
        <f>A37</f>
        <v>成交单价</v>
      </c>
      <c r="Q37" s="3360"/>
      <c r="R37" s="3361">
        <f>E37</f>
        <v>194900</v>
      </c>
      <c r="S37" s="3361"/>
      <c r="T37" s="3361">
        <f>G37</f>
        <v>210000</v>
      </c>
      <c r="U37" s="3361"/>
      <c r="V37" s="3361">
        <f>I37</f>
        <v>200000</v>
      </c>
      <c r="W37" s="3361"/>
      <c r="X37" s="699"/>
      <c r="Y37" s="721"/>
      <c r="Z37" s="699"/>
      <c r="AA37" s="699"/>
      <c r="AB37" s="699"/>
      <c r="AC37" s="699"/>
    </row>
    <row r="38" spans="1:29" ht="15.75" thickBot="1">
      <c r="A38" s="445" t="s">
        <v>2543</v>
      </c>
      <c r="B38" s="446" t="str">
        <f>B37</f>
        <v>元/车位</v>
      </c>
      <c r="C38" s="1322">
        <f ca="1">R39</f>
        <v>200326</v>
      </c>
      <c r="D38" s="2539" t="s">
        <v>2879</v>
      </c>
      <c r="E38" s="1323">
        <f ca="1">R38</f>
        <v>194900</v>
      </c>
      <c r="F38" s="2540"/>
      <c r="G38" s="1322">
        <f ca="1">T38</f>
        <v>210000</v>
      </c>
      <c r="H38" s="2540"/>
      <c r="I38" s="1323">
        <f ca="1">V38</f>
        <v>196078</v>
      </c>
      <c r="J38" s="2540"/>
      <c r="K38" s="2542">
        <f>F38+H38+J38</f>
        <v>0</v>
      </c>
      <c r="L38" s="2953"/>
      <c r="M38" s="2954"/>
      <c r="N38" s="2954"/>
      <c r="O38" s="2954"/>
      <c r="P38" s="3360" t="str">
        <f>A38</f>
        <v>比较价值（元/平方米）</v>
      </c>
      <c r="Q38" s="3360"/>
      <c r="R38" s="3361">
        <f ca="1">IF(F1="售价",ROUND(PRODUCT(R37,AA7:AA36),0),ROUND(PRODUCT(R37,AA7:AA36),1))</f>
        <v>194900</v>
      </c>
      <c r="S38" s="3361"/>
      <c r="T38" s="3361">
        <f ca="1">IF(F1="售价",ROUND(PRODUCT(T37,AB7:AB36),0),ROUND(PRODUCT(T37,AB7:AB36),1))</f>
        <v>210000</v>
      </c>
      <c r="U38" s="3361"/>
      <c r="V38" s="3361">
        <f ca="1">IF(F1="售价",ROUND(PRODUCT(V37,AC7:AC36),0),ROUND(PRODUCT(V37,AC7:AC36),1))</f>
        <v>196078</v>
      </c>
      <c r="W38" s="3361"/>
      <c r="X38" s="699"/>
      <c r="Y38" s="699"/>
      <c r="Z38" s="699"/>
      <c r="AA38" s="699"/>
      <c r="AB38" s="699"/>
      <c r="AC38" s="699"/>
    </row>
    <row r="39" spans="1:29" ht="15.75" thickBot="1">
      <c r="A39" s="449" t="s">
        <v>2544</v>
      </c>
      <c r="B39" s="450"/>
      <c r="C39" s="1325">
        <f ca="1">R39</f>
        <v>200326</v>
      </c>
      <c r="D39" s="1325"/>
      <c r="E39" s="1325"/>
      <c r="F39" s="1325"/>
      <c r="G39" s="1325"/>
      <c r="H39" s="1325"/>
      <c r="I39" s="1325"/>
      <c r="J39" s="1325"/>
      <c r="K39" s="577"/>
      <c r="L39" s="2953"/>
      <c r="M39" s="2954"/>
      <c r="N39" s="2954"/>
      <c r="O39" s="2954"/>
      <c r="P39" s="3357" t="str">
        <f>A39</f>
        <v>估价对象XX用房的比较价值（楼面单价，元/平方米）</v>
      </c>
      <c r="Q39" s="3358"/>
      <c r="R39" s="3389">
        <f ca="1">IF(F1="售价",ROUND(IF(D38="简单平均",AVERAGE(R38:W38),R38*F38+T38*H38+V38*J38),0),ROUND(IF(D38="简单平均",AVERAGE(R38:V38),R38*F38+T38*H38+V38*J38),1))</f>
        <v>200326</v>
      </c>
      <c r="S39" s="3389"/>
      <c r="T39" s="3389"/>
      <c r="U39" s="3389"/>
      <c r="V39" s="3389"/>
      <c r="W39" s="3389"/>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f ca="1">IF(E37&lt;E38,E38/E37-1,E37/E38-1)</f>
        <v>0</v>
      </c>
      <c r="F42" s="457" t="str">
        <f ca="1">IF(OR(E42&gt;=0.3,E42&lt;=-0.3),"超过30%","")</f>
        <v/>
      </c>
      <c r="G42" s="456">
        <f ca="1">IF(G37&lt;G38,G38/G37-1,G37/G38-1)</f>
        <v>0</v>
      </c>
      <c r="H42" s="457" t="str">
        <f ca="1">IF(OR(G42&gt;=0.3,G42&lt;=-0.3),"超过30%","")</f>
        <v/>
      </c>
      <c r="I42" s="456">
        <f ca="1">IF(I37&lt;I38,I38/I37-1,I37/I38-1)</f>
        <v>2.0002244004936776E-2</v>
      </c>
      <c r="J42" s="457" t="str">
        <f ca="1">IF(OR(I42&gt;=0.3,I42&lt;=-0.3),"超过30%","")</f>
        <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f ca="1">IF(E38&lt;G38,G38/E38-1,E38/G38-1)</f>
        <v>7.7475628527450047E-2</v>
      </c>
      <c r="F43" s="457" t="str">
        <f ca="1">IF(OR(E43&gt;=0.2,E43&lt;=-0.2),"超过20%","")</f>
        <v/>
      </c>
      <c r="G43" s="456">
        <f ca="1">IF(G38&lt;I38,I38/G38-1,G38/I38-1)</f>
        <v>7.1002356205183581E-2</v>
      </c>
      <c r="H43" s="457" t="str">
        <f ca="1">IF(OR(G43&gt;=0.2,G43&lt;=-0.2),"超过20%","")</f>
        <v/>
      </c>
      <c r="I43" s="456">
        <f ca="1">IF(I38&lt;E38,E38/I38-1,I38/E38-1)</f>
        <v>6.0441251924063799E-3</v>
      </c>
      <c r="J43" s="457" t="str">
        <f ca="1">IF(OR(I43&gt;=0.2,I43&lt;=-0.2),"超过20%","")</f>
        <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f>IF(E37&lt;G37,G37/E37-1,E37/G37-1)</f>
        <v>7.7475628527450047E-2</v>
      </c>
      <c r="F44" s="457" t="str">
        <f>IF(OR(E44&gt;=0.3,E44&lt;=-0.3),"超过30%","")</f>
        <v/>
      </c>
      <c r="G44" s="456">
        <f>IF(G37&lt;I37,I37/G37-1,G37/I37-1)</f>
        <v>5.0000000000000044E-2</v>
      </c>
      <c r="H44" s="457" t="str">
        <f>IF(OR(G44&gt;=0.3,G44&lt;=-0.3),"超过30%","")</f>
        <v/>
      </c>
      <c r="I44" s="456">
        <f>IF(I37&lt;E37,E37/I37-1,I37/E37-1)</f>
        <v>2.616726526423796E-2</v>
      </c>
      <c r="J44" s="457" t="str">
        <f>IF(OR(I44&gt;=0.3,I44&lt;=-0.3),"超过30%","")</f>
        <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1339">
        <v>100</v>
      </c>
      <c r="E49" s="1339">
        <v>100</v>
      </c>
      <c r="F49" s="1339">
        <v>100</v>
      </c>
      <c r="G49" s="1339">
        <v>100</v>
      </c>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2407</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2372</v>
      </c>
      <c r="B51" s="467"/>
      <c r="C51" s="479" t="s">
        <v>2474</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2410</v>
      </c>
      <c r="B53" s="485" t="s">
        <v>2376</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2425</v>
      </c>
      <c r="C65" s="535" t="s">
        <v>2419</v>
      </c>
      <c r="D65" s="535" t="s">
        <v>2420</v>
      </c>
      <c r="E65" s="535" t="s">
        <v>2421</v>
      </c>
      <c r="F65" s="535" t="s">
        <v>2422</v>
      </c>
      <c r="G65" s="535" t="s">
        <v>2423</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2511</v>
      </c>
      <c r="C67" s="616" t="s">
        <v>2497</v>
      </c>
      <c r="D67" s="616" t="s">
        <v>2498</v>
      </c>
      <c r="E67" s="616" t="s">
        <v>2499</v>
      </c>
      <c r="F67" s="616" t="s">
        <v>2500</v>
      </c>
      <c r="G67" s="616" t="s">
        <v>2501</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2431</v>
      </c>
      <c r="C69" s="535" t="s">
        <v>2419</v>
      </c>
      <c r="D69" s="535" t="s">
        <v>2420</v>
      </c>
      <c r="E69" s="535" t="s">
        <v>2421</v>
      </c>
      <c r="F69" s="535" t="s">
        <v>2422</v>
      </c>
      <c r="G69" s="535" t="s">
        <v>2423</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2385</v>
      </c>
      <c r="B79" s="485" t="s">
        <v>2551</v>
      </c>
      <c r="C79" s="486" t="str">
        <f>C26</f>
        <v>车库</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2438</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102</v>
      </c>
      <c r="E87" s="501">
        <f t="shared" ref="E87:M87" si="19">D87+$K$29</f>
        <v>104</v>
      </c>
      <c r="F87" s="501">
        <f t="shared" si="19"/>
        <v>106</v>
      </c>
      <c r="G87" s="501">
        <f t="shared" si="19"/>
        <v>108</v>
      </c>
      <c r="H87" s="501">
        <f t="shared" si="19"/>
        <v>110</v>
      </c>
      <c r="I87" s="501">
        <f t="shared" si="19"/>
        <v>112</v>
      </c>
      <c r="J87" s="501">
        <f t="shared" si="19"/>
        <v>114</v>
      </c>
      <c r="K87" s="501">
        <f t="shared" si="19"/>
        <v>116</v>
      </c>
      <c r="L87" s="501">
        <f t="shared" si="19"/>
        <v>118</v>
      </c>
      <c r="M87" s="501">
        <f t="shared" si="19"/>
        <v>120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0(含)-40</v>
      </c>
      <c r="D90" s="535" t="str">
        <f t="shared" ref="D90:L90" si="21">D91&amp;"(含)"&amp;"-"&amp;E91</f>
        <v>40(含)-80</v>
      </c>
      <c r="E90" s="535" t="str">
        <f t="shared" si="21"/>
        <v>80(含)-120</v>
      </c>
      <c r="F90" s="535" t="str">
        <f t="shared" si="21"/>
        <v>120(含)-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v>0</v>
      </c>
      <c r="D91" s="552">
        <v>40</v>
      </c>
      <c r="E91" s="552">
        <v>80</v>
      </c>
      <c r="F91" s="552">
        <v>120</v>
      </c>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v>100</v>
      </c>
      <c r="D92" s="493">
        <v>102</v>
      </c>
      <c r="E92" s="493">
        <v>104</v>
      </c>
      <c r="F92" s="493">
        <v>106</v>
      </c>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43" t="s">
        <v>2468</v>
      </c>
      <c r="D4" s="3344"/>
      <c r="E4" s="3345" t="s">
        <v>2469</v>
      </c>
      <c r="F4" s="3346"/>
      <c r="G4" s="3343" t="s">
        <v>2470</v>
      </c>
      <c r="H4" s="3344"/>
      <c r="I4" s="3343" t="s">
        <v>2471</v>
      </c>
      <c r="J4" s="3344"/>
      <c r="K4" s="567" t="s">
        <v>2472</v>
      </c>
      <c r="L4" s="2944"/>
      <c r="M4" s="2945"/>
      <c r="N4" s="2945"/>
      <c r="O4" s="2945"/>
      <c r="P4" s="3347" t="s">
        <v>2473</v>
      </c>
      <c r="Q4" s="3348"/>
      <c r="R4" s="3330" t="s">
        <v>2469</v>
      </c>
      <c r="S4" s="3331"/>
      <c r="T4" s="3330" t="s">
        <v>2470</v>
      </c>
      <c r="U4" s="3331"/>
      <c r="V4" s="3355" t="s">
        <v>2471</v>
      </c>
      <c r="W4" s="3355"/>
      <c r="X4" s="1541"/>
      <c r="Y4" s="3330" t="s">
        <v>2473</v>
      </c>
      <c r="Z4" s="3331"/>
      <c r="AA4" s="3325" t="s">
        <v>2469</v>
      </c>
      <c r="AB4" s="3326" t="s">
        <v>2470</v>
      </c>
      <c r="AC4" s="3325" t="s">
        <v>2471</v>
      </c>
    </row>
    <row r="5" spans="1:29" ht="15">
      <c r="A5" s="364"/>
      <c r="B5" s="365"/>
      <c r="C5" s="3336" t="s">
        <v>2364</v>
      </c>
      <c r="D5" s="3337"/>
      <c r="E5" s="3334" t="s">
        <v>2365</v>
      </c>
      <c r="F5" s="3335"/>
      <c r="G5" s="3336" t="s">
        <v>2366</v>
      </c>
      <c r="H5" s="3337"/>
      <c r="I5" s="3336" t="s">
        <v>2367</v>
      </c>
      <c r="J5" s="3337"/>
      <c r="K5" s="567"/>
      <c r="L5" s="2944"/>
      <c r="M5" s="2945"/>
      <c r="N5" s="2945"/>
      <c r="O5" s="2945"/>
      <c r="P5" s="3349"/>
      <c r="Q5" s="3350"/>
      <c r="R5" s="3332"/>
      <c r="S5" s="3333"/>
      <c r="T5" s="3332"/>
      <c r="U5" s="3333"/>
      <c r="V5" s="3355"/>
      <c r="W5" s="3355"/>
      <c r="X5" s="1541"/>
      <c r="Y5" s="3332"/>
      <c r="Z5" s="3333"/>
      <c r="AA5" s="3326"/>
      <c r="AB5" s="3326"/>
      <c r="AC5" s="3326"/>
    </row>
    <row r="6" spans="1:29" ht="15.75" thickBot="1">
      <c r="A6" s="366"/>
      <c r="B6" s="367"/>
      <c r="C6" s="3338" t="s">
        <v>2368</v>
      </c>
      <c r="D6" s="3339"/>
      <c r="E6" s="3340" t="s">
        <v>2368</v>
      </c>
      <c r="F6" s="3341"/>
      <c r="G6" s="3338" t="s">
        <v>2368</v>
      </c>
      <c r="H6" s="3339"/>
      <c r="I6" s="3338" t="s">
        <v>2368</v>
      </c>
      <c r="J6" s="3339"/>
      <c r="K6" s="567" t="s">
        <v>2369</v>
      </c>
      <c r="L6" s="2944"/>
      <c r="M6" s="2945"/>
      <c r="N6" s="2945"/>
      <c r="O6" s="2945"/>
      <c r="P6" s="3351"/>
      <c r="Q6" s="3352"/>
      <c r="R6" s="3332"/>
      <c r="S6" s="3333"/>
      <c r="T6" s="3353"/>
      <c r="U6" s="3354"/>
      <c r="V6" s="3355"/>
      <c r="W6" s="3355"/>
      <c r="X6" s="1541"/>
      <c r="Y6" s="3353"/>
      <c r="Z6" s="3354"/>
      <c r="AA6" s="3327"/>
      <c r="AB6" s="3327"/>
      <c r="AC6" s="3327"/>
    </row>
    <row r="7" spans="1:29" s="113" customFormat="1" ht="15.75" thickBot="1">
      <c r="A7" s="368" t="s">
        <v>2370</v>
      </c>
      <c r="B7" s="369"/>
      <c r="C7" s="370">
        <f>'数据-取费表'!B2</f>
        <v>44155</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328" t="s">
        <v>2371</v>
      </c>
      <c r="Q7" s="3356"/>
      <c r="R7" s="710" t="s">
        <v>17</v>
      </c>
      <c r="S7" s="711">
        <f t="shared" ref="S7:S14" si="0">F7</f>
        <v>0</v>
      </c>
      <c r="T7" s="710" t="s">
        <v>17</v>
      </c>
      <c r="U7" s="711">
        <f t="shared" ref="U7:U14" si="1">H7</f>
        <v>0</v>
      </c>
      <c r="V7" s="710" t="s">
        <v>17</v>
      </c>
      <c r="W7" s="711">
        <f t="shared" ref="W7:W14" si="2">J7</f>
        <v>0</v>
      </c>
      <c r="X7" s="712"/>
      <c r="Y7" s="3328" t="s">
        <v>2371</v>
      </c>
      <c r="Z7" s="3329"/>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28" t="s">
        <v>2374</v>
      </c>
      <c r="Q8" s="3329"/>
      <c r="R8" s="710" t="s">
        <v>17</v>
      </c>
      <c r="S8" s="711">
        <f t="shared" si="0"/>
        <v>0</v>
      </c>
      <c r="T8" s="710" t="s">
        <v>17</v>
      </c>
      <c r="U8" s="711">
        <f t="shared" si="1"/>
        <v>0</v>
      </c>
      <c r="V8" s="710" t="s">
        <v>17</v>
      </c>
      <c r="W8" s="711">
        <f t="shared" si="2"/>
        <v>0</v>
      </c>
      <c r="X8" s="712"/>
      <c r="Y8" s="3328" t="s">
        <v>2374</v>
      </c>
      <c r="Z8" s="3329"/>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60" t="s">
        <v>2377</v>
      </c>
      <c r="Q9" s="1529" t="str">
        <f t="shared" ref="Q9:Q14" si="6">B9</f>
        <v>用途</v>
      </c>
      <c r="R9" s="710" t="s">
        <v>17</v>
      </c>
      <c r="S9" s="711">
        <f t="shared" si="0"/>
        <v>100</v>
      </c>
      <c r="T9" s="710" t="s">
        <v>17</v>
      </c>
      <c r="U9" s="711">
        <f t="shared" si="1"/>
        <v>100</v>
      </c>
      <c r="V9" s="710" t="s">
        <v>17</v>
      </c>
      <c r="W9" s="711">
        <f t="shared" si="2"/>
        <v>100</v>
      </c>
      <c r="X9" s="712"/>
      <c r="Y9" s="3244"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60"/>
      <c r="Q10" s="1529"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60"/>
      <c r="Q11" s="1529">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60"/>
      <c r="Q12" s="1529">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360"/>
      <c r="Q13" s="1529">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62" t="s">
        <v>2382</v>
      </c>
      <c r="Q14" s="1538" t="str">
        <f t="shared" si="6"/>
        <v>交通便捷度</v>
      </c>
      <c r="R14" s="714" t="s">
        <v>17</v>
      </c>
      <c r="S14" s="715">
        <f t="shared" si="0"/>
        <v>100</v>
      </c>
      <c r="T14" s="714" t="s">
        <v>17</v>
      </c>
      <c r="U14" s="715">
        <f t="shared" si="1"/>
        <v>100</v>
      </c>
      <c r="V14" s="714" t="s">
        <v>17</v>
      </c>
      <c r="W14" s="715">
        <f t="shared" si="2"/>
        <v>100</v>
      </c>
      <c r="X14" s="1541"/>
      <c r="Y14" s="3362"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363"/>
      <c r="Q15" s="1538"/>
      <c r="R15" s="714"/>
      <c r="S15" s="715"/>
      <c r="T15" s="714"/>
      <c r="U15" s="715"/>
      <c r="V15" s="714"/>
      <c r="W15" s="715"/>
      <c r="X15" s="1541"/>
      <c r="Y15" s="3363"/>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63"/>
      <c r="Q16" s="1538" t="str">
        <f>B16</f>
        <v>公共配套设施</v>
      </c>
      <c r="R16" s="714" t="s">
        <v>17</v>
      </c>
      <c r="S16" s="715">
        <f>F16</f>
        <v>100</v>
      </c>
      <c r="T16" s="714" t="s">
        <v>17</v>
      </c>
      <c r="U16" s="715">
        <f>H16</f>
        <v>100</v>
      </c>
      <c r="V16" s="714" t="s">
        <v>17</v>
      </c>
      <c r="W16" s="715">
        <f>J16</f>
        <v>100</v>
      </c>
      <c r="X16" s="1541"/>
      <c r="Y16" s="3363"/>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363"/>
      <c r="Q17" s="1538"/>
      <c r="R17" s="714"/>
      <c r="S17" s="715"/>
      <c r="T17" s="714"/>
      <c r="U17" s="715"/>
      <c r="V17" s="714"/>
      <c r="W17" s="715"/>
      <c r="X17" s="1541"/>
      <c r="Y17" s="3363"/>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63"/>
      <c r="Q18" s="1538" t="str">
        <f>B18</f>
        <v>基础设施水平</v>
      </c>
      <c r="R18" s="714" t="s">
        <v>17</v>
      </c>
      <c r="S18" s="715">
        <f>F18</f>
        <v>100</v>
      </c>
      <c r="T18" s="714" t="s">
        <v>17</v>
      </c>
      <c r="U18" s="715">
        <f>H18</f>
        <v>100</v>
      </c>
      <c r="V18" s="714" t="s">
        <v>17</v>
      </c>
      <c r="W18" s="715">
        <f>J18</f>
        <v>100</v>
      </c>
      <c r="X18" s="1541"/>
      <c r="Y18" s="3363"/>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363"/>
      <c r="Q19" s="1538"/>
      <c r="R19" s="714"/>
      <c r="S19" s="715"/>
      <c r="T19" s="714"/>
      <c r="U19" s="715"/>
      <c r="V19" s="714"/>
      <c r="W19" s="715"/>
      <c r="X19" s="1541"/>
      <c r="Y19" s="3363"/>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63"/>
      <c r="Q20" s="1538" t="str">
        <f>B20</f>
        <v>自然及人文环境</v>
      </c>
      <c r="R20" s="714" t="s">
        <v>17</v>
      </c>
      <c r="S20" s="715">
        <f>F20</f>
        <v>100</v>
      </c>
      <c r="T20" s="714" t="s">
        <v>17</v>
      </c>
      <c r="U20" s="715">
        <f>H20</f>
        <v>100</v>
      </c>
      <c r="V20" s="714" t="s">
        <v>17</v>
      </c>
      <c r="W20" s="715">
        <f>J20</f>
        <v>100</v>
      </c>
      <c r="X20" s="1541"/>
      <c r="Y20" s="3363"/>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363"/>
      <c r="Q21" s="1538"/>
      <c r="R21" s="714"/>
      <c r="S21" s="715"/>
      <c r="T21" s="714"/>
      <c r="U21" s="715"/>
      <c r="V21" s="714"/>
      <c r="W21" s="715"/>
      <c r="X21" s="1541"/>
      <c r="Y21" s="3363"/>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63"/>
      <c r="Q22" s="1538" t="str">
        <f>B22</f>
        <v>楼层</v>
      </c>
      <c r="R22" s="714" t="s">
        <v>17</v>
      </c>
      <c r="S22" s="715">
        <f>F22</f>
        <v>100</v>
      </c>
      <c r="T22" s="714" t="s">
        <v>17</v>
      </c>
      <c r="U22" s="715">
        <f>H22</f>
        <v>100</v>
      </c>
      <c r="V22" s="714" t="s">
        <v>17</v>
      </c>
      <c r="W22" s="715">
        <f>J22</f>
        <v>100</v>
      </c>
      <c r="X22" s="1541"/>
      <c r="Y22" s="3363"/>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63"/>
      <c r="Q23" s="1538">
        <f>B23</f>
        <v>111</v>
      </c>
      <c r="R23" s="714" t="s">
        <v>17</v>
      </c>
      <c r="S23" s="715">
        <f>F23</f>
        <v>100</v>
      </c>
      <c r="T23" s="714" t="s">
        <v>17</v>
      </c>
      <c r="U23" s="715">
        <f>H23</f>
        <v>100</v>
      </c>
      <c r="V23" s="714" t="s">
        <v>17</v>
      </c>
      <c r="W23" s="715">
        <f>J23</f>
        <v>100</v>
      </c>
      <c r="X23" s="1541"/>
      <c r="Y23" s="3363"/>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63"/>
      <c r="Q24" s="1538">
        <f t="shared" ref="Q24:Q34" si="11">B24</f>
        <v>111</v>
      </c>
      <c r="R24" s="714" t="s">
        <v>17</v>
      </c>
      <c r="S24" s="715">
        <f>F24</f>
        <v>100</v>
      </c>
      <c r="T24" s="714" t="s">
        <v>17</v>
      </c>
      <c r="U24" s="715">
        <f>H24</f>
        <v>100</v>
      </c>
      <c r="V24" s="714" t="s">
        <v>17</v>
      </c>
      <c r="W24" s="715">
        <f>J24</f>
        <v>100</v>
      </c>
      <c r="X24" s="1541"/>
      <c r="Y24" s="3363"/>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363"/>
      <c r="Q25" s="1529">
        <f t="shared" si="11"/>
        <v>111</v>
      </c>
      <c r="R25" s="710" t="s">
        <v>17</v>
      </c>
      <c r="S25" s="711">
        <f>F25</f>
        <v>100</v>
      </c>
      <c r="T25" s="710" t="s">
        <v>17</v>
      </c>
      <c r="U25" s="711">
        <f>H25</f>
        <v>100</v>
      </c>
      <c r="V25" s="710" t="s">
        <v>17</v>
      </c>
      <c r="W25" s="711">
        <f>J25</f>
        <v>100</v>
      </c>
      <c r="X25" s="712"/>
      <c r="Y25" s="3363"/>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386"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67"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67"/>
      <c r="Q27" s="716" t="str">
        <f t="shared" si="11"/>
        <v>成新率</v>
      </c>
      <c r="R27" s="717" t="s">
        <v>17</v>
      </c>
      <c r="S27" s="718" t="e">
        <f t="shared" si="12"/>
        <v>#N/A</v>
      </c>
      <c r="T27" s="717" t="s">
        <v>17</v>
      </c>
      <c r="U27" s="718" t="e">
        <f t="shared" si="13"/>
        <v>#N/A</v>
      </c>
      <c r="V27" s="717" t="s">
        <v>17</v>
      </c>
      <c r="W27" s="718" t="e">
        <f t="shared" si="14"/>
        <v>#N/A</v>
      </c>
      <c r="X27" s="719"/>
      <c r="Y27" s="3367"/>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67"/>
      <c r="Q28" s="1538" t="str">
        <f t="shared" si="11"/>
        <v>物业等级</v>
      </c>
      <c r="R28" s="714" t="s">
        <v>17</v>
      </c>
      <c r="S28" s="715">
        <f t="shared" si="12"/>
        <v>100</v>
      </c>
      <c r="T28" s="714" t="s">
        <v>17</v>
      </c>
      <c r="U28" s="715">
        <f t="shared" si="13"/>
        <v>100</v>
      </c>
      <c r="V28" s="714" t="s">
        <v>17</v>
      </c>
      <c r="W28" s="715">
        <f t="shared" si="14"/>
        <v>100</v>
      </c>
      <c r="X28" s="1541"/>
      <c r="Y28" s="3367"/>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67"/>
      <c r="Q29" s="1538" t="str">
        <f t="shared" si="11"/>
        <v>有无电梯</v>
      </c>
      <c r="R29" s="714" t="s">
        <v>17</v>
      </c>
      <c r="S29" s="715">
        <f t="shared" si="12"/>
        <v>100</v>
      </c>
      <c r="T29" s="714" t="s">
        <v>17</v>
      </c>
      <c r="U29" s="715">
        <f t="shared" si="13"/>
        <v>100</v>
      </c>
      <c r="V29" s="714" t="s">
        <v>17</v>
      </c>
      <c r="W29" s="715">
        <f t="shared" si="14"/>
        <v>100</v>
      </c>
      <c r="X29" s="1541"/>
      <c r="Y29" s="3367"/>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67"/>
      <c r="Q30" s="1538" t="str">
        <f t="shared" si="11"/>
        <v>建筑面积</v>
      </c>
      <c r="R30" s="714" t="s">
        <v>17</v>
      </c>
      <c r="S30" s="715" t="e">
        <f t="shared" si="12"/>
        <v>#N/A</v>
      </c>
      <c r="T30" s="714" t="s">
        <v>17</v>
      </c>
      <c r="U30" s="715" t="e">
        <f t="shared" si="13"/>
        <v>#N/A</v>
      </c>
      <c r="V30" s="714" t="s">
        <v>17</v>
      </c>
      <c r="W30" s="715" t="e">
        <f t="shared" si="14"/>
        <v>#N/A</v>
      </c>
      <c r="X30" s="1541"/>
      <c r="Y30" s="3367"/>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67"/>
      <c r="Q31" s="1529" t="str">
        <f t="shared" si="11"/>
        <v>是否封闭</v>
      </c>
      <c r="R31" s="710" t="s">
        <v>17</v>
      </c>
      <c r="S31" s="711">
        <f t="shared" si="12"/>
        <v>100</v>
      </c>
      <c r="T31" s="710" t="s">
        <v>17</v>
      </c>
      <c r="U31" s="711">
        <f t="shared" si="13"/>
        <v>100</v>
      </c>
      <c r="V31" s="710" t="s">
        <v>17</v>
      </c>
      <c r="W31" s="711">
        <f t="shared" si="14"/>
        <v>100</v>
      </c>
      <c r="X31" s="712"/>
      <c r="Y31" s="3367"/>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67" t="s">
        <v>2387</v>
      </c>
      <c r="Q32" s="1538">
        <f t="shared" si="11"/>
        <v>111</v>
      </c>
      <c r="R32" s="714" t="s">
        <v>17</v>
      </c>
      <c r="S32" s="715">
        <f t="shared" si="12"/>
        <v>100</v>
      </c>
      <c r="T32" s="714" t="s">
        <v>17</v>
      </c>
      <c r="U32" s="715">
        <f t="shared" si="13"/>
        <v>100</v>
      </c>
      <c r="V32" s="714" t="s">
        <v>17</v>
      </c>
      <c r="W32" s="715">
        <f t="shared" si="14"/>
        <v>100</v>
      </c>
      <c r="X32" s="1541"/>
      <c r="Y32" s="3367"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67"/>
      <c r="Q33" s="1538">
        <f t="shared" si="11"/>
        <v>111</v>
      </c>
      <c r="R33" s="714" t="s">
        <v>17</v>
      </c>
      <c r="S33" s="715">
        <f t="shared" si="12"/>
        <v>100</v>
      </c>
      <c r="T33" s="714" t="s">
        <v>17</v>
      </c>
      <c r="U33" s="715">
        <f t="shared" si="13"/>
        <v>100</v>
      </c>
      <c r="V33" s="714" t="s">
        <v>17</v>
      </c>
      <c r="W33" s="715">
        <f t="shared" si="14"/>
        <v>100</v>
      </c>
      <c r="X33" s="1541"/>
      <c r="Y33" s="3367"/>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367"/>
      <c r="Q34" s="1538">
        <f t="shared" si="11"/>
        <v>111</v>
      </c>
      <c r="R34" s="714" t="s">
        <v>17</v>
      </c>
      <c r="S34" s="715">
        <f t="shared" si="12"/>
        <v>100</v>
      </c>
      <c r="T34" s="714" t="s">
        <v>17</v>
      </c>
      <c r="U34" s="715">
        <f t="shared" si="13"/>
        <v>100</v>
      </c>
      <c r="V34" s="714" t="s">
        <v>17</v>
      </c>
      <c r="W34" s="715">
        <f t="shared" si="14"/>
        <v>100</v>
      </c>
      <c r="X34" s="1541"/>
      <c r="Y34" s="3367"/>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3"/>
      <c r="M35" s="2954"/>
      <c r="N35" s="2945"/>
      <c r="O35" s="2954"/>
      <c r="P35" s="3360" t="str">
        <f>A35</f>
        <v>成交单价（元/平方米）</v>
      </c>
      <c r="Q35" s="3360"/>
      <c r="R35" s="3361">
        <f>E35</f>
        <v>0</v>
      </c>
      <c r="S35" s="3361"/>
      <c r="T35" s="3361">
        <f>G35</f>
        <v>0</v>
      </c>
      <c r="U35" s="3361"/>
      <c r="V35" s="3361">
        <f>I35</f>
        <v>0</v>
      </c>
      <c r="W35" s="3361"/>
      <c r="X35" s="699"/>
      <c r="Y35" s="721"/>
      <c r="Z35" s="699"/>
      <c r="AA35" s="699"/>
      <c r="AB35" s="699"/>
      <c r="AC35" s="699"/>
    </row>
    <row r="36" spans="1:30" ht="15.75" thickBot="1">
      <c r="A36" s="445" t="s">
        <v>2491</v>
      </c>
      <c r="B36" s="446"/>
      <c r="C36" s="1322" t="e">
        <f>R37</f>
        <v>#DIV/0!</v>
      </c>
      <c r="D36" s="2539" t="s">
        <v>2879</v>
      </c>
      <c r="E36" s="1323" t="e">
        <f>R36</f>
        <v>#DIV/0!</v>
      </c>
      <c r="F36" s="2540"/>
      <c r="G36" s="1322" t="e">
        <f>T36</f>
        <v>#DIV/0!</v>
      </c>
      <c r="H36" s="2540"/>
      <c r="I36" s="1323" t="e">
        <f>V36</f>
        <v>#DIV/0!</v>
      </c>
      <c r="J36" s="2540"/>
      <c r="K36" s="2542">
        <f>F36+H36+J36</f>
        <v>0</v>
      </c>
      <c r="L36" s="2953"/>
      <c r="M36" s="2954"/>
      <c r="N36" s="2945"/>
      <c r="O36" s="2954"/>
      <c r="P36" s="3360" t="str">
        <f>A36</f>
        <v>比较价值（元/平方米）</v>
      </c>
      <c r="Q36" s="3360"/>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3"/>
      <c r="M37" s="2954"/>
      <c r="N37" s="2954"/>
      <c r="O37" s="2954"/>
      <c r="P37" s="3357" t="str">
        <f>A37</f>
        <v>估价对象XX用房的比较价值（楼面单价，元/平方米）</v>
      </c>
      <c r="Q37" s="3358"/>
      <c r="R37" s="3389" t="e">
        <f>IF(F1="售价",ROUND(IF(D36="简单平均",AVERAGE(R36:W36),R36*F36+T36*H36+V36*J36),0),ROUND(IF(D36="简单平均",AVERAGE(R36:V36),R36*F36+T36*H36+V36*J36),1))</f>
        <v>#DIV/0!</v>
      </c>
      <c r="S37" s="3389"/>
      <c r="T37" s="3389"/>
      <c r="U37" s="3389"/>
      <c r="V37" s="3389"/>
      <c r="W37" s="3389"/>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2496</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2370</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2407</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2372</v>
      </c>
      <c r="B49" s="467"/>
      <c r="C49" s="479" t="s">
        <v>2474</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2410</v>
      </c>
      <c r="B51" s="485" t="s">
        <v>2376</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2419</v>
      </c>
      <c r="D63" s="535" t="s">
        <v>2420</v>
      </c>
      <c r="E63" s="535" t="s">
        <v>2421</v>
      </c>
      <c r="F63" s="535" t="s">
        <v>2422</v>
      </c>
      <c r="G63" s="535" t="s">
        <v>2423</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2511</v>
      </c>
      <c r="C65" s="616" t="s">
        <v>2497</v>
      </c>
      <c r="D65" s="616" t="s">
        <v>2498</v>
      </c>
      <c r="E65" s="616" t="s">
        <v>2499</v>
      </c>
      <c r="F65" s="616" t="s">
        <v>2500</v>
      </c>
      <c r="G65" s="616" t="s">
        <v>2501</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2431</v>
      </c>
      <c r="C67" s="535" t="s">
        <v>2419</v>
      </c>
      <c r="D67" s="535" t="s">
        <v>2420</v>
      </c>
      <c r="E67" s="535" t="s">
        <v>2421</v>
      </c>
      <c r="F67" s="535" t="s">
        <v>2422</v>
      </c>
      <c r="G67" s="535" t="s">
        <v>2423</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2385</v>
      </c>
      <c r="B77" s="485" t="s">
        <v>2438</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2467</v>
      </c>
      <c r="B4" s="362"/>
      <c r="C4" s="3343" t="s">
        <v>2468</v>
      </c>
      <c r="D4" s="3344"/>
      <c r="E4" s="3345" t="s">
        <v>2469</v>
      </c>
      <c r="F4" s="3346"/>
      <c r="G4" s="3343" t="s">
        <v>2470</v>
      </c>
      <c r="H4" s="3344"/>
      <c r="I4" s="3343" t="s">
        <v>2471</v>
      </c>
      <c r="J4" s="3344"/>
      <c r="K4" s="567" t="s">
        <v>2472</v>
      </c>
      <c r="L4" s="2944"/>
      <c r="M4" s="2945"/>
      <c r="N4" s="2945"/>
      <c r="O4" s="2945"/>
      <c r="P4" s="3347" t="s">
        <v>2473</v>
      </c>
      <c r="Q4" s="3348"/>
      <c r="R4" s="3330" t="s">
        <v>2469</v>
      </c>
      <c r="S4" s="3331"/>
      <c r="T4" s="3330" t="s">
        <v>2470</v>
      </c>
      <c r="U4" s="3331"/>
      <c r="V4" s="3355" t="s">
        <v>2471</v>
      </c>
      <c r="W4" s="3355"/>
      <c r="X4" s="1541"/>
      <c r="Y4" s="3330" t="s">
        <v>2473</v>
      </c>
      <c r="Z4" s="3331"/>
      <c r="AA4" s="3325" t="s">
        <v>2469</v>
      </c>
      <c r="AB4" s="3326" t="s">
        <v>2470</v>
      </c>
      <c r="AC4" s="3325" t="s">
        <v>2471</v>
      </c>
    </row>
    <row r="5" spans="1:30" ht="15">
      <c r="A5" s="364"/>
      <c r="B5" s="365"/>
      <c r="C5" s="3336" t="s">
        <v>2364</v>
      </c>
      <c r="D5" s="3337"/>
      <c r="E5" s="3334" t="s">
        <v>2365</v>
      </c>
      <c r="F5" s="3335"/>
      <c r="G5" s="3336" t="s">
        <v>2366</v>
      </c>
      <c r="H5" s="3337"/>
      <c r="I5" s="3336" t="s">
        <v>2367</v>
      </c>
      <c r="J5" s="3337"/>
      <c r="K5" s="567"/>
      <c r="L5" s="2944"/>
      <c r="M5" s="2945"/>
      <c r="N5" s="2945"/>
      <c r="O5" s="2945"/>
      <c r="P5" s="3349"/>
      <c r="Q5" s="3350"/>
      <c r="R5" s="3332"/>
      <c r="S5" s="3333"/>
      <c r="T5" s="3332"/>
      <c r="U5" s="3333"/>
      <c r="V5" s="3355"/>
      <c r="W5" s="3355"/>
      <c r="X5" s="1541"/>
      <c r="Y5" s="3332"/>
      <c r="Z5" s="3333"/>
      <c r="AA5" s="3326"/>
      <c r="AB5" s="3326"/>
      <c r="AC5" s="3326"/>
    </row>
    <row r="6" spans="1:30" ht="15.75" thickBot="1">
      <c r="A6" s="366"/>
      <c r="B6" s="367"/>
      <c r="C6" s="3338" t="s">
        <v>2368</v>
      </c>
      <c r="D6" s="3339"/>
      <c r="E6" s="3340" t="s">
        <v>2368</v>
      </c>
      <c r="F6" s="3341"/>
      <c r="G6" s="3338" t="s">
        <v>2368</v>
      </c>
      <c r="H6" s="3339"/>
      <c r="I6" s="3338" t="s">
        <v>2368</v>
      </c>
      <c r="J6" s="3339"/>
      <c r="K6" s="567" t="s">
        <v>2369</v>
      </c>
      <c r="L6" s="2944"/>
      <c r="M6" s="2945"/>
      <c r="N6" s="2945"/>
      <c r="O6" s="2945"/>
      <c r="P6" s="3351"/>
      <c r="Q6" s="3352"/>
      <c r="R6" s="3332"/>
      <c r="S6" s="3333"/>
      <c r="T6" s="3353"/>
      <c r="U6" s="3354"/>
      <c r="V6" s="3355"/>
      <c r="W6" s="3355"/>
      <c r="X6" s="1541"/>
      <c r="Y6" s="3353"/>
      <c r="Z6" s="3354"/>
      <c r="AA6" s="3327"/>
      <c r="AB6" s="3327"/>
      <c r="AC6" s="3327"/>
    </row>
    <row r="7" spans="1:30" s="113" customFormat="1" ht="15.75" thickBot="1">
      <c r="A7" s="368" t="s">
        <v>2370</v>
      </c>
      <c r="B7" s="369"/>
      <c r="C7" s="370">
        <f>'数据-取费表'!B2</f>
        <v>44155</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328" t="s">
        <v>2371</v>
      </c>
      <c r="Q7" s="3356"/>
      <c r="R7" s="710" t="s">
        <v>17</v>
      </c>
      <c r="S7" s="711">
        <f t="shared" ref="S7:S15" si="0">F7</f>
        <v>0</v>
      </c>
      <c r="T7" s="710" t="s">
        <v>17</v>
      </c>
      <c r="U7" s="711">
        <f t="shared" ref="U7:U15" si="1">H7</f>
        <v>0</v>
      </c>
      <c r="V7" s="710" t="s">
        <v>17</v>
      </c>
      <c r="W7" s="711">
        <f t="shared" ref="W7:W15" si="2">J7</f>
        <v>0</v>
      </c>
      <c r="X7" s="712"/>
      <c r="Y7" s="3328" t="s">
        <v>2371</v>
      </c>
      <c r="Z7" s="3329"/>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28" t="s">
        <v>2374</v>
      </c>
      <c r="Q8" s="3329"/>
      <c r="R8" s="710" t="s">
        <v>17</v>
      </c>
      <c r="S8" s="711">
        <f t="shared" si="0"/>
        <v>0</v>
      </c>
      <c r="T8" s="710" t="s">
        <v>17</v>
      </c>
      <c r="U8" s="711">
        <f t="shared" si="1"/>
        <v>0</v>
      </c>
      <c r="V8" s="710" t="s">
        <v>17</v>
      </c>
      <c r="W8" s="711">
        <f t="shared" si="2"/>
        <v>0</v>
      </c>
      <c r="X8" s="712"/>
      <c r="Y8" s="3328" t="s">
        <v>2374</v>
      </c>
      <c r="Z8" s="3329"/>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360" t="s">
        <v>2377</v>
      </c>
      <c r="Q9" s="1529" t="str">
        <f t="shared" ref="Q9:Q15" si="6">B9</f>
        <v>用途</v>
      </c>
      <c r="R9" s="710" t="s">
        <v>17</v>
      </c>
      <c r="S9" s="711">
        <f t="shared" si="0"/>
        <v>100</v>
      </c>
      <c r="T9" s="710" t="s">
        <v>17</v>
      </c>
      <c r="U9" s="711">
        <f t="shared" si="1"/>
        <v>100</v>
      </c>
      <c r="V9" s="710" t="s">
        <v>17</v>
      </c>
      <c r="W9" s="711">
        <f t="shared" si="2"/>
        <v>100</v>
      </c>
      <c r="X9" s="712"/>
      <c r="Y9" s="3244"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 ca="1">ROUND(100/'数据-取费表'!G16,0)</f>
        <v>116</v>
      </c>
      <c r="G10" s="422"/>
      <c r="H10" s="132">
        <f ca="1">ROUND(100/'数据-取费表'!G16,0)</f>
        <v>116</v>
      </c>
      <c r="I10" s="422"/>
      <c r="J10" s="132">
        <f ca="1">ROUND(100/'数据-取费表'!G16,0)</f>
        <v>116</v>
      </c>
      <c r="K10" s="628"/>
      <c r="L10" s="2948"/>
      <c r="M10" s="2949"/>
      <c r="N10" s="2949"/>
      <c r="O10" s="3002"/>
      <c r="P10" s="3360"/>
      <c r="Q10" s="1529" t="str">
        <f t="shared" si="6"/>
        <v>土地使用年限（年）</v>
      </c>
      <c r="R10" s="710" t="s">
        <v>17</v>
      </c>
      <c r="S10" s="711">
        <f t="shared" ca="1" si="0"/>
        <v>116</v>
      </c>
      <c r="T10" s="710" t="s">
        <v>17</v>
      </c>
      <c r="U10" s="711">
        <f t="shared" ca="1" si="1"/>
        <v>116</v>
      </c>
      <c r="V10" s="710" t="s">
        <v>17</v>
      </c>
      <c r="W10" s="711">
        <f t="shared" ca="1" si="2"/>
        <v>116</v>
      </c>
      <c r="X10" s="712"/>
      <c r="Y10" s="3244"/>
      <c r="Z10" s="55" t="str">
        <f t="shared" si="7"/>
        <v>土地使用年限（年）</v>
      </c>
      <c r="AA10" s="713">
        <f t="shared" ca="1" si="3"/>
        <v>0.86206896551724133</v>
      </c>
      <c r="AB10" s="713">
        <f t="shared" ca="1" si="4"/>
        <v>0.86206896551724133</v>
      </c>
      <c r="AC10" s="713">
        <f t="shared" ca="1" si="5"/>
        <v>0.86206896551724133</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60"/>
      <c r="Q11" s="1529"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60"/>
      <c r="Q12" s="1529" t="str">
        <f t="shared" si="6"/>
        <v>配建</v>
      </c>
      <c r="R12" s="710" t="s">
        <v>17</v>
      </c>
      <c r="S12" s="711">
        <f t="shared" si="0"/>
        <v>100</v>
      </c>
      <c r="T12" s="710" t="s">
        <v>17</v>
      </c>
      <c r="U12" s="711">
        <f t="shared" si="1"/>
        <v>100</v>
      </c>
      <c r="V12" s="710" t="s">
        <v>17</v>
      </c>
      <c r="W12" s="711">
        <f t="shared" si="2"/>
        <v>100</v>
      </c>
      <c r="X12" s="712"/>
      <c r="Y12" s="324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60"/>
      <c r="Q13" s="1529">
        <f t="shared" si="6"/>
        <v>111</v>
      </c>
      <c r="R13" s="710" t="s">
        <v>17</v>
      </c>
      <c r="S13" s="711">
        <f t="shared" si="0"/>
        <v>100</v>
      </c>
      <c r="T13" s="710" t="s">
        <v>17</v>
      </c>
      <c r="U13" s="711">
        <f t="shared" si="1"/>
        <v>100</v>
      </c>
      <c r="V13" s="710" t="s">
        <v>17</v>
      </c>
      <c r="W13" s="711">
        <f t="shared" si="2"/>
        <v>100</v>
      </c>
      <c r="X13" s="712"/>
      <c r="Y13" s="324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60"/>
      <c r="Q14" s="1529">
        <f t="shared" si="6"/>
        <v>111</v>
      </c>
      <c r="R14" s="710" t="s">
        <v>17</v>
      </c>
      <c r="S14" s="711">
        <f t="shared" si="0"/>
        <v>100</v>
      </c>
      <c r="T14" s="710" t="s">
        <v>17</v>
      </c>
      <c r="U14" s="711">
        <f t="shared" si="1"/>
        <v>100</v>
      </c>
      <c r="V14" s="710" t="s">
        <v>17</v>
      </c>
      <c r="W14" s="711">
        <f t="shared" si="2"/>
        <v>100</v>
      </c>
      <c r="X14" s="712"/>
      <c r="Y14" s="3244"/>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62" t="s">
        <v>2382</v>
      </c>
      <c r="Q15" s="1538" t="str">
        <f t="shared" si="6"/>
        <v>居住社区成熟度</v>
      </c>
      <c r="R15" s="714" t="s">
        <v>17</v>
      </c>
      <c r="S15" s="715">
        <f t="shared" si="0"/>
        <v>100</v>
      </c>
      <c r="T15" s="714" t="s">
        <v>17</v>
      </c>
      <c r="U15" s="715">
        <f t="shared" si="1"/>
        <v>100</v>
      </c>
      <c r="V15" s="714" t="s">
        <v>17</v>
      </c>
      <c r="W15" s="715">
        <f t="shared" si="2"/>
        <v>100</v>
      </c>
      <c r="X15" s="1541"/>
      <c r="Y15" s="3362"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363"/>
      <c r="Q16" s="1538"/>
      <c r="R16" s="714"/>
      <c r="S16" s="715"/>
      <c r="T16" s="714"/>
      <c r="U16" s="715"/>
      <c r="V16" s="714"/>
      <c r="W16" s="715"/>
      <c r="X16" s="1541"/>
      <c r="Y16" s="3363"/>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63"/>
      <c r="Q17" s="1538" t="str">
        <f>B17</f>
        <v>商业繁华度</v>
      </c>
      <c r="R17" s="714" t="s">
        <v>17</v>
      </c>
      <c r="S17" s="715">
        <f>F17</f>
        <v>100</v>
      </c>
      <c r="T17" s="714" t="s">
        <v>17</v>
      </c>
      <c r="U17" s="715">
        <f>H17</f>
        <v>100</v>
      </c>
      <c r="V17" s="714" t="s">
        <v>17</v>
      </c>
      <c r="W17" s="715">
        <f>J17</f>
        <v>100</v>
      </c>
      <c r="X17" s="1541"/>
      <c r="Y17" s="3363"/>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363"/>
      <c r="Q18" s="1538"/>
      <c r="R18" s="714"/>
      <c r="S18" s="715"/>
      <c r="T18" s="714"/>
      <c r="U18" s="715"/>
      <c r="V18" s="714"/>
      <c r="W18" s="715"/>
      <c r="X18" s="1541"/>
      <c r="Y18" s="3363"/>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63"/>
      <c r="Q19" s="1538" t="str">
        <f>B19</f>
        <v>办公集聚程度</v>
      </c>
      <c r="R19" s="714" t="s">
        <v>17</v>
      </c>
      <c r="S19" s="715">
        <f>F19</f>
        <v>100</v>
      </c>
      <c r="T19" s="714" t="s">
        <v>17</v>
      </c>
      <c r="U19" s="715">
        <f>H19</f>
        <v>100</v>
      </c>
      <c r="V19" s="714" t="s">
        <v>17</v>
      </c>
      <c r="W19" s="715">
        <f>J19</f>
        <v>100</v>
      </c>
      <c r="X19" s="1541"/>
      <c r="Y19" s="3363"/>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363"/>
      <c r="Q20" s="1538"/>
      <c r="R20" s="714"/>
      <c r="S20" s="715"/>
      <c r="T20" s="714"/>
      <c r="U20" s="715"/>
      <c r="V20" s="714"/>
      <c r="W20" s="715"/>
      <c r="X20" s="1541"/>
      <c r="Y20" s="3363"/>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63"/>
      <c r="Q21" s="1538" t="str">
        <f>B21</f>
        <v>交通便捷度</v>
      </c>
      <c r="R21" s="714" t="s">
        <v>17</v>
      </c>
      <c r="S21" s="715">
        <f>F21</f>
        <v>100</v>
      </c>
      <c r="T21" s="714" t="s">
        <v>17</v>
      </c>
      <c r="U21" s="715">
        <f>H21</f>
        <v>100</v>
      </c>
      <c r="V21" s="714" t="s">
        <v>17</v>
      </c>
      <c r="W21" s="715">
        <f>J21</f>
        <v>100</v>
      </c>
      <c r="X21" s="1541"/>
      <c r="Y21" s="3363"/>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363"/>
      <c r="Q22" s="1538"/>
      <c r="R22" s="714"/>
      <c r="S22" s="715"/>
      <c r="T22" s="714"/>
      <c r="U22" s="715"/>
      <c r="V22" s="714"/>
      <c r="W22" s="715"/>
      <c r="X22" s="1541"/>
      <c r="Y22" s="3363"/>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63"/>
      <c r="Q23" s="1538" t="str">
        <f t="shared" ref="Q23:Q37" si="8">B23</f>
        <v>区域土地利用方向</v>
      </c>
      <c r="R23" s="714" t="s">
        <v>17</v>
      </c>
      <c r="S23" s="715">
        <f>F23</f>
        <v>100</v>
      </c>
      <c r="T23" s="714" t="s">
        <v>17</v>
      </c>
      <c r="U23" s="715">
        <f>H23</f>
        <v>100</v>
      </c>
      <c r="V23" s="714" t="s">
        <v>17</v>
      </c>
      <c r="W23" s="715">
        <f>J23</f>
        <v>100</v>
      </c>
      <c r="X23" s="1541"/>
      <c r="Y23" s="3363"/>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363"/>
      <c r="Q24" s="1538"/>
      <c r="R24" s="714"/>
      <c r="S24" s="715"/>
      <c r="T24" s="714"/>
      <c r="U24" s="715"/>
      <c r="V24" s="714"/>
      <c r="W24" s="715"/>
      <c r="X24" s="1541"/>
      <c r="Y24" s="3363"/>
      <c r="Z24" s="1542"/>
      <c r="AA24" s="1539"/>
      <c r="AB24" s="1539"/>
      <c r="AC24" s="1539"/>
    </row>
    <row r="25" spans="1:29" ht="57">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63"/>
      <c r="Q25" s="1538" t="str">
        <f t="shared" si="8"/>
        <v>自然及人文环境状况</v>
      </c>
      <c r="R25" s="714" t="s">
        <v>17</v>
      </c>
      <c r="S25" s="715">
        <f>F25</f>
        <v>100</v>
      </c>
      <c r="T25" s="714" t="s">
        <v>17</v>
      </c>
      <c r="U25" s="715">
        <f>H25</f>
        <v>100</v>
      </c>
      <c r="V25" s="714" t="s">
        <v>17</v>
      </c>
      <c r="W25" s="715">
        <f>J25</f>
        <v>100</v>
      </c>
      <c r="X25" s="1541"/>
      <c r="Y25" s="3363"/>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363"/>
      <c r="Q26" s="1538"/>
      <c r="R26" s="714"/>
      <c r="S26" s="715"/>
      <c r="T26" s="714"/>
      <c r="U26" s="715"/>
      <c r="V26" s="714"/>
      <c r="W26" s="715"/>
      <c r="X26" s="1541"/>
      <c r="Y26" s="3363"/>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63"/>
      <c r="Q27" s="1529" t="str">
        <f t="shared" si="8"/>
        <v>公共配套设施</v>
      </c>
      <c r="R27" s="710" t="s">
        <v>17</v>
      </c>
      <c r="S27" s="711">
        <f>F27</f>
        <v>100</v>
      </c>
      <c r="T27" s="710" t="s">
        <v>17</v>
      </c>
      <c r="U27" s="711">
        <f>H27</f>
        <v>100</v>
      </c>
      <c r="V27" s="710" t="s">
        <v>17</v>
      </c>
      <c r="W27" s="711">
        <f>J27</f>
        <v>100</v>
      </c>
      <c r="X27" s="712"/>
      <c r="Y27" s="3363"/>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363"/>
      <c r="Q28" s="1529"/>
      <c r="R28" s="710"/>
      <c r="S28" s="711"/>
      <c r="T28" s="710"/>
      <c r="U28" s="711"/>
      <c r="V28" s="710"/>
      <c r="W28" s="711"/>
      <c r="X28" s="712"/>
      <c r="Y28" s="3363"/>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63"/>
      <c r="Q29" s="1529" t="str">
        <f t="shared" ref="Q29" si="9">B29</f>
        <v>基础设施水平</v>
      </c>
      <c r="R29" s="710" t="s">
        <v>17</v>
      </c>
      <c r="S29" s="711">
        <f>F29</f>
        <v>100</v>
      </c>
      <c r="T29" s="710" t="s">
        <v>17</v>
      </c>
      <c r="U29" s="711">
        <f>H29</f>
        <v>100</v>
      </c>
      <c r="V29" s="710" t="s">
        <v>17</v>
      </c>
      <c r="W29" s="711">
        <f>J29</f>
        <v>100</v>
      </c>
      <c r="X29" s="712"/>
      <c r="Y29" s="3363"/>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363"/>
      <c r="Q30" s="1529"/>
      <c r="R30" s="710"/>
      <c r="S30" s="711"/>
      <c r="T30" s="710"/>
      <c r="U30" s="711"/>
      <c r="V30" s="710"/>
      <c r="W30" s="711"/>
      <c r="X30" s="712"/>
      <c r="Y30" s="3363"/>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63"/>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63"/>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63"/>
      <c r="Q32" s="1538" t="str">
        <f t="shared" si="8"/>
        <v>毗邻道路的类型与等级</v>
      </c>
      <c r="R32" s="714" t="s">
        <v>17</v>
      </c>
      <c r="S32" s="715">
        <f t="shared" si="10"/>
        <v>100</v>
      </c>
      <c r="T32" s="714" t="s">
        <v>17</v>
      </c>
      <c r="U32" s="715">
        <f t="shared" si="11"/>
        <v>100</v>
      </c>
      <c r="V32" s="714" t="s">
        <v>17</v>
      </c>
      <c r="W32" s="715">
        <f t="shared" si="12"/>
        <v>100</v>
      </c>
      <c r="X32" s="1541"/>
      <c r="Y32" s="3363"/>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363"/>
      <c r="Q33" s="1538"/>
      <c r="R33" s="714"/>
      <c r="S33" s="715"/>
      <c r="T33" s="714"/>
      <c r="U33" s="715"/>
      <c r="V33" s="714"/>
      <c r="W33" s="715"/>
      <c r="X33" s="1541"/>
      <c r="Y33" s="3363"/>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63"/>
      <c r="Q34" s="1538" t="str">
        <f t="shared" si="8"/>
        <v>土地级别</v>
      </c>
      <c r="R34" s="714" t="s">
        <v>17</v>
      </c>
      <c r="S34" s="715">
        <f t="shared" si="10"/>
        <v>100</v>
      </c>
      <c r="T34" s="714" t="s">
        <v>17</v>
      </c>
      <c r="U34" s="715">
        <f t="shared" si="11"/>
        <v>100</v>
      </c>
      <c r="V34" s="714" t="s">
        <v>17</v>
      </c>
      <c r="W34" s="715">
        <f t="shared" si="12"/>
        <v>100</v>
      </c>
      <c r="X34" s="1541"/>
      <c r="Y34" s="3363"/>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63"/>
      <c r="Q35" s="1538">
        <f t="shared" si="8"/>
        <v>111</v>
      </c>
      <c r="R35" s="714" t="s">
        <v>17</v>
      </c>
      <c r="S35" s="715">
        <f t="shared" si="10"/>
        <v>100</v>
      </c>
      <c r="T35" s="714" t="s">
        <v>17</v>
      </c>
      <c r="U35" s="715">
        <f t="shared" si="11"/>
        <v>100</v>
      </c>
      <c r="V35" s="714" t="s">
        <v>17</v>
      </c>
      <c r="W35" s="715">
        <f t="shared" si="12"/>
        <v>100</v>
      </c>
      <c r="X35" s="1541"/>
      <c r="Y35" s="3363"/>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86" t="s">
        <v>2387</v>
      </c>
      <c r="Q36" s="1538">
        <f t="shared" si="8"/>
        <v>111</v>
      </c>
      <c r="R36" s="714" t="s">
        <v>17</v>
      </c>
      <c r="S36" s="715">
        <f t="shared" si="10"/>
        <v>100</v>
      </c>
      <c r="T36" s="714" t="s">
        <v>17</v>
      </c>
      <c r="U36" s="715">
        <f t="shared" si="11"/>
        <v>100</v>
      </c>
      <c r="V36" s="714" t="s">
        <v>17</v>
      </c>
      <c r="W36" s="715">
        <f t="shared" si="12"/>
        <v>100</v>
      </c>
      <c r="X36" s="1541"/>
      <c r="Y36" s="3367"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67"/>
      <c r="Q37" s="1538">
        <f t="shared" si="8"/>
        <v>111</v>
      </c>
      <c r="R37" s="717" t="s">
        <v>17</v>
      </c>
      <c r="S37" s="718">
        <f t="shared" si="10"/>
        <v>100</v>
      </c>
      <c r="T37" s="717" t="s">
        <v>17</v>
      </c>
      <c r="U37" s="718">
        <f t="shared" si="11"/>
        <v>100</v>
      </c>
      <c r="V37" s="717" t="s">
        <v>17</v>
      </c>
      <c r="W37" s="718">
        <f t="shared" si="12"/>
        <v>100</v>
      </c>
      <c r="X37" s="719"/>
      <c r="Y37" s="3367"/>
      <c r="Z37" s="720">
        <f t="shared" si="13"/>
        <v>111</v>
      </c>
      <c r="AA37" s="1539">
        <f t="shared" si="3"/>
        <v>1</v>
      </c>
      <c r="AB37" s="1539">
        <f t="shared" si="4"/>
        <v>1</v>
      </c>
      <c r="AC37" s="1539">
        <f t="shared" si="5"/>
        <v>1</v>
      </c>
    </row>
    <row r="38" spans="1:29" ht="15">
      <c r="A38" s="431" t="s">
        <v>2385</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67"/>
      <c r="Q38" s="1538" t="str">
        <f>B38</f>
        <v>宗地面积</v>
      </c>
      <c r="R38" s="714" t="s">
        <v>17</v>
      </c>
      <c r="S38" s="715" t="e">
        <f t="shared" si="10"/>
        <v>#N/A</v>
      </c>
      <c r="T38" s="714" t="s">
        <v>17</v>
      </c>
      <c r="U38" s="715" t="e">
        <f t="shared" si="11"/>
        <v>#N/A</v>
      </c>
      <c r="V38" s="714" t="s">
        <v>17</v>
      </c>
      <c r="W38" s="715" t="e">
        <f t="shared" si="12"/>
        <v>#N/A</v>
      </c>
      <c r="X38" s="1541"/>
      <c r="Y38" s="3367"/>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367"/>
      <c r="Q39" s="1538" t="str">
        <f t="shared" ref="Q39:Q45" si="14">B39</f>
        <v>宗地形状</v>
      </c>
      <c r="R39" s="714" t="s">
        <v>17</v>
      </c>
      <c r="S39" s="715">
        <f t="shared" si="10"/>
        <v>100</v>
      </c>
      <c r="T39" s="714" t="s">
        <v>17</v>
      </c>
      <c r="U39" s="715">
        <f t="shared" si="11"/>
        <v>100</v>
      </c>
      <c r="V39" s="714" t="s">
        <v>17</v>
      </c>
      <c r="W39" s="715">
        <f t="shared" si="12"/>
        <v>100</v>
      </c>
      <c r="X39" s="1541"/>
      <c r="Y39" s="3367"/>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367"/>
      <c r="Q40" s="1538" t="str">
        <f t="shared" si="14"/>
        <v>临街宽度及深度</v>
      </c>
      <c r="R40" s="714" t="s">
        <v>17</v>
      </c>
      <c r="S40" s="715">
        <f t="shared" si="10"/>
        <v>100</v>
      </c>
      <c r="T40" s="714" t="s">
        <v>17</v>
      </c>
      <c r="U40" s="715">
        <f t="shared" si="11"/>
        <v>100</v>
      </c>
      <c r="V40" s="714" t="s">
        <v>17</v>
      </c>
      <c r="W40" s="715">
        <f t="shared" si="12"/>
        <v>100</v>
      </c>
      <c r="X40" s="1541"/>
      <c r="Y40" s="3367"/>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367"/>
      <c r="Q41" s="1538" t="str">
        <f t="shared" si="14"/>
        <v>宗地开发程度</v>
      </c>
      <c r="R41" s="710" t="s">
        <v>17</v>
      </c>
      <c r="S41" s="711">
        <f t="shared" si="10"/>
        <v>100</v>
      </c>
      <c r="T41" s="710" t="s">
        <v>17</v>
      </c>
      <c r="U41" s="711">
        <f t="shared" si="11"/>
        <v>100</v>
      </c>
      <c r="V41" s="710" t="s">
        <v>17</v>
      </c>
      <c r="W41" s="711">
        <f t="shared" si="12"/>
        <v>100</v>
      </c>
      <c r="X41" s="712"/>
      <c r="Y41" s="3367"/>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367" t="s">
        <v>2387</v>
      </c>
      <c r="Q42" s="1538" t="str">
        <f t="shared" si="14"/>
        <v>工程地质条件</v>
      </c>
      <c r="R42" s="714" t="s">
        <v>17</v>
      </c>
      <c r="S42" s="715">
        <f t="shared" si="10"/>
        <v>100</v>
      </c>
      <c r="T42" s="714" t="s">
        <v>17</v>
      </c>
      <c r="U42" s="715">
        <f t="shared" si="11"/>
        <v>100</v>
      </c>
      <c r="V42" s="714" t="s">
        <v>17</v>
      </c>
      <c r="W42" s="715">
        <f t="shared" si="12"/>
        <v>100</v>
      </c>
      <c r="X42" s="1541"/>
      <c r="Y42" s="3367"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67"/>
      <c r="Q43" s="1538">
        <f t="shared" si="14"/>
        <v>111</v>
      </c>
      <c r="R43" s="714" t="s">
        <v>17</v>
      </c>
      <c r="S43" s="715">
        <f t="shared" si="10"/>
        <v>100</v>
      </c>
      <c r="T43" s="714" t="s">
        <v>17</v>
      </c>
      <c r="U43" s="715">
        <f t="shared" si="11"/>
        <v>100</v>
      </c>
      <c r="V43" s="714" t="s">
        <v>17</v>
      </c>
      <c r="W43" s="715">
        <f t="shared" si="12"/>
        <v>100</v>
      </c>
      <c r="X43" s="1541"/>
      <c r="Y43" s="3367"/>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67"/>
      <c r="Q44" s="1538">
        <f t="shared" si="14"/>
        <v>111</v>
      </c>
      <c r="R44" s="714" t="s">
        <v>17</v>
      </c>
      <c r="S44" s="715">
        <f t="shared" si="10"/>
        <v>100</v>
      </c>
      <c r="T44" s="714" t="s">
        <v>17</v>
      </c>
      <c r="U44" s="715">
        <f t="shared" si="11"/>
        <v>100</v>
      </c>
      <c r="V44" s="714" t="s">
        <v>17</v>
      </c>
      <c r="W44" s="715">
        <f t="shared" si="12"/>
        <v>100</v>
      </c>
      <c r="X44" s="1541"/>
      <c r="Y44" s="3367"/>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67"/>
      <c r="Q45" s="1538">
        <f t="shared" si="14"/>
        <v>111</v>
      </c>
      <c r="R45" s="717" t="s">
        <v>17</v>
      </c>
      <c r="S45" s="718">
        <f t="shared" si="10"/>
        <v>100</v>
      </c>
      <c r="T45" s="717" t="s">
        <v>17</v>
      </c>
      <c r="U45" s="718">
        <f t="shared" si="11"/>
        <v>100</v>
      </c>
      <c r="V45" s="717" t="s">
        <v>17</v>
      </c>
      <c r="W45" s="718">
        <f t="shared" si="12"/>
        <v>100</v>
      </c>
      <c r="X45" s="719"/>
      <c r="Y45" s="3367"/>
      <c r="Z45" s="720">
        <f t="shared" si="13"/>
        <v>111</v>
      </c>
      <c r="AA45" s="1539">
        <f t="shared" si="3"/>
        <v>1</v>
      </c>
      <c r="AB45" s="1539">
        <f t="shared" si="4"/>
        <v>1</v>
      </c>
      <c r="AC45" s="1539">
        <f t="shared" si="5"/>
        <v>1</v>
      </c>
    </row>
    <row r="46" spans="1:29" ht="15">
      <c r="A46" s="438" t="s">
        <v>2542</v>
      </c>
      <c r="B46" s="2170" t="s">
        <v>2577</v>
      </c>
      <c r="C46" s="638" t="s">
        <v>1</v>
      </c>
      <c r="D46" s="440"/>
      <c r="E46" s="441"/>
      <c r="F46" s="442"/>
      <c r="G46" s="443"/>
      <c r="H46" s="444"/>
      <c r="I46" s="441"/>
      <c r="J46" s="444"/>
      <c r="K46" s="723"/>
      <c r="L46" s="2953"/>
      <c r="M46" s="2954"/>
      <c r="N46" s="2945"/>
      <c r="O46" s="2954"/>
      <c r="P46" s="3360" t="str">
        <f>A46</f>
        <v>成交单价</v>
      </c>
      <c r="Q46" s="3360"/>
      <c r="R46" s="3355">
        <f>E46</f>
        <v>0</v>
      </c>
      <c r="S46" s="3355"/>
      <c r="T46" s="3355">
        <f>G46</f>
        <v>0</v>
      </c>
      <c r="U46" s="3355"/>
      <c r="V46" s="3355">
        <f>I46</f>
        <v>0</v>
      </c>
      <c r="W46" s="3355"/>
      <c r="X46" s="699"/>
      <c r="Y46" s="721"/>
      <c r="Z46" s="699"/>
      <c r="AA46" s="699"/>
      <c r="AB46" s="699"/>
      <c r="AC46" s="699"/>
    </row>
    <row r="47" spans="1:29" ht="15.75" thickBot="1">
      <c r="A47" s="445" t="s">
        <v>2491</v>
      </c>
      <c r="B47" s="639"/>
      <c r="C47" s="448" t="e">
        <f>R48</f>
        <v>#DIV/0!</v>
      </c>
      <c r="D47" s="2539" t="s">
        <v>2879</v>
      </c>
      <c r="E47" s="448" t="e">
        <f>R47</f>
        <v>#DIV/0!</v>
      </c>
      <c r="F47" s="2540"/>
      <c r="G47" s="447" t="e">
        <f>T47</f>
        <v>#DIV/0!</v>
      </c>
      <c r="H47" s="2540"/>
      <c r="I47" s="448" t="e">
        <f>V47</f>
        <v>#DIV/0!</v>
      </c>
      <c r="J47" s="2540"/>
      <c r="K47" s="2542">
        <f>F47+H47+J47</f>
        <v>0</v>
      </c>
      <c r="L47" s="2953"/>
      <c r="M47" s="2954"/>
      <c r="N47" s="2954"/>
      <c r="O47" s="2954"/>
      <c r="P47" s="3360" t="str">
        <f>A47</f>
        <v>比较价值（元/平方米）</v>
      </c>
      <c r="Q47" s="3360"/>
      <c r="R47" s="3390" t="e">
        <f>ROUND(PRODUCT(R46,AA7:AA45),0)</f>
        <v>#DIV/0!</v>
      </c>
      <c r="S47" s="3390"/>
      <c r="T47" s="3390" t="e">
        <f>ROUND(PRODUCT(T46,AB7:AB45),0)</f>
        <v>#DIV/0!</v>
      </c>
      <c r="U47" s="3390"/>
      <c r="V47" s="3390" t="e">
        <f>ROUND(PRODUCT(V46,AC7:AC45),0)</f>
        <v>#DIV/0!</v>
      </c>
      <c r="W47" s="339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57" t="str">
        <f>A48</f>
        <v>估价对象XX用房的比较价值（楼面单价，元/平方米）</v>
      </c>
      <c r="Q48" s="3358"/>
      <c r="R48" s="3391" t="e">
        <f>ROUND(IF(D47="简单平均",AVERAGE(R47:W47),R47*F47+T47*H47+V47*J47),0)</f>
        <v>#DIV/0!</v>
      </c>
      <c r="S48" s="3391"/>
      <c r="T48" s="3391"/>
      <c r="U48" s="3391"/>
      <c r="V48" s="3391"/>
      <c r="W48" s="3391"/>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71" t="s">
        <v>2581</v>
      </c>
      <c r="D55" s="2172" t="s">
        <v>2582</v>
      </c>
      <c r="E55" s="642" t="s">
        <v>2583</v>
      </c>
      <c r="F55" s="1021" t="s">
        <v>2584</v>
      </c>
      <c r="G55" s="3343" t="s">
        <v>2585</v>
      </c>
      <c r="H55" s="3392"/>
      <c r="I55" s="140" t="s">
        <v>2586</v>
      </c>
      <c r="J55" s="2173">
        <f>项目基本情况!F35</f>
        <v>0</v>
      </c>
      <c r="K55" s="2174"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18583.03</v>
      </c>
      <c r="F56" s="1017" t="e">
        <f t="shared" ref="F56:F65" si="15">ROUND(B56*E56/10000,0)</f>
        <v>#DIV/0!</v>
      </c>
      <c r="G56" s="3342"/>
      <c r="H56" s="3360"/>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93" t="s">
        <v>2590</v>
      </c>
      <c r="H57" s="1018" t="str">
        <f>项目基本情况!B37</f>
        <v>三级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93"/>
      <c r="H58" s="1018" t="str">
        <f>项目基本情况!B37</f>
        <v>三级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93"/>
      <c r="H59" s="1018" t="str">
        <f>项目基本情况!B37</f>
        <v>三级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93"/>
      <c r="H60" s="1018" t="str">
        <f>项目基本情况!B37</f>
        <v>三级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5"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5" t="s">
        <v>2590</v>
      </c>
      <c r="H64" s="1018" t="str">
        <f>项目基本情况!B37</f>
        <v>三级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6"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18583.03</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4"/>
      <c r="Q68" s="2954"/>
      <c r="R68" s="2954"/>
      <c r="S68" s="2954"/>
      <c r="T68" s="2954"/>
      <c r="U68" s="2954"/>
      <c r="V68" s="2954"/>
      <c r="W68" s="2954"/>
      <c r="X68" s="2954"/>
      <c r="Y68" s="2954"/>
      <c r="Z68" s="2954"/>
      <c r="AA68" s="2954"/>
      <c r="AB68" s="2954"/>
      <c r="AC68" s="2954"/>
    </row>
    <row r="69" spans="1:29" ht="21.75" thickBot="1">
      <c r="A69" s="703" t="s">
        <v>2496</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7" t="s">
        <v>2603</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5"/>
      <c r="Q70" s="2970"/>
      <c r="R70" s="2970"/>
      <c r="S70" s="2970"/>
      <c r="T70" s="2970"/>
      <c r="U70" s="2970"/>
      <c r="V70" s="2970"/>
      <c r="W70" s="2970"/>
      <c r="X70" s="2970"/>
      <c r="Y70" s="2970"/>
      <c r="Z70" s="2970"/>
      <c r="AA70" s="2970"/>
      <c r="AB70" s="2970"/>
      <c r="AC70" s="2970"/>
    </row>
    <row r="71" spans="1:29" s="113" customFormat="1" ht="30" customHeight="1">
      <c r="A71" s="2178"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2407</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2372</v>
      </c>
      <c r="B73" s="467"/>
      <c r="C73" s="479" t="s">
        <v>2474</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2410</v>
      </c>
      <c r="B75" s="485" t="s">
        <v>2376</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2379</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2381</v>
      </c>
      <c r="B88" s="485" t="s">
        <v>2418</v>
      </c>
      <c r="C88" s="530" t="s">
        <v>2419</v>
      </c>
      <c r="D88" s="530" t="s">
        <v>2420</v>
      </c>
      <c r="E88" s="530" t="s">
        <v>2421</v>
      </c>
      <c r="F88" s="530" t="s">
        <v>2422</v>
      </c>
      <c r="G88" s="530" t="s">
        <v>2423</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2419</v>
      </c>
      <c r="D90" s="535" t="s">
        <v>2420</v>
      </c>
      <c r="E90" s="535" t="s">
        <v>2421</v>
      </c>
      <c r="F90" s="535" t="s">
        <v>2422</v>
      </c>
      <c r="G90" s="535" t="s">
        <v>2423</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2519</v>
      </c>
      <c r="C92" s="535" t="s">
        <v>2419</v>
      </c>
      <c r="D92" s="535" t="s">
        <v>2420</v>
      </c>
      <c r="E92" s="535" t="s">
        <v>2421</v>
      </c>
      <c r="F92" s="535" t="s">
        <v>2422</v>
      </c>
      <c r="G92" s="535" t="s">
        <v>2423</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2424</v>
      </c>
      <c r="C94" s="535" t="s">
        <v>2419</v>
      </c>
      <c r="D94" s="535" t="s">
        <v>2420</v>
      </c>
      <c r="E94" s="535" t="s">
        <v>2421</v>
      </c>
      <c r="F94" s="535" t="s">
        <v>2422</v>
      </c>
      <c r="G94" s="535" t="s">
        <v>2423</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2419</v>
      </c>
      <c r="D96" s="535" t="s">
        <v>2420</v>
      </c>
      <c r="E96" s="535" t="s">
        <v>2421</v>
      </c>
      <c r="F96" s="535" t="s">
        <v>2422</v>
      </c>
      <c r="G96" s="535" t="s">
        <v>2423</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2419</v>
      </c>
      <c r="D98" s="530" t="s">
        <v>2420</v>
      </c>
      <c r="E98" s="530" t="s">
        <v>2421</v>
      </c>
      <c r="F98" s="530" t="s">
        <v>2422</v>
      </c>
      <c r="G98" s="530" t="s">
        <v>2423</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2513</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2385</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43" t="s">
        <v>2468</v>
      </c>
      <c r="D4" s="3344"/>
      <c r="E4" s="3345" t="s">
        <v>2469</v>
      </c>
      <c r="F4" s="3346"/>
      <c r="G4" s="3343" t="s">
        <v>2470</v>
      </c>
      <c r="H4" s="3344"/>
      <c r="I4" s="3343" t="s">
        <v>2471</v>
      </c>
      <c r="J4" s="3344"/>
      <c r="K4" s="567" t="s">
        <v>2472</v>
      </c>
      <c r="L4" s="2944"/>
      <c r="M4" s="2945"/>
      <c r="N4" s="2945"/>
      <c r="O4" s="2945"/>
      <c r="P4" s="3347" t="s">
        <v>2473</v>
      </c>
      <c r="Q4" s="3348"/>
      <c r="R4" s="3330" t="s">
        <v>2469</v>
      </c>
      <c r="S4" s="3331"/>
      <c r="T4" s="3330" t="s">
        <v>2470</v>
      </c>
      <c r="U4" s="3331"/>
      <c r="V4" s="3355" t="s">
        <v>2471</v>
      </c>
      <c r="W4" s="3355"/>
      <c r="X4" s="1541"/>
      <c r="Y4" s="3330" t="s">
        <v>2473</v>
      </c>
      <c r="Z4" s="3331"/>
      <c r="AA4" s="3325" t="s">
        <v>2469</v>
      </c>
      <c r="AB4" s="3326" t="s">
        <v>2470</v>
      </c>
      <c r="AC4" s="3325" t="s">
        <v>2471</v>
      </c>
    </row>
    <row r="5" spans="1:29" ht="15">
      <c r="A5" s="364"/>
      <c r="B5" s="365"/>
      <c r="C5" s="3336" t="s">
        <v>2364</v>
      </c>
      <c r="D5" s="3337"/>
      <c r="E5" s="3334" t="s">
        <v>2365</v>
      </c>
      <c r="F5" s="3335"/>
      <c r="G5" s="3336" t="s">
        <v>2366</v>
      </c>
      <c r="H5" s="3337"/>
      <c r="I5" s="3336" t="s">
        <v>2367</v>
      </c>
      <c r="J5" s="3337"/>
      <c r="K5" s="567"/>
      <c r="L5" s="2944"/>
      <c r="M5" s="2945"/>
      <c r="N5" s="2945"/>
      <c r="O5" s="2945"/>
      <c r="P5" s="3349"/>
      <c r="Q5" s="3350"/>
      <c r="R5" s="3332"/>
      <c r="S5" s="3333"/>
      <c r="T5" s="3332"/>
      <c r="U5" s="3333"/>
      <c r="V5" s="3355"/>
      <c r="W5" s="3355"/>
      <c r="X5" s="1541"/>
      <c r="Y5" s="3332"/>
      <c r="Z5" s="3333"/>
      <c r="AA5" s="3326"/>
      <c r="AB5" s="3326"/>
      <c r="AC5" s="3326"/>
    </row>
    <row r="6" spans="1:29" ht="15.75" thickBot="1">
      <c r="A6" s="366"/>
      <c r="B6" s="367"/>
      <c r="C6" s="3394" t="s">
        <v>2618</v>
      </c>
      <c r="D6" s="3395"/>
      <c r="E6" s="3396" t="s">
        <v>2618</v>
      </c>
      <c r="F6" s="3397"/>
      <c r="G6" s="3394" t="s">
        <v>2618</v>
      </c>
      <c r="H6" s="3395"/>
      <c r="I6" s="3394" t="s">
        <v>2618</v>
      </c>
      <c r="J6" s="3395"/>
      <c r="K6" s="567" t="s">
        <v>2369</v>
      </c>
      <c r="L6" s="2944"/>
      <c r="M6" s="2945"/>
      <c r="N6" s="2945"/>
      <c r="O6" s="2945"/>
      <c r="P6" s="3351"/>
      <c r="Q6" s="3352"/>
      <c r="R6" s="3332"/>
      <c r="S6" s="3333"/>
      <c r="T6" s="3353"/>
      <c r="U6" s="3354"/>
      <c r="V6" s="3355"/>
      <c r="W6" s="3355"/>
      <c r="X6" s="1541"/>
      <c r="Y6" s="3353"/>
      <c r="Z6" s="3354"/>
      <c r="AA6" s="3327"/>
      <c r="AB6" s="3327"/>
      <c r="AC6" s="3327"/>
    </row>
    <row r="7" spans="1:29" s="113" customFormat="1" ht="15.75" thickBot="1">
      <c r="A7" s="368" t="s">
        <v>2370</v>
      </c>
      <c r="B7" s="369"/>
      <c r="C7" s="370">
        <f>'数据-取费表'!B2</f>
        <v>44155</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328" t="s">
        <v>2371</v>
      </c>
      <c r="Q7" s="3356"/>
      <c r="R7" s="710" t="s">
        <v>17</v>
      </c>
      <c r="S7" s="711">
        <f t="shared" ref="S7:S15" si="0">F7</f>
        <v>0</v>
      </c>
      <c r="T7" s="710" t="s">
        <v>17</v>
      </c>
      <c r="U7" s="711">
        <f t="shared" ref="U7:U15" si="1">H7</f>
        <v>0</v>
      </c>
      <c r="V7" s="710" t="s">
        <v>17</v>
      </c>
      <c r="W7" s="711">
        <f t="shared" ref="W7:W15" si="2">J7</f>
        <v>0</v>
      </c>
      <c r="X7" s="712"/>
      <c r="Y7" s="3328" t="s">
        <v>2371</v>
      </c>
      <c r="Z7" s="3329"/>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28" t="s">
        <v>2374</v>
      </c>
      <c r="Q8" s="3329"/>
      <c r="R8" s="710" t="s">
        <v>17</v>
      </c>
      <c r="S8" s="711">
        <f t="shared" si="0"/>
        <v>0</v>
      </c>
      <c r="T8" s="710" t="s">
        <v>17</v>
      </c>
      <c r="U8" s="711">
        <f t="shared" si="1"/>
        <v>0</v>
      </c>
      <c r="V8" s="710" t="s">
        <v>17</v>
      </c>
      <c r="W8" s="711">
        <f t="shared" si="2"/>
        <v>0</v>
      </c>
      <c r="X8" s="712"/>
      <c r="Y8" s="3328" t="s">
        <v>2374</v>
      </c>
      <c r="Z8" s="3329"/>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360" t="s">
        <v>2377</v>
      </c>
      <c r="Q9" s="1529" t="str">
        <f t="shared" ref="Q9:Q15" si="6">B9</f>
        <v>用途</v>
      </c>
      <c r="R9" s="710" t="s">
        <v>17</v>
      </c>
      <c r="S9" s="711">
        <f t="shared" si="0"/>
        <v>100</v>
      </c>
      <c r="T9" s="710" t="s">
        <v>17</v>
      </c>
      <c r="U9" s="711">
        <f t="shared" si="1"/>
        <v>100</v>
      </c>
      <c r="V9" s="710" t="s">
        <v>17</v>
      </c>
      <c r="W9" s="711">
        <f t="shared" si="2"/>
        <v>100</v>
      </c>
      <c r="X9" s="712"/>
      <c r="Y9" s="3244"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 ca="1">ROUND(100/'数据-取费表'!G16,0)</f>
        <v>116</v>
      </c>
      <c r="G10" s="391"/>
      <c r="H10" s="132">
        <f ca="1">ROUND(100/'数据-取费表'!G16,0)</f>
        <v>116</v>
      </c>
      <c r="I10" s="391"/>
      <c r="J10" s="132">
        <f ca="1">ROUND(100/'数据-取费表'!G16,0)</f>
        <v>116</v>
      </c>
      <c r="K10" s="628"/>
      <c r="L10" s="2948"/>
      <c r="M10" s="2949"/>
      <c r="N10" s="2949"/>
      <c r="O10" s="3002"/>
      <c r="P10" s="3360"/>
      <c r="Q10" s="1529" t="str">
        <f t="shared" si="6"/>
        <v>土地使用年限（年）</v>
      </c>
      <c r="R10" s="710" t="s">
        <v>17</v>
      </c>
      <c r="S10" s="711">
        <f t="shared" ca="1" si="0"/>
        <v>116</v>
      </c>
      <c r="T10" s="710" t="s">
        <v>17</v>
      </c>
      <c r="U10" s="711">
        <f t="shared" ca="1" si="1"/>
        <v>116</v>
      </c>
      <c r="V10" s="710" t="s">
        <v>17</v>
      </c>
      <c r="W10" s="711">
        <f t="shared" ca="1" si="2"/>
        <v>116</v>
      </c>
      <c r="X10" s="712"/>
      <c r="Y10" s="3244"/>
      <c r="Z10" s="55" t="str">
        <f t="shared" si="7"/>
        <v>土地使用年限（年）</v>
      </c>
      <c r="AA10" s="713">
        <f t="shared" ca="1" si="3"/>
        <v>0.86206896551724133</v>
      </c>
      <c r="AB10" s="713">
        <f t="shared" ca="1" si="4"/>
        <v>0.86206896551724133</v>
      </c>
      <c r="AC10" s="713">
        <f t="shared" ca="1" si="5"/>
        <v>0.86206896551724133</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60"/>
      <c r="Q11" s="1529"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60"/>
      <c r="Q12" s="1529">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60"/>
      <c r="Q13" s="1529">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60"/>
      <c r="Q14" s="1529">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2381</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62" t="s">
        <v>2382</v>
      </c>
      <c r="Q15" s="1538" t="str">
        <f t="shared" si="6"/>
        <v>产业集聚程度</v>
      </c>
      <c r="R15" s="714" t="s">
        <v>17</v>
      </c>
      <c r="S15" s="715">
        <f t="shared" si="0"/>
        <v>100</v>
      </c>
      <c r="T15" s="714" t="s">
        <v>17</v>
      </c>
      <c r="U15" s="715">
        <f t="shared" si="1"/>
        <v>100</v>
      </c>
      <c r="V15" s="714" t="s">
        <v>17</v>
      </c>
      <c r="W15" s="715">
        <f t="shared" si="2"/>
        <v>100</v>
      </c>
      <c r="X15" s="1541"/>
      <c r="Y15" s="3362"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363"/>
      <c r="Q16" s="1538"/>
      <c r="R16" s="714"/>
      <c r="S16" s="715"/>
      <c r="T16" s="714"/>
      <c r="U16" s="715"/>
      <c r="V16" s="714"/>
      <c r="W16" s="715"/>
      <c r="X16" s="1541"/>
      <c r="Y16" s="3363"/>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63"/>
      <c r="Q17" s="1538" t="str">
        <f>B17</f>
        <v>交通便捷度</v>
      </c>
      <c r="R17" s="714" t="s">
        <v>17</v>
      </c>
      <c r="S17" s="715">
        <f>F17</f>
        <v>100</v>
      </c>
      <c r="T17" s="714" t="s">
        <v>17</v>
      </c>
      <c r="U17" s="715">
        <f>H17</f>
        <v>100</v>
      </c>
      <c r="V17" s="714" t="s">
        <v>17</v>
      </c>
      <c r="W17" s="715">
        <f>J17</f>
        <v>100</v>
      </c>
      <c r="X17" s="1541"/>
      <c r="Y17" s="3363"/>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363"/>
      <c r="Q18" s="1538"/>
      <c r="R18" s="714"/>
      <c r="S18" s="715"/>
      <c r="T18" s="714"/>
      <c r="U18" s="715"/>
      <c r="V18" s="714"/>
      <c r="W18" s="715"/>
      <c r="X18" s="1541"/>
      <c r="Y18" s="3363"/>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63"/>
      <c r="Q19" s="1538" t="str">
        <f t="shared" ref="Q19:Q33" si="8">B19</f>
        <v>区域土地利用方向</v>
      </c>
      <c r="R19" s="714" t="s">
        <v>17</v>
      </c>
      <c r="S19" s="715">
        <f>F19</f>
        <v>100</v>
      </c>
      <c r="T19" s="714" t="s">
        <v>17</v>
      </c>
      <c r="U19" s="715">
        <f>H19</f>
        <v>100</v>
      </c>
      <c r="V19" s="714" t="s">
        <v>17</v>
      </c>
      <c r="W19" s="715">
        <f>J19</f>
        <v>100</v>
      </c>
      <c r="X19" s="1541"/>
      <c r="Y19" s="3363"/>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363"/>
      <c r="Q20" s="1538"/>
      <c r="R20" s="714"/>
      <c r="S20" s="715"/>
      <c r="T20" s="714"/>
      <c r="U20" s="715"/>
      <c r="V20" s="714"/>
      <c r="W20" s="715"/>
      <c r="X20" s="1541"/>
      <c r="Y20" s="3363"/>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63"/>
      <c r="Q21" s="1538" t="str">
        <f t="shared" si="8"/>
        <v>环境状况</v>
      </c>
      <c r="R21" s="714" t="s">
        <v>17</v>
      </c>
      <c r="S21" s="715">
        <f>F21</f>
        <v>100</v>
      </c>
      <c r="T21" s="714" t="s">
        <v>17</v>
      </c>
      <c r="U21" s="715">
        <f>H21</f>
        <v>100</v>
      </c>
      <c r="V21" s="714" t="s">
        <v>17</v>
      </c>
      <c r="W21" s="715">
        <f>J21</f>
        <v>100</v>
      </c>
      <c r="X21" s="1541"/>
      <c r="Y21" s="3363"/>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363"/>
      <c r="Q22" s="1538"/>
      <c r="R22" s="714"/>
      <c r="S22" s="715"/>
      <c r="T22" s="714"/>
      <c r="U22" s="715"/>
      <c r="V22" s="714"/>
      <c r="W22" s="715"/>
      <c r="X22" s="1541"/>
      <c r="Y22" s="3363"/>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63"/>
      <c r="Q23" s="1529" t="str">
        <f t="shared" si="8"/>
        <v>公共配套设施</v>
      </c>
      <c r="R23" s="710" t="s">
        <v>17</v>
      </c>
      <c r="S23" s="711">
        <f>F23</f>
        <v>100</v>
      </c>
      <c r="T23" s="710" t="s">
        <v>17</v>
      </c>
      <c r="U23" s="711">
        <f>H23</f>
        <v>100</v>
      </c>
      <c r="V23" s="710" t="s">
        <v>17</v>
      </c>
      <c r="W23" s="711">
        <f>J23</f>
        <v>100</v>
      </c>
      <c r="X23" s="712"/>
      <c r="Y23" s="3363"/>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363"/>
      <c r="Q24" s="1529"/>
      <c r="R24" s="710"/>
      <c r="S24" s="711"/>
      <c r="T24" s="710"/>
      <c r="U24" s="711"/>
      <c r="V24" s="710"/>
      <c r="W24" s="711"/>
      <c r="X24" s="712"/>
      <c r="Y24" s="3363"/>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63"/>
      <c r="Q25" s="1529" t="str">
        <f t="shared" ref="Q25" si="9">B25</f>
        <v>基础设施水平</v>
      </c>
      <c r="R25" s="710" t="s">
        <v>17</v>
      </c>
      <c r="S25" s="711">
        <f>F25</f>
        <v>100</v>
      </c>
      <c r="T25" s="710" t="s">
        <v>17</v>
      </c>
      <c r="U25" s="711">
        <f>H25</f>
        <v>100</v>
      </c>
      <c r="V25" s="710" t="s">
        <v>17</v>
      </c>
      <c r="W25" s="711">
        <f>J25</f>
        <v>100</v>
      </c>
      <c r="X25" s="712"/>
      <c r="Y25" s="3363"/>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363"/>
      <c r="Q26" s="1529"/>
      <c r="R26" s="710"/>
      <c r="S26" s="711"/>
      <c r="T26" s="710"/>
      <c r="U26" s="711"/>
      <c r="V26" s="710"/>
      <c r="W26" s="711"/>
      <c r="X26" s="712"/>
      <c r="Y26" s="3363"/>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63"/>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63"/>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63"/>
      <c r="Q28" s="1538" t="str">
        <f t="shared" si="8"/>
        <v>毗邻道路的类型与等级</v>
      </c>
      <c r="R28" s="714" t="s">
        <v>17</v>
      </c>
      <c r="S28" s="715">
        <f t="shared" si="10"/>
        <v>100</v>
      </c>
      <c r="T28" s="714" t="s">
        <v>17</v>
      </c>
      <c r="U28" s="715">
        <f t="shared" si="11"/>
        <v>100</v>
      </c>
      <c r="V28" s="714" t="s">
        <v>17</v>
      </c>
      <c r="W28" s="715">
        <f t="shared" si="12"/>
        <v>100</v>
      </c>
      <c r="X28" s="1541"/>
      <c r="Y28" s="3363"/>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363"/>
      <c r="Q29" s="1538"/>
      <c r="R29" s="714"/>
      <c r="S29" s="715"/>
      <c r="T29" s="714"/>
      <c r="U29" s="715"/>
      <c r="V29" s="714"/>
      <c r="W29" s="715"/>
      <c r="X29" s="1541"/>
      <c r="Y29" s="3363"/>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63"/>
      <c r="Q30" s="1538" t="str">
        <f t="shared" si="8"/>
        <v>土地级别</v>
      </c>
      <c r="R30" s="714" t="s">
        <v>17</v>
      </c>
      <c r="S30" s="715">
        <f t="shared" si="10"/>
        <v>100</v>
      </c>
      <c r="T30" s="714" t="s">
        <v>17</v>
      </c>
      <c r="U30" s="715">
        <f t="shared" si="11"/>
        <v>100</v>
      </c>
      <c r="V30" s="714" t="s">
        <v>17</v>
      </c>
      <c r="W30" s="715">
        <f t="shared" si="12"/>
        <v>100</v>
      </c>
      <c r="X30" s="1541"/>
      <c r="Y30" s="3363"/>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63"/>
      <c r="Q31" s="1538">
        <f t="shared" si="8"/>
        <v>111</v>
      </c>
      <c r="R31" s="714" t="s">
        <v>17</v>
      </c>
      <c r="S31" s="715">
        <f t="shared" si="10"/>
        <v>100</v>
      </c>
      <c r="T31" s="714" t="s">
        <v>17</v>
      </c>
      <c r="U31" s="715">
        <f t="shared" si="11"/>
        <v>100</v>
      </c>
      <c r="V31" s="714" t="s">
        <v>17</v>
      </c>
      <c r="W31" s="715">
        <f t="shared" si="12"/>
        <v>100</v>
      </c>
      <c r="X31" s="1541"/>
      <c r="Y31" s="3363"/>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86" t="s">
        <v>2387</v>
      </c>
      <c r="Q32" s="1538">
        <f t="shared" si="8"/>
        <v>111</v>
      </c>
      <c r="R32" s="714" t="s">
        <v>17</v>
      </c>
      <c r="S32" s="715">
        <f t="shared" si="10"/>
        <v>100</v>
      </c>
      <c r="T32" s="714" t="s">
        <v>17</v>
      </c>
      <c r="U32" s="715">
        <f t="shared" si="11"/>
        <v>100</v>
      </c>
      <c r="V32" s="714" t="s">
        <v>17</v>
      </c>
      <c r="W32" s="715">
        <f t="shared" si="12"/>
        <v>100</v>
      </c>
      <c r="X32" s="1541"/>
      <c r="Y32" s="3367"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67"/>
      <c r="Q33" s="1538">
        <f t="shared" si="8"/>
        <v>111</v>
      </c>
      <c r="R33" s="717" t="s">
        <v>17</v>
      </c>
      <c r="S33" s="718">
        <f t="shared" si="10"/>
        <v>100</v>
      </c>
      <c r="T33" s="717" t="s">
        <v>17</v>
      </c>
      <c r="U33" s="718">
        <f t="shared" si="11"/>
        <v>100</v>
      </c>
      <c r="V33" s="717" t="s">
        <v>17</v>
      </c>
      <c r="W33" s="718">
        <f t="shared" si="12"/>
        <v>100</v>
      </c>
      <c r="X33" s="719"/>
      <c r="Y33" s="3367"/>
      <c r="Z33" s="720">
        <f t="shared" si="13"/>
        <v>111</v>
      </c>
      <c r="AA33" s="1539">
        <f t="shared" si="3"/>
        <v>1</v>
      </c>
      <c r="AB33" s="1539">
        <f t="shared" si="4"/>
        <v>1</v>
      </c>
      <c r="AC33" s="1539">
        <f t="shared" si="5"/>
        <v>1</v>
      </c>
    </row>
    <row r="34" spans="1:31" ht="15">
      <c r="A34" s="399" t="s">
        <v>2385</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67"/>
      <c r="Q34" s="1538" t="str">
        <f>B34</f>
        <v>宗地面积</v>
      </c>
      <c r="R34" s="714" t="s">
        <v>17</v>
      </c>
      <c r="S34" s="715" t="e">
        <f t="shared" si="10"/>
        <v>#N/A</v>
      </c>
      <c r="T34" s="714" t="s">
        <v>17</v>
      </c>
      <c r="U34" s="715" t="e">
        <f t="shared" si="11"/>
        <v>#N/A</v>
      </c>
      <c r="V34" s="714" t="s">
        <v>17</v>
      </c>
      <c r="W34" s="715" t="e">
        <f t="shared" si="12"/>
        <v>#N/A</v>
      </c>
      <c r="X34" s="1541"/>
      <c r="Y34" s="3367"/>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367"/>
      <c r="Q35" s="1538" t="str">
        <f t="shared" ref="Q35:Q40" si="14">B35</f>
        <v>宗地形状</v>
      </c>
      <c r="R35" s="714" t="s">
        <v>17</v>
      </c>
      <c r="S35" s="715">
        <f t="shared" si="10"/>
        <v>100</v>
      </c>
      <c r="T35" s="714" t="s">
        <v>17</v>
      </c>
      <c r="U35" s="715">
        <f t="shared" si="11"/>
        <v>100</v>
      </c>
      <c r="V35" s="714" t="s">
        <v>17</v>
      </c>
      <c r="W35" s="715">
        <f t="shared" si="12"/>
        <v>100</v>
      </c>
      <c r="X35" s="1541"/>
      <c r="Y35" s="3367"/>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367"/>
      <c r="Q36" s="1538" t="str">
        <f t="shared" si="14"/>
        <v>宗地开发程度</v>
      </c>
      <c r="R36" s="710" t="s">
        <v>17</v>
      </c>
      <c r="S36" s="711">
        <f t="shared" si="10"/>
        <v>100</v>
      </c>
      <c r="T36" s="710" t="s">
        <v>17</v>
      </c>
      <c r="U36" s="711">
        <f t="shared" si="11"/>
        <v>100</v>
      </c>
      <c r="V36" s="710" t="s">
        <v>17</v>
      </c>
      <c r="W36" s="711">
        <f t="shared" si="12"/>
        <v>100</v>
      </c>
      <c r="X36" s="712"/>
      <c r="Y36" s="3367"/>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367" t="s">
        <v>2387</v>
      </c>
      <c r="Q37" s="1538" t="str">
        <f t="shared" si="14"/>
        <v>工程地质条件</v>
      </c>
      <c r="R37" s="714" t="s">
        <v>17</v>
      </c>
      <c r="S37" s="715">
        <f t="shared" si="10"/>
        <v>100</v>
      </c>
      <c r="T37" s="714" t="s">
        <v>17</v>
      </c>
      <c r="U37" s="715">
        <f t="shared" si="11"/>
        <v>100</v>
      </c>
      <c r="V37" s="714" t="s">
        <v>17</v>
      </c>
      <c r="W37" s="715">
        <f t="shared" si="12"/>
        <v>100</v>
      </c>
      <c r="X37" s="1541"/>
      <c r="Y37" s="3367"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67"/>
      <c r="Q38" s="1538">
        <f t="shared" si="14"/>
        <v>111</v>
      </c>
      <c r="R38" s="714" t="s">
        <v>17</v>
      </c>
      <c r="S38" s="715">
        <f t="shared" si="10"/>
        <v>100</v>
      </c>
      <c r="T38" s="714" t="s">
        <v>17</v>
      </c>
      <c r="U38" s="715">
        <f t="shared" si="11"/>
        <v>100</v>
      </c>
      <c r="V38" s="714" t="s">
        <v>17</v>
      </c>
      <c r="W38" s="715">
        <f t="shared" si="12"/>
        <v>100</v>
      </c>
      <c r="X38" s="1541"/>
      <c r="Y38" s="3367"/>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67"/>
      <c r="Q39" s="1538">
        <f t="shared" si="14"/>
        <v>111</v>
      </c>
      <c r="R39" s="714" t="s">
        <v>17</v>
      </c>
      <c r="S39" s="715">
        <f t="shared" si="10"/>
        <v>100</v>
      </c>
      <c r="T39" s="714" t="s">
        <v>17</v>
      </c>
      <c r="U39" s="715">
        <f t="shared" si="11"/>
        <v>100</v>
      </c>
      <c r="V39" s="714" t="s">
        <v>17</v>
      </c>
      <c r="W39" s="715">
        <f t="shared" si="12"/>
        <v>100</v>
      </c>
      <c r="X39" s="1541"/>
      <c r="Y39" s="3367"/>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67"/>
      <c r="Q40" s="1538">
        <f t="shared" si="14"/>
        <v>111</v>
      </c>
      <c r="R40" s="717" t="s">
        <v>17</v>
      </c>
      <c r="S40" s="718">
        <f t="shared" si="10"/>
        <v>100</v>
      </c>
      <c r="T40" s="717" t="s">
        <v>17</v>
      </c>
      <c r="U40" s="718">
        <f t="shared" si="11"/>
        <v>100</v>
      </c>
      <c r="V40" s="717" t="s">
        <v>17</v>
      </c>
      <c r="W40" s="718">
        <f t="shared" si="12"/>
        <v>100</v>
      </c>
      <c r="X40" s="719"/>
      <c r="Y40" s="3367"/>
      <c r="Z40" s="720">
        <f t="shared" si="13"/>
        <v>111</v>
      </c>
      <c r="AA40" s="1539">
        <f t="shared" si="3"/>
        <v>1</v>
      </c>
      <c r="AB40" s="1539">
        <f t="shared" si="4"/>
        <v>1</v>
      </c>
      <c r="AC40" s="1539">
        <f t="shared" si="5"/>
        <v>1</v>
      </c>
    </row>
    <row r="41" spans="1:31" ht="15">
      <c r="A41" s="438" t="s">
        <v>2542</v>
      </c>
      <c r="B41" s="2170" t="s">
        <v>2621</v>
      </c>
      <c r="C41" s="638" t="s">
        <v>1</v>
      </c>
      <c r="D41" s="440"/>
      <c r="E41" s="441"/>
      <c r="F41" s="442"/>
      <c r="G41" s="443"/>
      <c r="H41" s="444"/>
      <c r="I41" s="441"/>
      <c r="J41" s="444"/>
      <c r="K41" s="723"/>
      <c r="L41" s="2953"/>
      <c r="M41" s="2945"/>
      <c r="N41" s="2945"/>
      <c r="O41" s="2954"/>
      <c r="P41" s="3360" t="str">
        <f>A41</f>
        <v>成交单价</v>
      </c>
      <c r="Q41" s="3360"/>
      <c r="R41" s="3355">
        <f>E41</f>
        <v>0</v>
      </c>
      <c r="S41" s="3355"/>
      <c r="T41" s="3355">
        <f>G41</f>
        <v>0</v>
      </c>
      <c r="U41" s="3355"/>
      <c r="V41" s="3355">
        <f>I41</f>
        <v>0</v>
      </c>
      <c r="W41" s="3355"/>
      <c r="X41" s="699"/>
      <c r="Y41" s="721"/>
      <c r="Z41" s="699"/>
      <c r="AA41" s="699"/>
      <c r="AB41" s="699"/>
      <c r="AC41" s="699"/>
    </row>
    <row r="42" spans="1:31" ht="15.75" thickBot="1">
      <c r="A42" s="445" t="s">
        <v>2491</v>
      </c>
      <c r="B42" s="639"/>
      <c r="C42" s="448" t="e">
        <f>R43</f>
        <v>#DIV/0!</v>
      </c>
      <c r="D42" s="2539" t="s">
        <v>2879</v>
      </c>
      <c r="E42" s="448" t="e">
        <f>R42</f>
        <v>#DIV/0!</v>
      </c>
      <c r="F42" s="2540"/>
      <c r="G42" s="447" t="e">
        <f>T42</f>
        <v>#DIV/0!</v>
      </c>
      <c r="H42" s="2540"/>
      <c r="I42" s="448" t="e">
        <f>V42</f>
        <v>#DIV/0!</v>
      </c>
      <c r="J42" s="2540"/>
      <c r="K42" s="2542">
        <f>F42+H42+J42</f>
        <v>0</v>
      </c>
      <c r="L42" s="2953"/>
      <c r="M42" s="2945"/>
      <c r="N42" s="2945"/>
      <c r="O42" s="2954"/>
      <c r="P42" s="3360" t="str">
        <f>A42</f>
        <v>比较价值（元/平方米）</v>
      </c>
      <c r="Q42" s="3360"/>
      <c r="R42" s="3390" t="e">
        <f>ROUND(PRODUCT(R41,AA7:AA40),0)</f>
        <v>#DIV/0!</v>
      </c>
      <c r="S42" s="3390"/>
      <c r="T42" s="3390" t="e">
        <f>ROUND(PRODUCT(T41,AB7:AB40),0)</f>
        <v>#DIV/0!</v>
      </c>
      <c r="U42" s="3390"/>
      <c r="V42" s="3390" t="e">
        <f>ROUND(PRODUCT(V41,AC7:AC40),0)</f>
        <v>#DIV/0!</v>
      </c>
      <c r="W42" s="3390"/>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3"/>
      <c r="M43" s="2945"/>
      <c r="N43" s="2945"/>
      <c r="O43" s="2954"/>
      <c r="P43" s="3357" t="str">
        <f>A43</f>
        <v>估价对象XX用房的比较价值（楼面单价，元/平方米）</v>
      </c>
      <c r="Q43" s="3358"/>
      <c r="R43" s="3391" t="e">
        <f>ROUND(IF(D42="简单平均",AVERAGE(R42:W42),R42*F42+T42*H42+V42*J42),0)</f>
        <v>#DIV/0!</v>
      </c>
      <c r="S43" s="3391"/>
      <c r="T43" s="3391"/>
      <c r="U43" s="3391"/>
      <c r="V43" s="3391"/>
      <c r="W43" s="3391"/>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71" t="s">
        <v>2581</v>
      </c>
      <c r="D50" s="2172" t="s">
        <v>2582</v>
      </c>
      <c r="E50" s="642" t="s">
        <v>2583</v>
      </c>
      <c r="F50" s="643" t="s">
        <v>2584</v>
      </c>
      <c r="G50" s="3343" t="s">
        <v>2585</v>
      </c>
      <c r="H50" s="3392"/>
      <c r="I50" s="1542" t="s">
        <v>2622</v>
      </c>
      <c r="J50" s="1542">
        <f>项目基本情况!F35</f>
        <v>0</v>
      </c>
      <c r="K50" s="2174"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18583.03</v>
      </c>
      <c r="F51" s="647" t="e">
        <f t="shared" ref="F51:F60" si="15">ROUND(B51*E51/10000,0)</f>
        <v>#DIV/0!</v>
      </c>
      <c r="G51" s="3342"/>
      <c r="H51" s="3360"/>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93" t="s">
        <v>2590</v>
      </c>
      <c r="H52" s="1018" t="str">
        <f>项目基本情况!B37</f>
        <v>三级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93"/>
      <c r="H53" s="1018" t="str">
        <f>项目基本情况!B37</f>
        <v>三级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93"/>
      <c r="H54" s="1018" t="str">
        <f>项目基本情况!B37</f>
        <v>三级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93"/>
      <c r="H55" s="1018" t="str">
        <f>项目基本情况!B37</f>
        <v>三级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5" t="s">
        <v>2590</v>
      </c>
      <c r="H59" s="1018" t="str">
        <f>项目基本情况!B37</f>
        <v>三级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6283.43</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4"/>
      <c r="Q63" s="2954"/>
      <c r="R63" s="2954"/>
      <c r="S63" s="2954"/>
      <c r="T63" s="2954"/>
      <c r="U63" s="2954"/>
      <c r="V63" s="2954"/>
      <c r="W63" s="2954"/>
      <c r="X63" s="2954"/>
      <c r="Y63" s="2954"/>
      <c r="Z63" s="2954"/>
      <c r="AA63" s="2954"/>
      <c r="AB63" s="2954"/>
      <c r="AC63" s="2954"/>
      <c r="AD63" s="2954"/>
      <c r="AE63" s="2954"/>
    </row>
    <row r="64" spans="1:31" ht="21.75" thickBot="1">
      <c r="A64" s="703" t="s">
        <v>2496</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7" t="s">
        <v>2603</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2623</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2407</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2372</v>
      </c>
      <c r="B68" s="467"/>
      <c r="C68" s="479" t="s">
        <v>2474</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2410</v>
      </c>
      <c r="B70" s="485" t="s">
        <v>2376</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2379</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2381</v>
      </c>
      <c r="B83" s="485" t="s">
        <v>2527</v>
      </c>
      <c r="C83" s="530" t="s">
        <v>2419</v>
      </c>
      <c r="D83" s="530" t="s">
        <v>2420</v>
      </c>
      <c r="E83" s="530" t="s">
        <v>2421</v>
      </c>
      <c r="F83" s="530" t="s">
        <v>2422</v>
      </c>
      <c r="G83" s="530" t="s">
        <v>2423</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2424</v>
      </c>
      <c r="C85" s="535" t="s">
        <v>2419</v>
      </c>
      <c r="D85" s="535" t="s">
        <v>2420</v>
      </c>
      <c r="E85" s="535" t="s">
        <v>2421</v>
      </c>
      <c r="F85" s="535" t="s">
        <v>2422</v>
      </c>
      <c r="G85" s="535" t="s">
        <v>2423</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2419</v>
      </c>
      <c r="D87" s="530" t="s">
        <v>2420</v>
      </c>
      <c r="E87" s="530" t="s">
        <v>2421</v>
      </c>
      <c r="F87" s="530" t="s">
        <v>2422</v>
      </c>
      <c r="G87" s="530" t="s">
        <v>2423</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2419</v>
      </c>
      <c r="D89" s="530" t="s">
        <v>2420</v>
      </c>
      <c r="E89" s="530" t="s">
        <v>2421</v>
      </c>
      <c r="F89" s="530" t="s">
        <v>2422</v>
      </c>
      <c r="G89" s="530" t="s">
        <v>2423</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2497</v>
      </c>
      <c r="D93" s="616" t="s">
        <v>2498</v>
      </c>
      <c r="E93" s="616" t="s">
        <v>2499</v>
      </c>
      <c r="F93" s="616" t="s">
        <v>2500</v>
      </c>
      <c r="G93" s="616" t="s">
        <v>2501</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2513</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2385</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8" t="s">
        <v>183</v>
      </c>
      <c r="B18" s="821" t="s">
        <v>560</v>
      </c>
      <c r="C18" s="822" t="s">
        <v>561</v>
      </c>
      <c r="D18" s="823"/>
      <c r="E18" s="821">
        <v>1</v>
      </c>
      <c r="F18" s="824" t="s">
        <v>562</v>
      </c>
      <c r="G18" s="825"/>
      <c r="H18" s="817"/>
      <c r="I18" s="817"/>
    </row>
    <row r="19" spans="1:9" s="826" customFormat="1" ht="19.5" customHeight="1">
      <c r="A19" s="3398"/>
      <c r="B19" s="3398" t="s">
        <v>563</v>
      </c>
      <c r="C19" s="822" t="s">
        <v>564</v>
      </c>
      <c r="D19" s="823"/>
      <c r="E19" s="821">
        <v>0.9</v>
      </c>
      <c r="F19" s="824" t="s">
        <v>565</v>
      </c>
      <c r="G19" s="825"/>
      <c r="H19" s="817"/>
      <c r="I19" s="817"/>
    </row>
    <row r="20" spans="1:9" s="826" customFormat="1" ht="19.5" customHeight="1">
      <c r="A20" s="3398"/>
      <c r="B20" s="3398"/>
      <c r="C20" s="822" t="s">
        <v>566</v>
      </c>
      <c r="D20" s="823"/>
      <c r="E20" s="821">
        <v>1.1000000000000001</v>
      </c>
      <c r="F20" s="824" t="s">
        <v>567</v>
      </c>
      <c r="G20" s="825"/>
      <c r="H20" s="817"/>
      <c r="I20" s="817"/>
    </row>
    <row r="21" spans="1:9" s="826" customFormat="1" ht="19.5" customHeight="1">
      <c r="A21" s="3398"/>
      <c r="B21" s="3398"/>
      <c r="C21" s="822" t="s">
        <v>568</v>
      </c>
      <c r="D21" s="823"/>
      <c r="E21" s="821">
        <v>0.8</v>
      </c>
      <c r="F21" s="824" t="s">
        <v>569</v>
      </c>
      <c r="G21" s="825"/>
      <c r="H21" s="817"/>
      <c r="I21" s="817"/>
    </row>
    <row r="22" spans="1:9" s="826" customFormat="1" ht="19.5" customHeight="1">
      <c r="A22" s="3398"/>
      <c r="B22" s="3398"/>
      <c r="C22" s="822" t="s">
        <v>570</v>
      </c>
      <c r="D22" s="823"/>
      <c r="E22" s="821">
        <v>0.5</v>
      </c>
      <c r="F22" s="824"/>
      <c r="G22" s="825"/>
      <c r="H22" s="817"/>
      <c r="I22" s="817"/>
    </row>
    <row r="23" spans="1:9" s="826" customFormat="1" ht="19.5" customHeight="1">
      <c r="A23" s="3398" t="s">
        <v>184</v>
      </c>
      <c r="B23" s="821" t="s">
        <v>560</v>
      </c>
      <c r="C23" s="822" t="s">
        <v>571</v>
      </c>
      <c r="D23" s="823"/>
      <c r="E23" s="821">
        <v>1</v>
      </c>
      <c r="F23" s="824" t="s">
        <v>572</v>
      </c>
      <c r="G23" s="825"/>
      <c r="H23" s="817"/>
      <c r="I23" s="817"/>
    </row>
    <row r="24" spans="1:9" s="826" customFormat="1" ht="19.5" customHeight="1">
      <c r="A24" s="3398"/>
      <c r="B24" s="3398" t="s">
        <v>563</v>
      </c>
      <c r="C24" s="822" t="s">
        <v>573</v>
      </c>
      <c r="D24" s="823"/>
      <c r="E24" s="821">
        <v>0.5</v>
      </c>
      <c r="F24" s="824"/>
      <c r="G24" s="825"/>
      <c r="H24" s="817"/>
      <c r="I24" s="817"/>
    </row>
    <row r="25" spans="1:9" s="826" customFormat="1" ht="19.5" customHeight="1">
      <c r="A25" s="3398"/>
      <c r="B25" s="3398"/>
      <c r="C25" s="822" t="s">
        <v>574</v>
      </c>
      <c r="D25" s="823"/>
      <c r="E25" s="821">
        <v>1.1000000000000001</v>
      </c>
      <c r="F25" s="824"/>
      <c r="G25" s="825"/>
      <c r="H25" s="817"/>
      <c r="I25" s="817"/>
    </row>
    <row r="26" spans="1:9" s="826" customFormat="1" ht="19.5" customHeight="1">
      <c r="A26" s="3398"/>
      <c r="B26" s="3398"/>
      <c r="C26" s="822" t="s">
        <v>575</v>
      </c>
      <c r="D26" s="823"/>
      <c r="E26" s="821">
        <v>1.1000000000000001</v>
      </c>
      <c r="F26" s="824"/>
      <c r="G26" s="825"/>
      <c r="H26" s="817"/>
      <c r="I26" s="817"/>
    </row>
    <row r="27" spans="1:9" s="826" customFormat="1" ht="19.5" customHeight="1">
      <c r="A27" s="3398"/>
      <c r="B27" s="3398"/>
      <c r="C27" s="822" t="s">
        <v>576</v>
      </c>
      <c r="D27" s="823"/>
      <c r="E27" s="821">
        <v>0.9</v>
      </c>
      <c r="F27" s="824" t="s">
        <v>577</v>
      </c>
      <c r="G27" s="825"/>
      <c r="H27" s="817"/>
      <c r="I27" s="817"/>
    </row>
    <row r="28" spans="1:9" s="826" customFormat="1" ht="19.5" customHeight="1">
      <c r="A28" s="3398"/>
      <c r="B28" s="3398"/>
      <c r="C28" s="822" t="s">
        <v>578</v>
      </c>
      <c r="D28" s="823"/>
      <c r="E28" s="821">
        <v>0.9</v>
      </c>
      <c r="F28" s="824" t="s">
        <v>579</v>
      </c>
      <c r="G28" s="825"/>
      <c r="H28" s="817"/>
      <c r="I28" s="817"/>
    </row>
    <row r="29" spans="1:9" s="826" customFormat="1" ht="19.5" customHeight="1">
      <c r="A29" s="3398"/>
      <c r="B29" s="3398"/>
      <c r="C29" s="822" t="s">
        <v>580</v>
      </c>
      <c r="D29" s="823"/>
      <c r="E29" s="821">
        <v>0.9</v>
      </c>
      <c r="F29" s="824" t="s">
        <v>581</v>
      </c>
      <c r="G29" s="825"/>
      <c r="H29" s="817"/>
      <c r="I29" s="817"/>
    </row>
    <row r="30" spans="1:9" s="826" customFormat="1" ht="19.5" customHeight="1">
      <c r="A30" s="3398"/>
      <c r="B30" s="3398"/>
      <c r="C30" s="822" t="s">
        <v>582</v>
      </c>
      <c r="D30" s="823"/>
      <c r="E30" s="821">
        <v>0.9</v>
      </c>
      <c r="F30" s="824" t="s">
        <v>583</v>
      </c>
      <c r="G30" s="825"/>
      <c r="H30" s="817"/>
      <c r="I30" s="817"/>
    </row>
    <row r="31" spans="1:9" s="826" customFormat="1" ht="19.5" customHeight="1">
      <c r="A31" s="3398"/>
      <c r="B31" s="3398"/>
      <c r="C31" s="822" t="s">
        <v>584</v>
      </c>
      <c r="D31" s="823"/>
      <c r="E31" s="821">
        <v>0.8</v>
      </c>
      <c r="F31" s="824" t="s">
        <v>585</v>
      </c>
      <c r="G31" s="825"/>
      <c r="H31" s="817"/>
      <c r="I31" s="817"/>
    </row>
    <row r="32" spans="1:9" s="826" customFormat="1" ht="19.5" customHeight="1">
      <c r="A32" s="3398"/>
      <c r="B32" s="3398"/>
      <c r="C32" s="822" t="s">
        <v>586</v>
      </c>
      <c r="D32" s="823"/>
      <c r="E32" s="821">
        <v>0.8</v>
      </c>
      <c r="F32" s="824" t="s">
        <v>587</v>
      </c>
      <c r="G32" s="825"/>
      <c r="H32" s="817"/>
      <c r="I32" s="817"/>
    </row>
    <row r="33" spans="1:9" s="826" customFormat="1" ht="19.5" customHeight="1">
      <c r="A33" s="3398" t="s">
        <v>185</v>
      </c>
      <c r="B33" s="821" t="s">
        <v>560</v>
      </c>
      <c r="C33" s="822" t="s">
        <v>588</v>
      </c>
      <c r="D33" s="823"/>
      <c r="E33" s="821">
        <v>1</v>
      </c>
      <c r="F33" s="824" t="s">
        <v>589</v>
      </c>
      <c r="G33" s="825"/>
      <c r="H33" s="817"/>
      <c r="I33" s="817"/>
    </row>
    <row r="34" spans="1:9" s="826" customFormat="1" ht="19.5" customHeight="1">
      <c r="A34" s="3398"/>
      <c r="B34" s="821" t="s">
        <v>563</v>
      </c>
      <c r="C34" s="822" t="s">
        <v>590</v>
      </c>
      <c r="D34" s="823"/>
      <c r="E34" s="821">
        <v>1.5</v>
      </c>
      <c r="F34" s="824" t="s">
        <v>591</v>
      </c>
      <c r="G34" s="825"/>
      <c r="H34" s="817"/>
      <c r="I34" s="817"/>
    </row>
    <row r="35" spans="1:9" s="826" customFormat="1" ht="19.5" customHeight="1">
      <c r="A35" s="3398" t="s">
        <v>186</v>
      </c>
      <c r="B35" s="821" t="s">
        <v>560</v>
      </c>
      <c r="C35" s="822" t="s">
        <v>592</v>
      </c>
      <c r="D35" s="823"/>
      <c r="E35" s="821">
        <v>1</v>
      </c>
      <c r="F35" s="824" t="s">
        <v>593</v>
      </c>
      <c r="G35" s="825"/>
      <c r="H35" s="817"/>
      <c r="I35" s="817"/>
    </row>
    <row r="36" spans="1:9" s="826" customFormat="1" ht="19.5" customHeight="1">
      <c r="A36" s="3398"/>
      <c r="B36" s="3398" t="s">
        <v>563</v>
      </c>
      <c r="C36" s="822" t="s">
        <v>594</v>
      </c>
      <c r="D36" s="823"/>
      <c r="E36" s="821">
        <v>1</v>
      </c>
      <c r="F36" s="824" t="s">
        <v>595</v>
      </c>
      <c r="G36" s="825"/>
      <c r="H36" s="817"/>
      <c r="I36" s="817"/>
    </row>
    <row r="37" spans="1:9" s="826" customFormat="1" ht="19.5" customHeight="1">
      <c r="A37" s="3398"/>
      <c r="B37" s="3398"/>
      <c r="C37" s="822" t="s">
        <v>596</v>
      </c>
      <c r="D37" s="823"/>
      <c r="E37" s="821">
        <v>1.5</v>
      </c>
      <c r="F37" s="824" t="s">
        <v>597</v>
      </c>
      <c r="G37" s="825"/>
      <c r="H37" s="817"/>
      <c r="I37" s="817"/>
    </row>
    <row r="38" spans="1:9" s="826" customFormat="1" ht="19.5" customHeight="1">
      <c r="A38" s="3398"/>
      <c r="B38" s="3398"/>
      <c r="C38" s="822" t="s">
        <v>598</v>
      </c>
      <c r="D38" s="823"/>
      <c r="E38" s="821">
        <v>1</v>
      </c>
      <c r="F38" s="824" t="s">
        <v>599</v>
      </c>
      <c r="G38" s="825"/>
      <c r="H38" s="817"/>
      <c r="I38" s="817"/>
    </row>
    <row r="39" spans="1:9" s="826" customFormat="1" ht="19.5" customHeight="1">
      <c r="A39" s="3398"/>
      <c r="B39" s="339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8" t="s">
        <v>614</v>
      </c>
      <c r="C61" s="757" t="s">
        <v>615</v>
      </c>
      <c r="D61" s="757" t="s">
        <v>616</v>
      </c>
      <c r="E61" s="834">
        <v>0.5</v>
      </c>
      <c r="F61" s="821">
        <v>80</v>
      </c>
    </row>
    <row r="62" spans="1:8" s="817" customFormat="1" ht="24">
      <c r="A62" s="821">
        <v>2</v>
      </c>
      <c r="B62" s="3398"/>
      <c r="C62" s="757" t="s">
        <v>617</v>
      </c>
      <c r="D62" s="757" t="s">
        <v>618</v>
      </c>
      <c r="E62" s="834">
        <v>0.5</v>
      </c>
      <c r="F62" s="821">
        <v>80</v>
      </c>
    </row>
    <row r="63" spans="1:8" s="817" customFormat="1" ht="36">
      <c r="A63" s="821">
        <v>3</v>
      </c>
      <c r="B63" s="3398"/>
      <c r="C63" s="757" t="s">
        <v>619</v>
      </c>
      <c r="D63" s="757" t="s">
        <v>620</v>
      </c>
      <c r="E63" s="834">
        <v>0.5</v>
      </c>
      <c r="F63" s="821">
        <v>80</v>
      </c>
    </row>
    <row r="64" spans="1:8" s="817" customFormat="1" ht="36">
      <c r="A64" s="821">
        <v>4</v>
      </c>
      <c r="B64" s="3398"/>
      <c r="C64" s="757" t="s">
        <v>621</v>
      </c>
      <c r="D64" s="757" t="s">
        <v>622</v>
      </c>
      <c r="E64" s="834">
        <v>0.4</v>
      </c>
      <c r="F64" s="821">
        <v>60</v>
      </c>
    </row>
    <row r="65" spans="1:6" s="817" customFormat="1" ht="36">
      <c r="A65" s="821">
        <v>5</v>
      </c>
      <c r="B65" s="3398"/>
      <c r="C65" s="757" t="s">
        <v>623</v>
      </c>
      <c r="D65" s="757" t="s">
        <v>624</v>
      </c>
      <c r="E65" s="834">
        <v>0.2</v>
      </c>
      <c r="F65" s="821">
        <v>30</v>
      </c>
    </row>
    <row r="66" spans="1:6" s="817" customFormat="1" ht="36">
      <c r="A66" s="821">
        <v>6</v>
      </c>
      <c r="B66" s="3398"/>
      <c r="C66" s="757" t="s">
        <v>625</v>
      </c>
      <c r="D66" s="757" t="s">
        <v>626</v>
      </c>
      <c r="E66" s="834">
        <v>0.3</v>
      </c>
      <c r="F66" s="821">
        <v>50</v>
      </c>
    </row>
    <row r="67" spans="1:6" s="817" customFormat="1" ht="36">
      <c r="A67" s="821">
        <v>7</v>
      </c>
      <c r="B67" s="3398"/>
      <c r="C67" s="757" t="s">
        <v>627</v>
      </c>
      <c r="D67" s="757" t="s">
        <v>628</v>
      </c>
      <c r="E67" s="834">
        <v>0.2</v>
      </c>
      <c r="F67" s="821">
        <v>30</v>
      </c>
    </row>
    <row r="68" spans="1:6" s="817" customFormat="1" ht="36">
      <c r="A68" s="821">
        <v>8</v>
      </c>
      <c r="B68" s="3398"/>
      <c r="C68" s="757" t="s">
        <v>629</v>
      </c>
      <c r="D68" s="757" t="s">
        <v>630</v>
      </c>
      <c r="E68" s="834">
        <v>0.2</v>
      </c>
      <c r="F68" s="821">
        <v>30</v>
      </c>
    </row>
    <row r="69" spans="1:6" s="817" customFormat="1" ht="36">
      <c r="A69" s="821">
        <v>9</v>
      </c>
      <c r="B69" s="3398"/>
      <c r="C69" s="757" t="s">
        <v>631</v>
      </c>
      <c r="D69" s="757" t="s">
        <v>632</v>
      </c>
      <c r="E69" s="834">
        <v>0.2</v>
      </c>
      <c r="F69" s="821">
        <v>30</v>
      </c>
    </row>
    <row r="70" spans="1:6" s="817" customFormat="1" ht="48">
      <c r="A70" s="821">
        <v>10</v>
      </c>
      <c r="B70" s="3398"/>
      <c r="C70" s="757" t="s">
        <v>633</v>
      </c>
      <c r="D70" s="757" t="s">
        <v>634</v>
      </c>
      <c r="E70" s="834">
        <v>0.2</v>
      </c>
      <c r="F70" s="821">
        <v>30</v>
      </c>
    </row>
    <row r="71" spans="1:6" s="817" customFormat="1" ht="48">
      <c r="A71" s="821">
        <v>11</v>
      </c>
      <c r="B71" s="3398"/>
      <c r="C71" s="757" t="s">
        <v>635</v>
      </c>
      <c r="D71" s="757" t="s">
        <v>636</v>
      </c>
      <c r="E71" s="834">
        <v>0.2</v>
      </c>
      <c r="F71" s="821">
        <v>30</v>
      </c>
    </row>
    <row r="72" spans="1:6" s="817" customFormat="1" ht="36">
      <c r="A72" s="821">
        <v>12</v>
      </c>
      <c r="B72" s="3398"/>
      <c r="C72" s="757" t="s">
        <v>637</v>
      </c>
      <c r="D72" s="757" t="s">
        <v>638</v>
      </c>
      <c r="E72" s="834">
        <v>0.5</v>
      </c>
      <c r="F72" s="821">
        <v>80</v>
      </c>
    </row>
    <row r="73" spans="1:6" s="817" customFormat="1" ht="24">
      <c r="A73" s="821">
        <v>13</v>
      </c>
      <c r="B73" s="3398"/>
      <c r="C73" s="757" t="s">
        <v>639</v>
      </c>
      <c r="D73" s="757" t="s">
        <v>640</v>
      </c>
      <c r="E73" s="834">
        <v>0.4</v>
      </c>
      <c r="F73" s="821">
        <v>60</v>
      </c>
    </row>
    <row r="74" spans="1:6" s="817" customFormat="1" ht="24">
      <c r="A74" s="821">
        <v>14</v>
      </c>
      <c r="B74" s="3398"/>
      <c r="C74" s="757" t="s">
        <v>641</v>
      </c>
      <c r="D74" s="757" t="s">
        <v>642</v>
      </c>
      <c r="E74" s="834">
        <v>0.2</v>
      </c>
      <c r="F74" s="821">
        <v>30</v>
      </c>
    </row>
    <row r="75" spans="1:6" s="817" customFormat="1" ht="24">
      <c r="A75" s="821">
        <v>15</v>
      </c>
      <c r="B75" s="3398"/>
      <c r="C75" s="757" t="s">
        <v>643</v>
      </c>
      <c r="D75" s="757" t="s">
        <v>644</v>
      </c>
      <c r="E75" s="834">
        <v>0.2</v>
      </c>
      <c r="F75" s="821">
        <v>30</v>
      </c>
    </row>
    <row r="76" spans="1:6" s="817" customFormat="1" ht="24">
      <c r="A76" s="821">
        <v>16</v>
      </c>
      <c r="B76" s="3398" t="s">
        <v>645</v>
      </c>
      <c r="C76" s="757" t="s">
        <v>646</v>
      </c>
      <c r="D76" s="757" t="s">
        <v>647</v>
      </c>
      <c r="E76" s="834">
        <v>0.5</v>
      </c>
      <c r="F76" s="821">
        <v>80</v>
      </c>
    </row>
    <row r="77" spans="1:6" s="817" customFormat="1" ht="24">
      <c r="A77" s="821">
        <v>17</v>
      </c>
      <c r="B77" s="3398"/>
      <c r="C77" s="757" t="s">
        <v>648</v>
      </c>
      <c r="D77" s="757" t="s">
        <v>649</v>
      </c>
      <c r="E77" s="834">
        <v>0.5</v>
      </c>
      <c r="F77" s="821">
        <v>80</v>
      </c>
    </row>
    <row r="78" spans="1:6" s="817" customFormat="1" ht="24">
      <c r="A78" s="821">
        <v>18</v>
      </c>
      <c r="B78" s="3398"/>
      <c r="C78" s="757" t="s">
        <v>650</v>
      </c>
      <c r="D78" s="757" t="s">
        <v>651</v>
      </c>
      <c r="E78" s="834">
        <v>0.2</v>
      </c>
      <c r="F78" s="821">
        <v>30</v>
      </c>
    </row>
    <row r="79" spans="1:6" s="817" customFormat="1" ht="24">
      <c r="A79" s="821">
        <v>19</v>
      </c>
      <c r="B79" s="3398"/>
      <c r="C79" s="757" t="s">
        <v>652</v>
      </c>
      <c r="D79" s="757" t="s">
        <v>653</v>
      </c>
      <c r="E79" s="834">
        <v>0.5</v>
      </c>
      <c r="F79" s="821">
        <v>80</v>
      </c>
    </row>
    <row r="80" spans="1:6" s="817" customFormat="1" ht="36">
      <c r="A80" s="821">
        <v>20</v>
      </c>
      <c r="B80" s="3398"/>
      <c r="C80" s="757" t="s">
        <v>654</v>
      </c>
      <c r="D80" s="757" t="s">
        <v>655</v>
      </c>
      <c r="E80" s="834">
        <v>0.2</v>
      </c>
      <c r="F80" s="821">
        <v>30</v>
      </c>
    </row>
    <row r="81" spans="1:6" s="817" customFormat="1" ht="36">
      <c r="A81" s="821">
        <v>21</v>
      </c>
      <c r="B81" s="3398"/>
      <c r="C81" s="757" t="s">
        <v>656</v>
      </c>
      <c r="D81" s="757" t="s">
        <v>657</v>
      </c>
      <c r="E81" s="834">
        <v>0.2</v>
      </c>
      <c r="F81" s="821">
        <v>30</v>
      </c>
    </row>
    <row r="82" spans="1:6" s="817" customFormat="1" ht="48">
      <c r="A82" s="821">
        <v>22</v>
      </c>
      <c r="B82" s="3398"/>
      <c r="C82" s="757" t="s">
        <v>658</v>
      </c>
      <c r="D82" s="757" t="s">
        <v>659</v>
      </c>
      <c r="E82" s="834">
        <v>0.2</v>
      </c>
      <c r="F82" s="821">
        <v>30</v>
      </c>
    </row>
    <row r="83" spans="1:6" s="817" customFormat="1" ht="48">
      <c r="A83" s="821">
        <v>23</v>
      </c>
      <c r="B83" s="3398"/>
      <c r="C83" s="757" t="s">
        <v>660</v>
      </c>
      <c r="D83" s="757" t="s">
        <v>661</v>
      </c>
      <c r="E83" s="834">
        <v>0.2</v>
      </c>
      <c r="F83" s="821">
        <v>30</v>
      </c>
    </row>
    <row r="84" spans="1:6" s="817" customFormat="1" ht="36">
      <c r="A84" s="821">
        <v>24</v>
      </c>
      <c r="B84" s="3398"/>
      <c r="C84" s="757" t="s">
        <v>662</v>
      </c>
      <c r="D84" s="757" t="s">
        <v>663</v>
      </c>
      <c r="E84" s="834">
        <v>0.2</v>
      </c>
      <c r="F84" s="821">
        <v>30</v>
      </c>
    </row>
    <row r="85" spans="1:6" s="817" customFormat="1" ht="36">
      <c r="A85" s="821">
        <v>25</v>
      </c>
      <c r="B85" s="3398"/>
      <c r="C85" s="757" t="s">
        <v>664</v>
      </c>
      <c r="D85" s="757" t="s">
        <v>665</v>
      </c>
      <c r="E85" s="834">
        <v>0.5</v>
      </c>
      <c r="F85" s="821">
        <v>80</v>
      </c>
    </row>
    <row r="86" spans="1:6" s="817" customFormat="1" ht="36">
      <c r="A86" s="821">
        <v>26</v>
      </c>
      <c r="B86" s="3398"/>
      <c r="C86" s="757" t="s">
        <v>666</v>
      </c>
      <c r="D86" s="757" t="s">
        <v>667</v>
      </c>
      <c r="E86" s="834">
        <v>0.2</v>
      </c>
      <c r="F86" s="821">
        <v>30</v>
      </c>
    </row>
    <row r="87" spans="1:6" s="817" customFormat="1" ht="36">
      <c r="A87" s="821">
        <v>27</v>
      </c>
      <c r="B87" s="3398"/>
      <c r="C87" s="757" t="s">
        <v>668</v>
      </c>
      <c r="D87" s="757" t="s">
        <v>669</v>
      </c>
      <c r="E87" s="834">
        <v>0.2</v>
      </c>
      <c r="F87" s="821">
        <v>30</v>
      </c>
    </row>
    <row r="88" spans="1:6" s="817" customFormat="1" ht="36">
      <c r="A88" s="821">
        <v>28</v>
      </c>
      <c r="B88" s="3398"/>
      <c r="C88" s="757" t="s">
        <v>670</v>
      </c>
      <c r="D88" s="757" t="s">
        <v>671</v>
      </c>
      <c r="E88" s="834">
        <v>0.2</v>
      </c>
      <c r="F88" s="821">
        <v>30</v>
      </c>
    </row>
    <row r="89" spans="1:6" s="817" customFormat="1" ht="24">
      <c r="A89" s="821">
        <v>29</v>
      </c>
      <c r="B89" s="3398"/>
      <c r="C89" s="757" t="s">
        <v>672</v>
      </c>
      <c r="D89" s="757" t="s">
        <v>673</v>
      </c>
      <c r="E89" s="834">
        <v>0.2</v>
      </c>
      <c r="F89" s="821">
        <v>30</v>
      </c>
    </row>
    <row r="90" spans="1:6" s="817" customFormat="1" ht="24">
      <c r="A90" s="821">
        <v>30</v>
      </c>
      <c r="B90" s="3398"/>
      <c r="C90" s="757" t="s">
        <v>674</v>
      </c>
      <c r="D90" s="757" t="s">
        <v>675</v>
      </c>
      <c r="E90" s="834">
        <v>0.2</v>
      </c>
      <c r="F90" s="821">
        <v>30</v>
      </c>
    </row>
    <row r="91" spans="1:6" s="817" customFormat="1" ht="36">
      <c r="A91" s="821">
        <v>31</v>
      </c>
      <c r="B91" s="3398"/>
      <c r="C91" s="757" t="s">
        <v>676</v>
      </c>
      <c r="D91" s="757" t="s">
        <v>677</v>
      </c>
      <c r="E91" s="834">
        <v>0.2</v>
      </c>
      <c r="F91" s="821">
        <v>30</v>
      </c>
    </row>
    <row r="92" spans="1:6" s="817" customFormat="1" ht="24">
      <c r="A92" s="821">
        <v>32</v>
      </c>
      <c r="B92" s="3398" t="s">
        <v>678</v>
      </c>
      <c r="C92" s="821" t="s">
        <v>679</v>
      </c>
      <c r="D92" s="757" t="s">
        <v>680</v>
      </c>
      <c r="E92" s="834">
        <v>0.2</v>
      </c>
      <c r="F92" s="821">
        <v>30</v>
      </c>
    </row>
    <row r="93" spans="1:6" s="817" customFormat="1" ht="36">
      <c r="A93" s="821">
        <v>33</v>
      </c>
      <c r="B93" s="3398"/>
      <c r="C93" s="821" t="s">
        <v>681</v>
      </c>
      <c r="D93" s="757" t="s">
        <v>682</v>
      </c>
      <c r="E93" s="834">
        <v>0.2</v>
      </c>
      <c r="F93" s="821">
        <v>30</v>
      </c>
    </row>
    <row r="94" spans="1:6" s="817" customFormat="1" ht="48">
      <c r="A94" s="821">
        <v>34</v>
      </c>
      <c r="B94" s="3398"/>
      <c r="C94" s="821" t="s">
        <v>683</v>
      </c>
      <c r="D94" s="757" t="s">
        <v>684</v>
      </c>
      <c r="E94" s="834">
        <v>0.2</v>
      </c>
      <c r="F94" s="821">
        <v>30</v>
      </c>
    </row>
    <row r="95" spans="1:6" s="817" customFormat="1" ht="36">
      <c r="A95" s="821">
        <v>35</v>
      </c>
      <c r="B95" s="3398"/>
      <c r="C95" s="821" t="s">
        <v>685</v>
      </c>
      <c r="D95" s="757" t="s">
        <v>686</v>
      </c>
      <c r="E95" s="834">
        <v>0.2</v>
      </c>
      <c r="F95" s="821">
        <v>30</v>
      </c>
    </row>
    <row r="96" spans="1:6" s="817" customFormat="1" ht="48">
      <c r="A96" s="821">
        <v>36</v>
      </c>
      <c r="B96" s="3398"/>
      <c r="C96" s="757" t="s">
        <v>687</v>
      </c>
      <c r="D96" s="757" t="s">
        <v>688</v>
      </c>
      <c r="E96" s="834">
        <v>0.2</v>
      </c>
      <c r="F96" s="821">
        <v>30</v>
      </c>
    </row>
    <row r="97" spans="1:6" s="817" customFormat="1" ht="36">
      <c r="A97" s="821">
        <v>37</v>
      </c>
      <c r="B97" s="3398"/>
      <c r="C97" s="821" t="s">
        <v>689</v>
      </c>
      <c r="D97" s="757" t="s">
        <v>690</v>
      </c>
      <c r="E97" s="834">
        <v>0.2</v>
      </c>
      <c r="F97" s="821">
        <v>30</v>
      </c>
    </row>
    <row r="98" spans="1:6" s="817" customFormat="1" ht="36">
      <c r="A98" s="821">
        <v>38</v>
      </c>
      <c r="B98" s="3398"/>
      <c r="C98" s="821" t="s">
        <v>691</v>
      </c>
      <c r="D98" s="757" t="s">
        <v>692</v>
      </c>
      <c r="E98" s="834">
        <v>0.2</v>
      </c>
      <c r="F98" s="821">
        <v>30</v>
      </c>
    </row>
    <row r="99" spans="1:6" s="817" customFormat="1" ht="36">
      <c r="A99" s="821">
        <v>39</v>
      </c>
      <c r="B99" s="3398" t="s">
        <v>693</v>
      </c>
      <c r="C99" s="821" t="s">
        <v>694</v>
      </c>
      <c r="D99" s="757" t="s">
        <v>695</v>
      </c>
      <c r="E99" s="834">
        <v>0.3</v>
      </c>
      <c r="F99" s="821">
        <v>50</v>
      </c>
    </row>
    <row r="100" spans="1:6" s="817" customFormat="1" ht="24">
      <c r="A100" s="821">
        <v>40</v>
      </c>
      <c r="B100" s="3398"/>
      <c r="C100" s="821" t="s">
        <v>696</v>
      </c>
      <c r="D100" s="757" t="s">
        <v>697</v>
      </c>
      <c r="E100" s="834">
        <v>0.2</v>
      </c>
      <c r="F100" s="821">
        <v>30</v>
      </c>
    </row>
    <row r="101" spans="1:6" s="817" customFormat="1" ht="36">
      <c r="A101" s="821">
        <v>41</v>
      </c>
      <c r="B101" s="339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8" t="s">
        <v>708</v>
      </c>
      <c r="C105" s="821" t="s">
        <v>709</v>
      </c>
      <c r="D105" s="757" t="s">
        <v>710</v>
      </c>
      <c r="E105" s="834">
        <v>0.2</v>
      </c>
      <c r="F105" s="821">
        <v>30</v>
      </c>
    </row>
    <row r="106" spans="1:6" s="817" customFormat="1" ht="36">
      <c r="A106" s="821">
        <v>46</v>
      </c>
      <c r="B106" s="3398"/>
      <c r="C106" s="821" t="s">
        <v>711</v>
      </c>
      <c r="D106" s="757" t="s">
        <v>712</v>
      </c>
      <c r="E106" s="834">
        <v>0.2</v>
      </c>
      <c r="F106" s="821">
        <v>30</v>
      </c>
    </row>
    <row r="107" spans="1:6" s="817" customFormat="1" ht="36">
      <c r="A107" s="821">
        <v>47</v>
      </c>
      <c r="B107" s="3398" t="s">
        <v>713</v>
      </c>
      <c r="C107" s="821" t="s">
        <v>714</v>
      </c>
      <c r="D107" s="757" t="s">
        <v>715</v>
      </c>
      <c r="E107" s="834">
        <v>0.3</v>
      </c>
      <c r="F107" s="821">
        <v>50</v>
      </c>
    </row>
    <row r="108" spans="1:6" s="817" customFormat="1" ht="36">
      <c r="A108" s="821">
        <v>48</v>
      </c>
      <c r="B108" s="339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8" t="s">
        <v>724</v>
      </c>
      <c r="C111" s="821" t="s">
        <v>725</v>
      </c>
      <c r="D111" s="757" t="s">
        <v>726</v>
      </c>
      <c r="E111" s="834">
        <v>0.2</v>
      </c>
      <c r="F111" s="821">
        <v>30</v>
      </c>
    </row>
    <row r="112" spans="1:6" s="817" customFormat="1" ht="24">
      <c r="A112" s="821">
        <v>52</v>
      </c>
      <c r="B112" s="3398"/>
      <c r="C112" s="821" t="s">
        <v>727</v>
      </c>
      <c r="D112" s="757" t="s">
        <v>728</v>
      </c>
      <c r="E112" s="834">
        <v>0.2</v>
      </c>
      <c r="F112" s="821">
        <v>30</v>
      </c>
    </row>
    <row r="113" spans="1:6" s="817" customFormat="1" ht="24">
      <c r="A113" s="821">
        <v>53</v>
      </c>
      <c r="B113" s="339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8" t="s">
        <v>737</v>
      </c>
      <c r="C116" s="821" t="s">
        <v>738</v>
      </c>
      <c r="D116" s="757" t="s">
        <v>739</v>
      </c>
      <c r="E116" s="834">
        <v>0.2</v>
      </c>
      <c r="F116" s="821">
        <v>30</v>
      </c>
    </row>
    <row r="117" spans="1:6" ht="36">
      <c r="A117" s="821">
        <v>57</v>
      </c>
      <c r="B117" s="339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0.95330000000000004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4"/>
      <c r="G1" s="3024"/>
      <c r="H1" s="3024"/>
      <c r="I1" s="3024"/>
      <c r="J1" s="3024"/>
      <c r="K1" s="3024"/>
      <c r="L1" s="3024"/>
      <c r="M1" s="3024"/>
      <c r="N1" s="3024"/>
      <c r="O1" s="3024"/>
      <c r="P1" s="3024"/>
    </row>
    <row r="2" spans="1:16" ht="15.75">
      <c r="A2" s="2363" t="s">
        <v>2813</v>
      </c>
      <c r="B2" s="2828">
        <f ca="1">SUMIF(B6:B13,"&lt;&gt;#ref!",B6:B13)</f>
        <v>57684</v>
      </c>
      <c r="C2" s="2363" t="s">
        <v>2814</v>
      </c>
      <c r="D2" s="2363" t="s">
        <v>2815</v>
      </c>
      <c r="E2" s="2838">
        <f ca="1">SUMIF(E6:E13,"&lt;&gt;#ref!",E6:E13)</f>
        <v>6194.34</v>
      </c>
      <c r="F2" s="3024"/>
      <c r="G2" s="3024"/>
      <c r="H2" s="3024"/>
      <c r="I2" s="3024"/>
      <c r="J2" s="3024"/>
      <c r="K2" s="3024"/>
      <c r="L2" s="3024"/>
      <c r="M2" s="3024"/>
      <c r="N2" s="3024"/>
      <c r="O2" s="3024"/>
      <c r="P2" s="3024"/>
    </row>
    <row r="3" spans="1:16" ht="15.75">
      <c r="A3" s="2363" t="s">
        <v>2816</v>
      </c>
      <c r="B3" s="2828">
        <f ca="1">ROUND(B2*10000/E2,0)</f>
        <v>93124</v>
      </c>
      <c r="C3" s="2363"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4"/>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57684</v>
      </c>
      <c r="C6" s="2363" t="s">
        <v>2814</v>
      </c>
      <c r="D6" s="3024"/>
      <c r="E6" s="2838">
        <f ca="1">SUMIF(INDIRECT("'"&amp;A6&amp;"'"&amp;"!C:C"),"建筑面积",INDIRECT("'"&amp;A6&amp;"'"&amp;"!D:D"))</f>
        <v>6194.34</v>
      </c>
      <c r="F6" s="3024"/>
      <c r="G6" s="3024"/>
      <c r="H6" s="3024"/>
      <c r="I6" s="3024"/>
      <c r="J6" s="3024"/>
      <c r="K6" s="3024"/>
      <c r="L6" s="3024"/>
      <c r="M6" s="3024"/>
      <c r="N6" s="3024"/>
      <c r="O6" s="3024"/>
      <c r="P6" s="3024"/>
    </row>
    <row r="7" spans="1:16" ht="15.75">
      <c r="A7" s="2835"/>
      <c r="B7" s="2828" t="e">
        <f ca="1">SUMIF(INDIRECT("'"&amp;A7&amp;"'"&amp;"!A:A"),"总价",INDIRECT("'"&amp;A7&amp;"'"&amp;"!B:B"))</f>
        <v>#REF!</v>
      </c>
      <c r="C7" s="2363"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3"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3"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3"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3"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3"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3"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3"/>
      <c r="C2" s="3083"/>
      <c r="D2" s="3083"/>
      <c r="E2" s="3083"/>
    </row>
    <row r="3" spans="1:5" ht="18">
      <c r="A3" s="3084" t="str">
        <f>IF(项目基本情况!B9="房地产市场价值","估价结果一览表（市场价值不需“结果表-1”）","估价结果一览表")</f>
        <v>估价结果一览表</v>
      </c>
      <c r="B3" s="3084"/>
      <c r="C3" s="3084"/>
      <c r="D3" s="3084"/>
      <c r="E3" s="3084"/>
    </row>
    <row r="4" spans="1:5" ht="19.5" thickBot="1">
      <c r="A4" s="1680"/>
      <c r="B4" s="3082" t="s">
        <v>1595</v>
      </c>
      <c r="C4" s="3082"/>
      <c r="D4" s="3082"/>
      <c r="E4" s="1680"/>
    </row>
    <row r="5" spans="1:5" ht="16.5" thickTop="1">
      <c r="A5" s="1678"/>
      <c r="B5" s="3080" t="s">
        <v>1587</v>
      </c>
      <c r="C5" s="1681" t="s">
        <v>1588</v>
      </c>
      <c r="D5" s="959">
        <f ca="1">'结果表-商业'!H101</f>
        <v>72712</v>
      </c>
      <c r="E5" s="1678"/>
    </row>
    <row r="6" spans="1:5" ht="15.75">
      <c r="A6" s="1678"/>
      <c r="B6" s="3080"/>
      <c r="C6" s="1681" t="s">
        <v>1589</v>
      </c>
      <c r="D6" s="959" t="str">
        <f ca="1">NUMBERSTRING(INT(D5*10000),2)&amp;"元整"</f>
        <v>柒亿贰仟柒佰壹拾贰万元整</v>
      </c>
      <c r="E6" s="1678"/>
    </row>
    <row r="7" spans="1:5" ht="15.75">
      <c r="A7" s="1678"/>
      <c r="B7" s="3085"/>
      <c r="C7" s="1682" t="s">
        <v>1590</v>
      </c>
      <c r="D7" s="960">
        <f ca="1">'结果表-商业'!H102</f>
        <v>39128</v>
      </c>
      <c r="E7" s="1678"/>
    </row>
    <row r="8" spans="1:5" ht="15.75">
      <c r="A8" s="1678"/>
      <c r="B8" s="3086" t="str">
        <f>'结果表-商业'!E103</f>
        <v>2.估价师知悉的法定优先受偿款</v>
      </c>
      <c r="C8" s="1683" t="s">
        <v>1591</v>
      </c>
      <c r="D8" s="960">
        <f>'结果表-商业'!H103</f>
        <v>0</v>
      </c>
      <c r="E8" s="1678"/>
    </row>
    <row r="9" spans="1:5" ht="15.75">
      <c r="A9" s="1678"/>
      <c r="B9" s="3088"/>
      <c r="C9" s="1681" t="s">
        <v>1589</v>
      </c>
      <c r="D9" s="959" t="str">
        <f>NUMBERSTRING(INT(D8*10000),2)&amp;"元整"</f>
        <v>零元整</v>
      </c>
      <c r="E9" s="1678"/>
    </row>
    <row r="10" spans="1:5" ht="15">
      <c r="A10" s="1678"/>
      <c r="B10" s="1684" t="s">
        <v>1594</v>
      </c>
      <c r="C10" s="1685" t="s">
        <v>1592</v>
      </c>
      <c r="D10" s="961">
        <f>'结果表-商业'!H104</f>
        <v>0</v>
      </c>
      <c r="E10" s="1678"/>
    </row>
    <row r="11" spans="1:5" ht="15">
      <c r="A11" s="1678"/>
      <c r="B11" s="1684" t="s">
        <v>1596</v>
      </c>
      <c r="C11" s="1685" t="s">
        <v>1597</v>
      </c>
      <c r="D11" s="961">
        <f>'结果表-商业'!H105</f>
        <v>0</v>
      </c>
      <c r="E11" s="1678"/>
    </row>
    <row r="12" spans="1:5" ht="15">
      <c r="A12" s="1678"/>
      <c r="B12" s="1684" t="s">
        <v>1598</v>
      </c>
      <c r="C12" s="1685" t="s">
        <v>1597</v>
      </c>
      <c r="D12" s="961">
        <f>'结果表-商业'!H106</f>
        <v>0</v>
      </c>
      <c r="E12" s="1678"/>
    </row>
    <row r="13" spans="1:5" ht="15.75">
      <c r="A13" s="1678"/>
      <c r="B13" s="3079" t="str">
        <f>'结果表-商业'!E107</f>
        <v>3.房地产抵押价值</v>
      </c>
      <c r="C13" s="1686" t="s">
        <v>1588</v>
      </c>
      <c r="D13" s="962">
        <f ca="1">'结果表-商业'!H107</f>
        <v>72712</v>
      </c>
      <c r="E13" s="1678"/>
    </row>
    <row r="14" spans="1:5" ht="15.75">
      <c r="A14" s="1678"/>
      <c r="B14" s="3080"/>
      <c r="C14" s="1681" t="s">
        <v>1589</v>
      </c>
      <c r="D14" s="959" t="str">
        <f ca="1">NUMBERSTRING(INT(D13*10000),2)&amp;"元整"</f>
        <v>柒亿贰仟柒佰壹拾贰万元整</v>
      </c>
      <c r="E14" s="1678"/>
    </row>
    <row r="15" spans="1:5" ht="15">
      <c r="A15" s="1678"/>
      <c r="B15" s="3085"/>
      <c r="C15" s="1682" t="s">
        <v>1599</v>
      </c>
      <c r="D15" s="968">
        <f ca="1">'结果表-商业'!H108</f>
        <v>39128</v>
      </c>
      <c r="E15" s="1678"/>
    </row>
    <row r="16" spans="1:5" ht="15">
      <c r="A16" s="1678"/>
      <c r="B16" s="3086" t="str">
        <f>'结果表-商业'!E109</f>
        <v>4.抵押担保权已注销时的房地产抵押价值</v>
      </c>
      <c r="C16" s="1686" t="s">
        <v>1600</v>
      </c>
      <c r="D16" s="1687">
        <f ca="1">'结果表-商业'!H109</f>
        <v>72712</v>
      </c>
      <c r="E16" s="1678"/>
    </row>
    <row r="17" spans="1:5" ht="15.75">
      <c r="A17" s="1678"/>
      <c r="B17" s="3087"/>
      <c r="C17" s="1681" t="s">
        <v>1601</v>
      </c>
      <c r="D17" s="959" t="str">
        <f ca="1">NUMBERSTRING(INT(D16*10000),2)&amp;"元整"</f>
        <v>柒亿贰仟柒佰壹拾贰万元整</v>
      </c>
      <c r="E17" s="1678"/>
    </row>
    <row r="18" spans="1:5" ht="15">
      <c r="A18" s="1678"/>
      <c r="B18" s="3088"/>
      <c r="C18" s="1682" t="s">
        <v>1590</v>
      </c>
      <c r="D18" s="968">
        <f ca="1">'结果表-商业'!H110</f>
        <v>39128</v>
      </c>
      <c r="E18" s="1678"/>
    </row>
    <row r="19" spans="1:5" ht="15.75">
      <c r="A19" s="1678"/>
      <c r="B19" s="3079" t="str">
        <f>'结果表-商业'!E111</f>
        <v>——</v>
      </c>
      <c r="C19" s="1686" t="s">
        <v>1588</v>
      </c>
      <c r="D19" s="960" t="str">
        <f>'结果表-商业'!H111</f>
        <v>——</v>
      </c>
      <c r="E19" s="1678"/>
    </row>
    <row r="20" spans="1:5" ht="15.75">
      <c r="A20" s="1678"/>
      <c r="B20" s="3080"/>
      <c r="C20" s="1681" t="s">
        <v>1601</v>
      </c>
      <c r="D20" s="959" t="e">
        <f>NUMBERSTRING(INT(D19*10000),2)&amp;"元整"</f>
        <v>#VALUE!</v>
      </c>
      <c r="E20" s="1678"/>
    </row>
    <row r="21" spans="1:5" ht="15.75" thickBot="1">
      <c r="A21" s="1678"/>
      <c r="B21" s="3081"/>
      <c r="C21" s="1688" t="s">
        <v>1599</v>
      </c>
      <c r="D21" s="969" t="str">
        <f>'结果表-商业'!H112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5"/>
  <sheetViews>
    <sheetView zoomScale="80" zoomScaleNormal="80" workbookViewId="0">
      <selection activeCell="O6" sqref="O6:O32"/>
    </sheetView>
  </sheetViews>
  <sheetFormatPr defaultColWidth="9" defaultRowHeight="12.75"/>
  <cols>
    <col min="1" max="1" width="9" style="2412"/>
    <col min="2" max="6" width="9" style="2412" customWidth="1"/>
    <col min="7" max="7" width="9" style="2449"/>
    <col min="8" max="8" width="9" style="2412"/>
    <col min="9" max="12" width="9" style="2412" customWidth="1"/>
    <col min="13" max="13" width="2.25" style="2412" customWidth="1"/>
    <col min="14" max="14" width="9" style="2449" customWidth="1"/>
    <col min="15" max="17" width="9" style="2412" customWidth="1"/>
    <col min="18" max="18" width="2.375" style="2412" customWidth="1"/>
    <col min="19" max="19" width="7.125" style="2449"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04" t="s">
        <v>1117</v>
      </c>
      <c r="C1" s="3404"/>
      <c r="D1" s="3404"/>
      <c r="E1" s="3404"/>
      <c r="F1" s="3404"/>
      <c r="G1" s="3400" t="s">
        <v>1118</v>
      </c>
      <c r="H1" s="3400"/>
      <c r="I1" s="3400"/>
      <c r="J1" s="3400"/>
      <c r="K1" s="3400"/>
      <c r="L1" s="3400"/>
      <c r="N1" s="3400" t="s">
        <v>1119</v>
      </c>
      <c r="O1" s="3400"/>
      <c r="P1" s="3400"/>
      <c r="Q1" s="3400"/>
      <c r="S1" s="3400" t="s">
        <v>1120</v>
      </c>
      <c r="T1" s="3400"/>
      <c r="U1" s="3400"/>
      <c r="V1" s="3400"/>
      <c r="X1" s="3399" t="s">
        <v>1121</v>
      </c>
      <c r="Y1" s="3400"/>
      <c r="Z1" s="3400"/>
      <c r="AA1" s="3400"/>
      <c r="AB1" s="3400"/>
      <c r="AD1" s="3399" t="s">
        <v>1122</v>
      </c>
      <c r="AE1" s="3400"/>
      <c r="AF1" s="3400"/>
      <c r="AG1" s="3400"/>
      <c r="AH1" s="3400"/>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3088</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45"/>
      <c r="H5" s="2417"/>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2">
        <f>ROUND(IF(项目基本情况!B6="出让",SUMPRODUCT(PRODUCT(1+N5:N$32)),SUMPRODUCT(PRODUCT(1+N5:N$31))),4)</f>
        <v>1.5652999999999999</v>
      </c>
      <c r="Y5" s="2422">
        <f>ROUND(IF(项目基本情况!B6="出让",SUMPRODUCT(PRODUCT(1+O5:O$32)),SUMPRODUCT(PRODUCT(1+O5:O$31))),4)</f>
        <v>1.3472</v>
      </c>
      <c r="Z5" s="2422">
        <f t="shared" ref="Z5" si="11">Y5</f>
        <v>1.3472</v>
      </c>
      <c r="AA5" s="2422">
        <f>ROUND(IF(项目基本情况!B6="出让",SUMPRODUCT(PRODUCT(1+P5:P$32)),SUMPRODUCT(PRODUCT(1+P5:P$31))),4)</f>
        <v>1.6335999999999999</v>
      </c>
      <c r="AB5" s="2422">
        <f>ROUND(IF(项目基本情况!B6="出让",SUMPRODUCT(PRODUCT(1+Q5:Q$32)),SUMPRODUCT(PRODUCT(1+Q5:Q$31))),4)</f>
        <v>1.3880999999999999</v>
      </c>
      <c r="AD5" s="2423">
        <f>ROUND(AVERAGE(I5:I$32)/100,4)</f>
        <v>1.7299999999999999E-2</v>
      </c>
      <c r="AE5" s="2423">
        <f>ROUND(AVERAGE(J5:J$32)/100,4)</f>
        <v>1.1599999999999999E-2</v>
      </c>
      <c r="AF5" s="2423">
        <f t="shared" ref="AF5" si="12">AE5</f>
        <v>1.1599999999999999E-2</v>
      </c>
      <c r="AG5" s="2423">
        <f>ROUND(AVERAGE(K5:K$32)/100,4)</f>
        <v>1.9E-2</v>
      </c>
      <c r="AH5" s="2423">
        <f>ROUND(AVERAGE(L5:L$32)/100,4)</f>
        <v>1.23E-2</v>
      </c>
    </row>
    <row r="6" spans="1:34" s="2431" customFormat="1">
      <c r="A6" s="2424" t="s">
        <v>3087</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3042">
        <v>2020</v>
      </c>
      <c r="H6" s="2426">
        <v>3</v>
      </c>
      <c r="I6" s="2389">
        <v>0</v>
      </c>
      <c r="J6" s="2389">
        <v>0</v>
      </c>
      <c r="K6" s="2389">
        <v>0</v>
      </c>
      <c r="L6" s="2390">
        <v>0</v>
      </c>
      <c r="M6" s="2412"/>
      <c r="N6" s="2427">
        <f t="shared" ref="N6" si="18">I6/100</f>
        <v>0</v>
      </c>
      <c r="O6" s="2413">
        <f t="shared" ref="O6" si="19">J6/100</f>
        <v>0</v>
      </c>
      <c r="P6" s="2413">
        <f t="shared" ref="P6" si="20">K6/100</f>
        <v>0</v>
      </c>
      <c r="Q6" s="2413">
        <f t="shared" ref="Q6" si="21">L6/100</f>
        <v>0</v>
      </c>
      <c r="R6" s="2428"/>
      <c r="S6" s="2427"/>
      <c r="T6" s="2413"/>
      <c r="U6" s="2413"/>
      <c r="V6" s="2413"/>
      <c r="W6" s="2429"/>
      <c r="X6" s="2429">
        <f>ROUND(IF(项目基本情况!B7="出让",SUMPRODUCT(PRODUCT(1+N6:N$32)),SUMPRODUCT(PRODUCT(1+N6:N$31))),4)</f>
        <v>1.5652999999999999</v>
      </c>
      <c r="Y6" s="2429">
        <f>ROUND(IF(项目基本情况!B7="出让",SUMPRODUCT(PRODUCT(1+O6:O$32)),SUMPRODUCT(PRODUCT(1+O6:O$31))),4)</f>
        <v>1.3472</v>
      </c>
      <c r="Z6" s="2429">
        <f t="shared" ref="Z6" si="22">Y6</f>
        <v>1.3472</v>
      </c>
      <c r="AA6" s="2429">
        <f>ROUND(IF(项目基本情况!B7="出让",SUMPRODUCT(PRODUCT(1+P6:P$32)),SUMPRODUCT(PRODUCT(1+P6:P$31))),4)</f>
        <v>1.6335999999999999</v>
      </c>
      <c r="AB6" s="2429">
        <f>ROUND(IF(项目基本情况!B7="出让",SUMPRODUCT(PRODUCT(1+Q6:Q$32)),SUMPRODUCT(PRODUCT(1+Q6:Q$31))),4)</f>
        <v>1.3880999999999999</v>
      </c>
      <c r="AC6" s="2429"/>
      <c r="AD6" s="2430">
        <f>ROUND(AVERAGE(I6:I$32)/100,4)</f>
        <v>1.7899999999999999E-2</v>
      </c>
      <c r="AE6" s="2430">
        <f>ROUND(AVERAGE(J6:J$32)/100,4)</f>
        <v>1.2E-2</v>
      </c>
      <c r="AF6" s="2430">
        <f t="shared" ref="AF6" si="23">AE6</f>
        <v>1.2E-2</v>
      </c>
      <c r="AG6" s="2430">
        <f>ROUND(AVERAGE(K6:K$32)/100,4)</f>
        <v>1.9699999999999999E-2</v>
      </c>
      <c r="AH6" s="2430">
        <f>ROUND(AVERAGE(L6:L$32)/100,4)</f>
        <v>1.2699999999999999E-2</v>
      </c>
    </row>
    <row r="7" spans="1:34" s="2431" customFormat="1">
      <c r="A7" s="2424" t="s">
        <v>2871</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6">
        <v>2020</v>
      </c>
      <c r="H7" s="2426">
        <v>2</v>
      </c>
      <c r="I7" s="2389">
        <v>0.31</v>
      </c>
      <c r="J7" s="2389">
        <v>-0.78</v>
      </c>
      <c r="K7" s="2389">
        <v>0.5</v>
      </c>
      <c r="L7" s="2390">
        <v>0.47</v>
      </c>
      <c r="M7" s="2412"/>
      <c r="N7" s="2427">
        <f t="shared" ref="N7" si="29">I7/100</f>
        <v>3.0999999999999999E-3</v>
      </c>
      <c r="O7" s="2413">
        <f t="shared" ref="O7" si="30">J7/100</f>
        <v>-7.8000000000000005E-3</v>
      </c>
      <c r="P7" s="2413">
        <f t="shared" ref="P7" si="31">K7/100</f>
        <v>5.0000000000000001E-3</v>
      </c>
      <c r="Q7" s="2413">
        <f t="shared" ref="Q7" si="32">L7/100</f>
        <v>4.6999999999999993E-3</v>
      </c>
      <c r="R7" s="2428"/>
      <c r="S7" s="2427"/>
      <c r="T7" s="2413"/>
      <c r="U7" s="2413"/>
      <c r="V7" s="2413"/>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2869</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6">
        <v>2020</v>
      </c>
      <c r="H8" s="2426">
        <v>1</v>
      </c>
      <c r="I8" s="2389">
        <v>0.12</v>
      </c>
      <c r="J8" s="2389">
        <v>-0.4</v>
      </c>
      <c r="K8" s="2389">
        <v>0.21</v>
      </c>
      <c r="L8" s="2390">
        <v>0.27</v>
      </c>
      <c r="M8" s="2412"/>
      <c r="N8" s="2427">
        <f t="shared" ref="N8" si="40">I8/100</f>
        <v>1.1999999999999999E-3</v>
      </c>
      <c r="O8" s="2413">
        <f t="shared" ref="O8" si="41">J8/100</f>
        <v>-4.0000000000000001E-3</v>
      </c>
      <c r="P8" s="2413">
        <f t="shared" ref="P8" si="42">K8/100</f>
        <v>2.0999999999999999E-3</v>
      </c>
      <c r="Q8" s="2413">
        <f t="shared" ref="Q8" si="43">L8/100</f>
        <v>2.7000000000000001E-3</v>
      </c>
      <c r="R8" s="2428"/>
      <c r="S8" s="2427">
        <f>B8/B9-1</f>
        <v>1.2000000000000899E-3</v>
      </c>
      <c r="T8" s="2413">
        <f t="shared" ref="T8" si="44">C8/C9-1</f>
        <v>-4.0000000000000036E-3</v>
      </c>
      <c r="U8" s="2413">
        <f t="shared" ref="U8" si="45">D8/D9-1</f>
        <v>-4.0000000000000036E-3</v>
      </c>
      <c r="V8" s="2413">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2868</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6">
        <v>2019</v>
      </c>
      <c r="H9" s="2426">
        <v>4</v>
      </c>
      <c r="I9" s="2426">
        <v>0.45</v>
      </c>
      <c r="J9" s="2426">
        <v>-0.12</v>
      </c>
      <c r="K9" s="2426">
        <v>0.54</v>
      </c>
      <c r="L9" s="2432">
        <v>0.48</v>
      </c>
      <c r="M9" s="2412"/>
      <c r="N9" s="2427">
        <f t="shared" ref="N9:N14" si="54">I9/100</f>
        <v>4.5000000000000005E-3</v>
      </c>
      <c r="O9" s="2413">
        <f t="shared" ref="O9" si="55">J9/100</f>
        <v>-1.1999999999999999E-3</v>
      </c>
      <c r="P9" s="2413">
        <f t="shared" ref="P9" si="56">K9/100</f>
        <v>5.4000000000000003E-3</v>
      </c>
      <c r="Q9" s="2413">
        <f t="shared" ref="Q9" si="57">L9/100</f>
        <v>4.7999999999999996E-3</v>
      </c>
      <c r="R9" s="2428"/>
      <c r="S9" s="2427"/>
      <c r="T9" s="2413"/>
      <c r="U9" s="2413"/>
      <c r="V9" s="2413"/>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2867</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6">
        <v>2019</v>
      </c>
      <c r="H10" s="2426">
        <v>3</v>
      </c>
      <c r="I10" s="2426">
        <v>0.61</v>
      </c>
      <c r="J10" s="2426">
        <v>0.67</v>
      </c>
      <c r="K10" s="2426">
        <v>0.6</v>
      </c>
      <c r="L10" s="2432">
        <v>1.03</v>
      </c>
      <c r="M10" s="2412"/>
      <c r="N10" s="2427">
        <f t="shared" si="54"/>
        <v>6.0999999999999995E-3</v>
      </c>
      <c r="O10" s="2413">
        <f t="shared" ref="O10" si="65">J10/100</f>
        <v>6.7000000000000002E-3</v>
      </c>
      <c r="P10" s="2413">
        <f t="shared" ref="P10" si="66">K10/100</f>
        <v>6.0000000000000001E-3</v>
      </c>
      <c r="Q10" s="2413">
        <f t="shared" ref="Q10" si="67">L10/100</f>
        <v>1.03E-2</v>
      </c>
      <c r="R10" s="2428"/>
      <c r="S10" s="2427"/>
      <c r="T10" s="2413"/>
      <c r="U10" s="2413"/>
      <c r="V10" s="2413"/>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2865</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6">
        <v>2019</v>
      </c>
      <c r="H11" s="2433">
        <v>2</v>
      </c>
      <c r="I11" s="2433">
        <v>1.53</v>
      </c>
      <c r="J11" s="2433">
        <v>1.01</v>
      </c>
      <c r="K11" s="2433">
        <v>1.62</v>
      </c>
      <c r="L11" s="2434">
        <v>1.25</v>
      </c>
      <c r="M11" s="2412"/>
      <c r="N11" s="2427">
        <f t="shared" si="54"/>
        <v>1.5300000000000001E-2</v>
      </c>
      <c r="O11" s="2413">
        <f t="shared" ref="O11" si="75">J11/100</f>
        <v>1.01E-2</v>
      </c>
      <c r="P11" s="2413">
        <f t="shared" ref="P11" si="76">K11/100</f>
        <v>1.6200000000000003E-2</v>
      </c>
      <c r="Q11" s="2413">
        <f t="shared" ref="Q11" si="77">L11/100</f>
        <v>1.2500000000000001E-2</v>
      </c>
      <c r="R11" s="2428"/>
      <c r="S11" s="2427"/>
      <c r="T11" s="2413"/>
      <c r="U11" s="2413"/>
      <c r="V11" s="2413"/>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2863</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6">
        <v>2019</v>
      </c>
      <c r="H12" s="2426">
        <v>1</v>
      </c>
      <c r="I12" s="2426">
        <v>0.6</v>
      </c>
      <c r="J12" s="2426">
        <v>0.37</v>
      </c>
      <c r="K12" s="2426">
        <v>0.63</v>
      </c>
      <c r="L12" s="2432">
        <v>1.1299999999999999</v>
      </c>
      <c r="M12" s="2412"/>
      <c r="N12" s="2427">
        <f t="shared" si="54"/>
        <v>6.0000000000000001E-3</v>
      </c>
      <c r="O12" s="2413">
        <f t="shared" ref="O12" si="85">J12/100</f>
        <v>3.7000000000000002E-3</v>
      </c>
      <c r="P12" s="2413">
        <f t="shared" ref="P12" si="86">K12/100</f>
        <v>6.3E-3</v>
      </c>
      <c r="Q12" s="2413">
        <f t="shared" ref="Q12" si="87">L12/100</f>
        <v>1.1299999999999999E-2</v>
      </c>
      <c r="R12" s="2428"/>
      <c r="S12" s="2427">
        <f>B12/B13-1</f>
        <v>6.0000000000000053E-3</v>
      </c>
      <c r="T12" s="2413">
        <f t="shared" ref="T12" si="88">C12/C13-1</f>
        <v>3.7000000000000366E-3</v>
      </c>
      <c r="U12" s="2413">
        <f t="shared" ref="U12" si="89">D12/D13-1</f>
        <v>3.7000000000000366E-3</v>
      </c>
      <c r="V12" s="2413">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2866</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402">
        <v>2018</v>
      </c>
      <c r="H13" s="2433">
        <v>4</v>
      </c>
      <c r="I13" s="2433">
        <v>0.96</v>
      </c>
      <c r="J13" s="2433">
        <v>1.03</v>
      </c>
      <c r="K13" s="2433">
        <v>0.92</v>
      </c>
      <c r="L13" s="2434">
        <v>1.29</v>
      </c>
      <c r="M13" s="2412"/>
      <c r="N13" s="2427">
        <f t="shared" si="54"/>
        <v>9.5999999999999992E-3</v>
      </c>
      <c r="O13" s="2413">
        <f t="shared" ref="O13" si="98">J13/100</f>
        <v>1.03E-2</v>
      </c>
      <c r="P13" s="2413">
        <f t="shared" ref="P13" si="99">K13/100</f>
        <v>9.1999999999999998E-3</v>
      </c>
      <c r="Q13" s="2413">
        <f t="shared" ref="Q13" si="100">L13/100</f>
        <v>1.29E-2</v>
      </c>
      <c r="R13" s="2428"/>
      <c r="S13" s="2427"/>
      <c r="T13" s="2413"/>
      <c r="U13" s="2413"/>
      <c r="V13" s="2413"/>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2861</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402"/>
      <c r="H14" s="2426">
        <v>3</v>
      </c>
      <c r="I14" s="2426">
        <v>1.51</v>
      </c>
      <c r="J14" s="2426">
        <v>1.41</v>
      </c>
      <c r="K14" s="2426">
        <v>1.52</v>
      </c>
      <c r="L14" s="2432">
        <v>1.74</v>
      </c>
      <c r="M14" s="2412"/>
      <c r="N14" s="2427">
        <f t="shared" si="54"/>
        <v>1.5100000000000001E-2</v>
      </c>
      <c r="O14" s="2413">
        <f t="shared" ref="O14" si="108">J14/100</f>
        <v>1.41E-2</v>
      </c>
      <c r="P14" s="2413">
        <f t="shared" ref="P14" si="109">K14/100</f>
        <v>1.52E-2</v>
      </c>
      <c r="Q14" s="2413">
        <f t="shared" ref="Q14" si="110">L14/100</f>
        <v>1.7399999999999999E-2</v>
      </c>
      <c r="R14" s="2428"/>
      <c r="S14" s="2427"/>
      <c r="T14" s="2413"/>
      <c r="U14" s="2413"/>
      <c r="V14" s="2413"/>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2860</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402"/>
      <c r="H15" s="2437">
        <v>2</v>
      </c>
      <c r="I15" s="2437">
        <v>1.49</v>
      </c>
      <c r="J15" s="2437">
        <v>0.96</v>
      </c>
      <c r="K15" s="2437">
        <v>1.58</v>
      </c>
      <c r="L15" s="2438">
        <v>2.44</v>
      </c>
      <c r="M15" s="2412"/>
      <c r="N15" s="2427">
        <f t="shared" ref="N15" si="118">I15/100</f>
        <v>1.49E-2</v>
      </c>
      <c r="O15" s="2413">
        <f t="shared" ref="O15" si="119">J15/100</f>
        <v>9.5999999999999992E-3</v>
      </c>
      <c r="P15" s="2413">
        <f t="shared" ref="P15" si="120">K15/100</f>
        <v>1.5800000000000002E-2</v>
      </c>
      <c r="Q15" s="2413">
        <f t="shared" ref="Q15" si="121">L15/100</f>
        <v>2.4399999999999998E-2</v>
      </c>
      <c r="R15" s="2428"/>
      <c r="S15" s="2427"/>
      <c r="T15" s="2413"/>
      <c r="U15" s="2413"/>
      <c r="V15" s="2413"/>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2853</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409"/>
      <c r="H16" s="2426">
        <v>1</v>
      </c>
      <c r="I16" s="2426">
        <v>1.7</v>
      </c>
      <c r="J16" s="2426">
        <v>1.92</v>
      </c>
      <c r="K16" s="2426">
        <v>1.64</v>
      </c>
      <c r="L16" s="2432">
        <v>2.0099999999999998</v>
      </c>
      <c r="M16" s="2412"/>
      <c r="N16" s="2427">
        <f t="shared" ref="N16:N21" si="129">I16/100</f>
        <v>1.7000000000000001E-2</v>
      </c>
      <c r="O16" s="2413">
        <f t="shared" ref="O16" si="130">J16/100</f>
        <v>1.9199999999999998E-2</v>
      </c>
      <c r="P16" s="2413">
        <f t="shared" ref="P16" si="131">K16/100</f>
        <v>1.6399999999999998E-2</v>
      </c>
      <c r="Q16" s="2413">
        <f t="shared" ref="Q16" si="132">L16/100</f>
        <v>2.0099999999999996E-2</v>
      </c>
      <c r="R16" s="2428"/>
      <c r="S16" s="2427">
        <f>B16/B17-1</f>
        <v>1.6999999999999904E-2</v>
      </c>
      <c r="T16" s="2413">
        <f t="shared" ref="T16" si="133">C16/C17-1</f>
        <v>1.9200000000000106E-2</v>
      </c>
      <c r="U16" s="2413">
        <f t="shared" ref="U16" si="134">D16/D17-1</f>
        <v>1.9200000000000106E-2</v>
      </c>
      <c r="V16" s="2413">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2851</v>
      </c>
      <c r="B17" s="2439">
        <v>439</v>
      </c>
      <c r="C17" s="2439">
        <v>327</v>
      </c>
      <c r="D17" s="2439">
        <f>C17</f>
        <v>327</v>
      </c>
      <c r="E17" s="2439">
        <v>627</v>
      </c>
      <c r="F17" s="2440">
        <v>283</v>
      </c>
      <c r="G17" s="3405">
        <v>2017</v>
      </c>
      <c r="H17" s="2433">
        <v>4</v>
      </c>
      <c r="I17" s="2433">
        <v>1.71</v>
      </c>
      <c r="J17" s="2433">
        <v>1.78</v>
      </c>
      <c r="K17" s="2433">
        <v>1.71</v>
      </c>
      <c r="L17" s="2434">
        <v>1.43</v>
      </c>
      <c r="N17" s="2427">
        <f t="shared" si="129"/>
        <v>1.7100000000000001E-2</v>
      </c>
      <c r="O17" s="2413">
        <f t="shared" ref="O17" si="138">J17/100</f>
        <v>1.78E-2</v>
      </c>
      <c r="P17" s="2413">
        <f t="shared" ref="P17" si="139">K17/100</f>
        <v>1.7100000000000001E-2</v>
      </c>
      <c r="Q17" s="2413">
        <f t="shared" ref="Q17" si="140">L17/100</f>
        <v>1.43E-2</v>
      </c>
      <c r="R17" s="2428"/>
      <c r="S17" s="2441"/>
      <c r="T17" s="2442"/>
      <c r="U17" s="2442"/>
      <c r="V17" s="2442"/>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1" customFormat="1" ht="14.45" customHeight="1">
      <c r="A18" s="2424" t="s">
        <v>2852</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402"/>
      <c r="H18" s="2426">
        <v>3</v>
      </c>
      <c r="I18" s="2426">
        <v>2.98</v>
      </c>
      <c r="J18" s="2426">
        <v>2.11</v>
      </c>
      <c r="K18" s="2426">
        <v>3.24</v>
      </c>
      <c r="L18" s="2432">
        <v>1.72</v>
      </c>
      <c r="M18" s="2412"/>
      <c r="N18" s="2427">
        <f t="shared" si="129"/>
        <v>2.98E-2</v>
      </c>
      <c r="O18" s="2413">
        <f t="shared" ref="O18" si="146">J18/100</f>
        <v>2.1099999999999997E-2</v>
      </c>
      <c r="P18" s="2413">
        <f t="shared" ref="P18" si="147">K18/100</f>
        <v>3.2400000000000005E-2</v>
      </c>
      <c r="Q18" s="2413">
        <f t="shared" ref="Q18" si="148">L18/100</f>
        <v>1.72E-2</v>
      </c>
      <c r="R18" s="2428"/>
      <c r="S18" s="2427"/>
      <c r="T18" s="2413"/>
      <c r="U18" s="2413"/>
      <c r="V18" s="2413"/>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9"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402"/>
      <c r="H19" s="2437">
        <v>2</v>
      </c>
      <c r="I19" s="2437">
        <v>3.4</v>
      </c>
      <c r="J19" s="2437">
        <v>2</v>
      </c>
      <c r="K19" s="2437">
        <v>3.82</v>
      </c>
      <c r="L19" s="2438">
        <v>1.68</v>
      </c>
      <c r="M19" s="2412"/>
      <c r="N19" s="2427">
        <f t="shared" si="129"/>
        <v>3.4000000000000002E-2</v>
      </c>
      <c r="O19" s="2413">
        <f t="shared" ref="O19" si="149">J19/100</f>
        <v>0.02</v>
      </c>
      <c r="P19" s="2413">
        <f t="shared" ref="P19" si="150">K19/100</f>
        <v>3.8199999999999998E-2</v>
      </c>
      <c r="Q19" s="2413">
        <f t="shared" ref="Q19" si="151">L19/100</f>
        <v>1.6799999999999999E-2</v>
      </c>
      <c r="R19" s="2428"/>
      <c r="S19" s="2441"/>
      <c r="T19" s="2442"/>
      <c r="U19" s="2442"/>
      <c r="V19" s="2442"/>
      <c r="W19" s="2406"/>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6"/>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409"/>
      <c r="H20" s="2426">
        <v>1</v>
      </c>
      <c r="I20" s="2426">
        <v>3.45</v>
      </c>
      <c r="J20" s="2426">
        <v>1.92</v>
      </c>
      <c r="K20" s="2426">
        <v>3.92</v>
      </c>
      <c r="L20" s="2432">
        <v>1.58</v>
      </c>
      <c r="M20" s="2412"/>
      <c r="N20" s="2427">
        <f t="shared" si="129"/>
        <v>3.4500000000000003E-2</v>
      </c>
      <c r="O20" s="2413">
        <f t="shared" ref="O20:Q35" si="152">J20/100</f>
        <v>1.9199999999999998E-2</v>
      </c>
      <c r="P20" s="2413">
        <f t="shared" si="152"/>
        <v>3.9199999999999999E-2</v>
      </c>
      <c r="Q20" s="2413">
        <f t="shared" si="152"/>
        <v>1.5800000000000002E-2</v>
      </c>
      <c r="R20" s="2428"/>
      <c r="S20" s="2427">
        <f>B20/B21-1</f>
        <v>3.4499999999999975E-2</v>
      </c>
      <c r="T20" s="2413">
        <f t="shared" ref="T20:V20" si="153">C20/C21-1</f>
        <v>1.9200000000000106E-2</v>
      </c>
      <c r="U20" s="2413">
        <f t="shared" si="153"/>
        <v>1.9200000000000106E-2</v>
      </c>
      <c r="V20" s="2413">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405">
        <v>2016</v>
      </c>
      <c r="H21" s="2433">
        <v>4</v>
      </c>
      <c r="I21" s="2433">
        <v>4.5599999999999996</v>
      </c>
      <c r="J21" s="2433">
        <v>2.15</v>
      </c>
      <c r="K21" s="2433">
        <v>5.32</v>
      </c>
      <c r="L21" s="2434">
        <v>1.57</v>
      </c>
      <c r="N21" s="2427">
        <f t="shared" si="129"/>
        <v>4.5599999999999995E-2</v>
      </c>
      <c r="O21" s="2413">
        <f t="shared" si="152"/>
        <v>2.1499999999999998E-2</v>
      </c>
      <c r="P21" s="2413">
        <f t="shared" si="152"/>
        <v>5.3200000000000004E-2</v>
      </c>
      <c r="Q21" s="2413">
        <f t="shared" si="152"/>
        <v>1.5700000000000002E-2</v>
      </c>
      <c r="R21" s="2428"/>
      <c r="S21" s="2441"/>
      <c r="T21" s="2442"/>
      <c r="U21" s="2442"/>
      <c r="V21" s="2442"/>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402"/>
      <c r="H22" s="2426">
        <v>3</v>
      </c>
      <c r="I22" s="2426">
        <v>4.12</v>
      </c>
      <c r="J22" s="2426">
        <v>2</v>
      </c>
      <c r="K22" s="2426">
        <v>4.79</v>
      </c>
      <c r="L22" s="2432">
        <v>1.97</v>
      </c>
      <c r="N22" s="2427">
        <f t="shared" ref="N22:Q56" si="157">I22/100</f>
        <v>4.1200000000000001E-2</v>
      </c>
      <c r="O22" s="2413">
        <f t="shared" si="152"/>
        <v>0.02</v>
      </c>
      <c r="P22" s="2413">
        <f t="shared" si="152"/>
        <v>4.7899999999999998E-2</v>
      </c>
      <c r="Q22" s="2413">
        <f t="shared" si="152"/>
        <v>1.9699999999999999E-2</v>
      </c>
      <c r="R22" s="2428"/>
      <c r="S22" s="2427"/>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402"/>
      <c r="H23" s="2437">
        <v>2</v>
      </c>
      <c r="I23" s="2437">
        <v>3.85</v>
      </c>
      <c r="J23" s="2437">
        <v>1.95</v>
      </c>
      <c r="K23" s="2437">
        <v>4.4800000000000004</v>
      </c>
      <c r="L23" s="2438">
        <v>1.41</v>
      </c>
      <c r="N23" s="2427">
        <f t="shared" si="157"/>
        <v>3.85E-2</v>
      </c>
      <c r="O23" s="2413">
        <f t="shared" si="152"/>
        <v>1.95E-2</v>
      </c>
      <c r="P23" s="2413">
        <f t="shared" si="152"/>
        <v>4.4800000000000006E-2</v>
      </c>
      <c r="Q23" s="2413">
        <f t="shared" si="152"/>
        <v>1.41E-2</v>
      </c>
      <c r="R23" s="2428"/>
      <c r="S23" s="2427"/>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403"/>
      <c r="H24" s="2426">
        <v>1</v>
      </c>
      <c r="I24" s="2426">
        <v>4.09</v>
      </c>
      <c r="J24" s="2426">
        <v>2.93</v>
      </c>
      <c r="K24" s="2426">
        <v>4.54</v>
      </c>
      <c r="L24" s="2432">
        <v>1.48</v>
      </c>
      <c r="N24" s="2427">
        <f t="shared" si="157"/>
        <v>4.0899999999999999E-2</v>
      </c>
      <c r="O24" s="2413">
        <f t="shared" si="152"/>
        <v>2.9300000000000003E-2</v>
      </c>
      <c r="P24" s="2413">
        <f t="shared" si="152"/>
        <v>4.5400000000000003E-2</v>
      </c>
      <c r="Q24" s="2413">
        <f t="shared" si="152"/>
        <v>1.4800000000000001E-2</v>
      </c>
      <c r="R24" s="2428"/>
      <c r="S24" s="2443">
        <f>B24/B25-1</f>
        <v>4.1203450408792808E-2</v>
      </c>
      <c r="T24" s="2444">
        <f>C24/C25-1</f>
        <v>2.6363977342465095E-2</v>
      </c>
      <c r="U24" s="2444">
        <f>E24/E25-1</f>
        <v>4.4837114298626357E-2</v>
      </c>
      <c r="V24" s="2444">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4" t="s">
        <v>151</v>
      </c>
      <c r="B25" s="2439">
        <v>333</v>
      </c>
      <c r="C25" s="2439">
        <v>277</v>
      </c>
      <c r="D25" s="2439">
        <f t="shared" si="155"/>
        <v>277</v>
      </c>
      <c r="E25" s="2439">
        <v>459</v>
      </c>
      <c r="F25" s="2440">
        <v>249</v>
      </c>
      <c r="G25" s="3401">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402"/>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402"/>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403"/>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4" t="s">
        <v>147</v>
      </c>
      <c r="B29" s="2453">
        <v>318</v>
      </c>
      <c r="C29" s="2453">
        <v>268</v>
      </c>
      <c r="D29" s="2453">
        <f t="shared" si="155"/>
        <v>268</v>
      </c>
      <c r="E29" s="2453">
        <v>437</v>
      </c>
      <c r="F29" s="2454">
        <v>237</v>
      </c>
      <c r="G29" s="3401">
        <v>2014</v>
      </c>
      <c r="H29" s="2445">
        <v>4</v>
      </c>
      <c r="I29" s="2445">
        <v>0.21</v>
      </c>
      <c r="J29" s="2445">
        <v>0.41</v>
      </c>
      <c r="K29" s="2445">
        <v>0.12</v>
      </c>
      <c r="L29" s="2446">
        <v>0.89</v>
      </c>
      <c r="N29" s="2427">
        <f t="shared" si="157"/>
        <v>2.0999999999999999E-3</v>
      </c>
      <c r="O29" s="2413">
        <f t="shared" si="152"/>
        <v>4.0999999999999995E-3</v>
      </c>
      <c r="P29" s="2413">
        <f t="shared" si="152"/>
        <v>1.1999999999999999E-3</v>
      </c>
      <c r="Q29" s="2413">
        <f t="shared" si="152"/>
        <v>8.8999999999999999E-3</v>
      </c>
      <c r="R29" s="2428"/>
      <c r="S29" s="2441"/>
      <c r="T29" s="2442"/>
      <c r="U29" s="2442"/>
      <c r="V29" s="2442"/>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402"/>
      <c r="H30" s="2455">
        <v>3</v>
      </c>
      <c r="I30" s="2455">
        <v>0.83</v>
      </c>
      <c r="J30" s="2455">
        <v>1.47</v>
      </c>
      <c r="K30" s="2455">
        <v>0.65</v>
      </c>
      <c r="L30" s="2456">
        <v>0.72</v>
      </c>
      <c r="N30" s="2427">
        <f t="shared" si="157"/>
        <v>8.3000000000000001E-3</v>
      </c>
      <c r="O30" s="2413">
        <f t="shared" si="152"/>
        <v>1.47E-2</v>
      </c>
      <c r="P30" s="2413">
        <f t="shared" si="152"/>
        <v>6.5000000000000006E-3</v>
      </c>
      <c r="Q30" s="2413">
        <f t="shared" si="152"/>
        <v>7.1999999999999998E-3</v>
      </c>
      <c r="R30" s="2428"/>
      <c r="S30" s="2427"/>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402"/>
      <c r="H31" s="2445">
        <v>2</v>
      </c>
      <c r="I31" s="2445">
        <v>2.4</v>
      </c>
      <c r="J31" s="2445">
        <v>2.0299999999999998</v>
      </c>
      <c r="K31" s="2445">
        <v>2.59</v>
      </c>
      <c r="L31" s="2446">
        <v>1.52</v>
      </c>
      <c r="N31" s="2427">
        <f t="shared" si="157"/>
        <v>2.4E-2</v>
      </c>
      <c r="O31" s="2413">
        <f t="shared" si="152"/>
        <v>2.0299999999999999E-2</v>
      </c>
      <c r="P31" s="2413">
        <f t="shared" si="152"/>
        <v>2.5899999999999999E-2</v>
      </c>
      <c r="Q31" s="2413">
        <f t="shared" si="152"/>
        <v>1.52E-2</v>
      </c>
      <c r="R31" s="2428"/>
      <c r="S31" s="2427"/>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403"/>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406">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407"/>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3"/>
      <c r="U34" s="2413"/>
      <c r="V34" s="2413"/>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407"/>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3"/>
      <c r="U35" s="2413"/>
      <c r="V35" s="2413"/>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408"/>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3"/>
      <c r="Z36" s="2413"/>
    </row>
    <row r="37" spans="1:26" ht="13.5" thickBot="1">
      <c r="A37" s="2424" t="s">
        <v>1134</v>
      </c>
      <c r="B37" s="2474">
        <v>278</v>
      </c>
      <c r="C37" s="2474">
        <v>234</v>
      </c>
      <c r="D37" s="2474">
        <f t="shared" si="155"/>
        <v>234</v>
      </c>
      <c r="E37" s="2474">
        <v>379</v>
      </c>
      <c r="F37" s="2475">
        <v>220</v>
      </c>
      <c r="G37" s="3401">
        <v>2012</v>
      </c>
      <c r="H37" s="2445">
        <v>4</v>
      </c>
      <c r="I37" s="2445">
        <v>0.91</v>
      </c>
      <c r="J37" s="2445">
        <v>0.68</v>
      </c>
      <c r="K37" s="2445">
        <v>0.98</v>
      </c>
      <c r="L37" s="2446">
        <v>0.9</v>
      </c>
      <c r="N37" s="2427">
        <f t="shared" si="157"/>
        <v>9.1000000000000004E-3</v>
      </c>
      <c r="O37" s="2413">
        <f t="shared" si="157"/>
        <v>6.8000000000000005E-3</v>
      </c>
      <c r="P37" s="2413">
        <f t="shared" si="157"/>
        <v>9.7999999999999997E-3</v>
      </c>
      <c r="Q37" s="2413">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402"/>
      <c r="H38" s="2450">
        <v>3</v>
      </c>
      <c r="I38" s="2450">
        <v>0.09</v>
      </c>
      <c r="J38" s="2450">
        <v>0.28999999999999998</v>
      </c>
      <c r="K38" s="2450">
        <v>-0.01</v>
      </c>
      <c r="L38" s="2451">
        <v>0.57999999999999996</v>
      </c>
      <c r="N38" s="2427">
        <f t="shared" si="157"/>
        <v>8.9999999999999998E-4</v>
      </c>
      <c r="O38" s="2413">
        <f t="shared" si="157"/>
        <v>2.8999999999999998E-3</v>
      </c>
      <c r="P38" s="2413">
        <f t="shared" si="157"/>
        <v>-1E-4</v>
      </c>
      <c r="Q38" s="2413">
        <f t="shared" si="157"/>
        <v>5.7999999999999996E-3</v>
      </c>
      <c r="R38" s="2428"/>
      <c r="S38" s="2427"/>
      <c r="T38" s="2413"/>
      <c r="U38" s="2413"/>
      <c r="V38" s="2413"/>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402"/>
      <c r="H39" s="2437">
        <v>2</v>
      </c>
      <c r="I39" s="2437">
        <v>0.02</v>
      </c>
      <c r="J39" s="2437">
        <v>0.12</v>
      </c>
      <c r="K39" s="2437">
        <v>-0.08</v>
      </c>
      <c r="L39" s="2438">
        <v>1.24</v>
      </c>
      <c r="N39" s="2427">
        <f t="shared" si="157"/>
        <v>2.0000000000000001E-4</v>
      </c>
      <c r="O39" s="2413">
        <f t="shared" si="157"/>
        <v>1.1999999999999999E-3</v>
      </c>
      <c r="P39" s="2413">
        <f t="shared" si="157"/>
        <v>-8.0000000000000004E-4</v>
      </c>
      <c r="Q39" s="2413">
        <f t="shared" si="157"/>
        <v>1.24E-2</v>
      </c>
      <c r="R39" s="2428"/>
      <c r="S39" s="2427"/>
      <c r="T39" s="2413"/>
      <c r="U39" s="2413"/>
      <c r="V39" s="2413"/>
    </row>
    <row r="40" spans="1:26" ht="13.5" thickBot="1">
      <c r="A40" s="2424" t="s">
        <v>1137</v>
      </c>
      <c r="B40" s="2425">
        <f>B39/(1+N39)</f>
        <v>275.19025476197027</v>
      </c>
      <c r="C40" s="2476">
        <v>232</v>
      </c>
      <c r="D40" s="2476">
        <f t="shared" si="155"/>
        <v>232</v>
      </c>
      <c r="E40" s="2425">
        <f t="shared" si="166"/>
        <v>375.65990977608692</v>
      </c>
      <c r="F40" s="2425">
        <f t="shared" si="166"/>
        <v>214.12518283971252</v>
      </c>
      <c r="G40" s="3403"/>
      <c r="H40" s="2426">
        <v>1</v>
      </c>
      <c r="I40" s="2426">
        <v>0.02</v>
      </c>
      <c r="J40" s="2426">
        <v>0.13</v>
      </c>
      <c r="K40" s="2426">
        <v>-0.04</v>
      </c>
      <c r="L40" s="2432">
        <v>0.46</v>
      </c>
      <c r="N40" s="2427">
        <f t="shared" si="157"/>
        <v>2.0000000000000001E-4</v>
      </c>
      <c r="O40" s="2413">
        <f t="shared" si="157"/>
        <v>1.2999999999999999E-3</v>
      </c>
      <c r="P40" s="2413">
        <f t="shared" si="157"/>
        <v>-4.0000000000000002E-4</v>
      </c>
      <c r="Q40" s="2413">
        <f t="shared" si="157"/>
        <v>4.5999999999999999E-3</v>
      </c>
      <c r="R40" s="2428"/>
      <c r="S40" s="2443">
        <f>B40/B41-1</f>
        <v>6.9183549807361189E-4</v>
      </c>
      <c r="T40" s="2444">
        <f>C40/C41-1</f>
        <v>0</v>
      </c>
      <c r="U40" s="2444">
        <f>E40/E41-1</f>
        <v>-9.0449527636460303E-4</v>
      </c>
      <c r="V40" s="2444">
        <f>F40/F41-1</f>
        <v>5.2825485432512753E-3</v>
      </c>
      <c r="X40" s="2413"/>
      <c r="Y40" s="2413"/>
      <c r="Z40" s="2413"/>
    </row>
    <row r="41" spans="1:26" ht="13.5" thickBot="1">
      <c r="A41" s="2424" t="s">
        <v>1138</v>
      </c>
      <c r="B41" s="2439">
        <v>275</v>
      </c>
      <c r="C41" s="2439">
        <v>232</v>
      </c>
      <c r="D41" s="2439">
        <f t="shared" si="155"/>
        <v>232</v>
      </c>
      <c r="E41" s="2439">
        <v>376</v>
      </c>
      <c r="F41" s="2440">
        <v>213</v>
      </c>
      <c r="G41" s="3401">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402">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3"/>
      <c r="U42" s="2413"/>
      <c r="V42" s="2413"/>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402">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3"/>
      <c r="U43" s="2413"/>
      <c r="V43" s="2413"/>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403">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3"/>
      <c r="Y44" s="2413"/>
      <c r="Z44" s="2413"/>
    </row>
    <row r="45" spans="1:26" ht="13.5" thickBot="1">
      <c r="A45" s="2424" t="s">
        <v>1142</v>
      </c>
      <c r="B45" s="2439">
        <v>269</v>
      </c>
      <c r="C45" s="2439">
        <v>221</v>
      </c>
      <c r="D45" s="2439">
        <f t="shared" si="155"/>
        <v>221</v>
      </c>
      <c r="E45" s="2439">
        <v>373</v>
      </c>
      <c r="F45" s="2440">
        <v>196</v>
      </c>
      <c r="G45" s="3401">
        <v>2010</v>
      </c>
      <c r="H45" s="2445">
        <v>4</v>
      </c>
      <c r="I45" s="2445">
        <v>5.72</v>
      </c>
      <c r="J45" s="2445">
        <v>6.57</v>
      </c>
      <c r="K45" s="2445">
        <v>5.72</v>
      </c>
      <c r="L45" s="2446">
        <v>2.72</v>
      </c>
      <c r="N45" s="2427">
        <f t="shared" si="157"/>
        <v>5.7200000000000001E-2</v>
      </c>
      <c r="O45" s="2413">
        <f t="shared" si="157"/>
        <v>6.5700000000000008E-2</v>
      </c>
      <c r="P45" s="2413">
        <f t="shared" si="157"/>
        <v>5.7200000000000001E-2</v>
      </c>
      <c r="Q45" s="2413">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402">
        <v>2010</v>
      </c>
      <c r="H46" s="2450">
        <v>3</v>
      </c>
      <c r="I46" s="2450">
        <v>4.7300000000000004</v>
      </c>
      <c r="J46" s="2450">
        <v>3.9</v>
      </c>
      <c r="K46" s="2450">
        <v>5.03</v>
      </c>
      <c r="L46" s="2451">
        <v>4.21</v>
      </c>
      <c r="N46" s="2427">
        <f t="shared" si="157"/>
        <v>4.7300000000000002E-2</v>
      </c>
      <c r="O46" s="2413">
        <f t="shared" si="157"/>
        <v>3.9E-2</v>
      </c>
      <c r="P46" s="2413">
        <f t="shared" si="157"/>
        <v>5.0300000000000004E-2</v>
      </c>
      <c r="Q46" s="2413">
        <f t="shared" si="157"/>
        <v>4.2099999999999999E-2</v>
      </c>
      <c r="R46" s="2428"/>
      <c r="S46" s="2427"/>
      <c r="T46" s="2413"/>
      <c r="U46" s="2413"/>
      <c r="V46" s="2413"/>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402">
        <v>2010</v>
      </c>
      <c r="H47" s="2437">
        <v>2</v>
      </c>
      <c r="I47" s="2437">
        <v>4.6900000000000004</v>
      </c>
      <c r="J47" s="2437">
        <v>3.55</v>
      </c>
      <c r="K47" s="2437">
        <v>5.07</v>
      </c>
      <c r="L47" s="2438">
        <v>4.2300000000000004</v>
      </c>
      <c r="N47" s="2427">
        <f t="shared" si="157"/>
        <v>4.6900000000000004E-2</v>
      </c>
      <c r="O47" s="2413">
        <f t="shared" si="157"/>
        <v>3.5499999999999997E-2</v>
      </c>
      <c r="P47" s="2413">
        <f t="shared" si="157"/>
        <v>5.0700000000000002E-2</v>
      </c>
      <c r="Q47" s="2413">
        <f t="shared" si="157"/>
        <v>4.2300000000000004E-2</v>
      </c>
      <c r="R47" s="2428"/>
      <c r="S47" s="2427"/>
      <c r="T47" s="2413"/>
      <c r="U47" s="2413"/>
      <c r="V47" s="2413"/>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403">
        <v>2010</v>
      </c>
      <c r="H48" s="2426">
        <v>1</v>
      </c>
      <c r="I48" s="2426">
        <v>5.4</v>
      </c>
      <c r="J48" s="2426">
        <v>3.2</v>
      </c>
      <c r="K48" s="2426">
        <v>6.16</v>
      </c>
      <c r="L48" s="2432">
        <v>4.51</v>
      </c>
      <c r="N48" s="2427">
        <f t="shared" si="157"/>
        <v>5.4000000000000006E-2</v>
      </c>
      <c r="O48" s="2413">
        <f t="shared" si="157"/>
        <v>3.2000000000000001E-2</v>
      </c>
      <c r="P48" s="2413">
        <f t="shared" si="157"/>
        <v>6.1600000000000002E-2</v>
      </c>
      <c r="Q48" s="2413">
        <f t="shared" si="157"/>
        <v>4.5100000000000001E-2</v>
      </c>
      <c r="R48" s="2428"/>
      <c r="S48" s="2443">
        <f>B48/B49-1</f>
        <v>5.4863199037347599E-2</v>
      </c>
      <c r="T48" s="2444">
        <f>C48/C49-1</f>
        <v>3.0742184721226584E-2</v>
      </c>
      <c r="U48" s="2444">
        <f>E48/E49-1</f>
        <v>6.2167683886810154E-2</v>
      </c>
      <c r="V48" s="2444">
        <f>F48/F49-1</f>
        <v>4.5657953741810031E-2</v>
      </c>
      <c r="X48" s="2413"/>
      <c r="Y48" s="2413"/>
      <c r="Z48" s="2413"/>
    </row>
    <row r="49" spans="1:26" ht="13.5" thickBot="1">
      <c r="A49" s="2424" t="s">
        <v>1146</v>
      </c>
      <c r="B49" s="2439">
        <v>220</v>
      </c>
      <c r="C49" s="2439">
        <v>187</v>
      </c>
      <c r="D49" s="2439">
        <f t="shared" si="155"/>
        <v>187</v>
      </c>
      <c r="E49" s="2439">
        <v>301</v>
      </c>
      <c r="F49" s="2440">
        <v>168</v>
      </c>
      <c r="G49" s="3401">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402">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3"/>
      <c r="U50" s="2413"/>
      <c r="V50" s="2413"/>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402">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3"/>
      <c r="U51" s="2413"/>
      <c r="V51" s="2413"/>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403">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3"/>
      <c r="Y52" s="2413"/>
      <c r="Z52" s="2413"/>
    </row>
    <row r="53" spans="1:26" ht="13.5" thickBot="1">
      <c r="A53" s="2424" t="s">
        <v>1150</v>
      </c>
      <c r="B53" s="2474">
        <v>214</v>
      </c>
      <c r="C53" s="2474">
        <v>188</v>
      </c>
      <c r="D53" s="2474">
        <f t="shared" si="155"/>
        <v>188</v>
      </c>
      <c r="E53" s="2474">
        <v>289</v>
      </c>
      <c r="F53" s="2475">
        <v>166</v>
      </c>
      <c r="G53" s="3401">
        <v>2008</v>
      </c>
      <c r="H53" s="2445">
        <v>4</v>
      </c>
      <c r="I53" s="2445">
        <v>1.73</v>
      </c>
      <c r="J53" s="2445">
        <v>0.03</v>
      </c>
      <c r="K53" s="2445">
        <v>2.59</v>
      </c>
      <c r="L53" s="2446">
        <v>-1.66</v>
      </c>
      <c r="N53" s="2427">
        <f t="shared" si="157"/>
        <v>1.7299999999999999E-2</v>
      </c>
      <c r="O53" s="2413">
        <f t="shared" si="157"/>
        <v>2.9999999999999997E-4</v>
      </c>
      <c r="P53" s="2413">
        <f t="shared" si="157"/>
        <v>2.5899999999999999E-2</v>
      </c>
      <c r="Q53" s="2413">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402">
        <v>2008</v>
      </c>
      <c r="H54" s="2450">
        <v>3</v>
      </c>
      <c r="I54" s="2450">
        <v>1.96</v>
      </c>
      <c r="J54" s="2450">
        <v>2.36</v>
      </c>
      <c r="K54" s="2450">
        <v>1.82</v>
      </c>
      <c r="L54" s="2451">
        <v>2.2200000000000002</v>
      </c>
      <c r="N54" s="2427">
        <f t="shared" si="157"/>
        <v>1.9599999999999999E-2</v>
      </c>
      <c r="O54" s="2413">
        <f t="shared" si="157"/>
        <v>2.3599999999999999E-2</v>
      </c>
      <c r="P54" s="2413">
        <f t="shared" si="157"/>
        <v>1.8200000000000001E-2</v>
      </c>
      <c r="Q54" s="2413">
        <f t="shared" si="157"/>
        <v>2.2200000000000001E-2</v>
      </c>
      <c r="R54" s="2428"/>
      <c r="S54" s="2427"/>
      <c r="T54" s="2413"/>
      <c r="U54" s="2413"/>
      <c r="V54" s="2413"/>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402">
        <v>2008</v>
      </c>
      <c r="H55" s="2437">
        <v>2</v>
      </c>
      <c r="I55" s="2437">
        <v>4.93</v>
      </c>
      <c r="J55" s="2437">
        <v>7.38</v>
      </c>
      <c r="K55" s="2437">
        <v>3.98</v>
      </c>
      <c r="L55" s="2438">
        <v>6.86</v>
      </c>
      <c r="N55" s="2427">
        <f t="shared" si="157"/>
        <v>4.9299999999999997E-2</v>
      </c>
      <c r="O55" s="2413">
        <f t="shared" si="157"/>
        <v>7.3800000000000004E-2</v>
      </c>
      <c r="P55" s="2413">
        <f t="shared" si="157"/>
        <v>3.9800000000000002E-2</v>
      </c>
      <c r="Q55" s="2413">
        <f t="shared" si="157"/>
        <v>6.8600000000000008E-2</v>
      </c>
      <c r="R55" s="2428"/>
      <c r="S55" s="2427"/>
      <c r="T55" s="2413"/>
      <c r="U55" s="2413"/>
      <c r="V55" s="2413"/>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403">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401">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402">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3"/>
      <c r="U58" s="2413"/>
      <c r="V58" s="2413"/>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402">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3"/>
      <c r="U59" s="2413"/>
      <c r="V59" s="2413"/>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403">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401">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402">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3"/>
      <c r="U62" s="2413"/>
      <c r="V62" s="2413"/>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402">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3"/>
      <c r="U63" s="2413"/>
      <c r="V63" s="2413"/>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403">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401">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402">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3"/>
      <c r="U66" s="2413"/>
      <c r="V66" s="2413"/>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402">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3"/>
      <c r="U67" s="2413"/>
      <c r="V67" s="2413"/>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403">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401">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402">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3"/>
      <c r="U70" s="2413"/>
      <c r="V70" s="2413"/>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402">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3"/>
      <c r="U71" s="2413"/>
      <c r="V71" s="2413"/>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403">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401">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402">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402">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403">
        <v>2003</v>
      </c>
      <c r="H76" s="2499">
        <v>1</v>
      </c>
      <c r="I76" s="2496"/>
      <c r="J76" s="2496"/>
      <c r="K76" s="2496"/>
      <c r="L76" s="2496"/>
      <c r="S76" s="2427"/>
      <c r="T76" s="2413"/>
      <c r="U76" s="2413"/>
      <c r="X76" s="2488"/>
      <c r="Y76" s="2488"/>
      <c r="Z76" s="2488"/>
    </row>
    <row r="77" spans="1:26" ht="13.5" thickBot="1">
      <c r="A77" s="2424" t="s">
        <v>1174</v>
      </c>
      <c r="B77" s="2500">
        <v>106</v>
      </c>
      <c r="C77" s="2500">
        <v>107</v>
      </c>
      <c r="D77" s="2500">
        <f t="shared" si="155"/>
        <v>107</v>
      </c>
      <c r="E77" s="2500">
        <v>105</v>
      </c>
      <c r="F77" s="2501">
        <v>102</v>
      </c>
      <c r="G77" s="3401">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402">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402">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403">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2"/>
      <c r="S94" s="2514" t="s">
        <v>1182</v>
      </c>
      <c r="T94" s="2515" t="s">
        <v>1183</v>
      </c>
      <c r="U94" s="2515" t="s">
        <v>1184</v>
      </c>
      <c r="V94" s="2515" t="s">
        <v>1185</v>
      </c>
    </row>
    <row r="95" spans="1:26">
      <c r="G95" s="2412"/>
      <c r="N95" s="2441"/>
      <c r="O95" s="2442"/>
      <c r="P95" s="2442"/>
      <c r="Q95" s="2442"/>
      <c r="S95" s="2516">
        <v>2006</v>
      </c>
      <c r="T95" s="2517">
        <v>15.1</v>
      </c>
      <c r="U95" s="2517">
        <v>7.43</v>
      </c>
      <c r="V95" s="2517">
        <v>26.26</v>
      </c>
    </row>
    <row r="96" spans="1:26">
      <c r="G96" s="2412"/>
      <c r="N96" s="2441"/>
      <c r="O96" s="2442"/>
      <c r="P96" s="2442"/>
      <c r="Q96" s="2442"/>
      <c r="S96" s="2518">
        <v>2005</v>
      </c>
      <c r="T96" s="2519">
        <v>13.9</v>
      </c>
      <c r="U96" s="2519">
        <v>7.49</v>
      </c>
      <c r="V96" s="2519">
        <v>24.92</v>
      </c>
    </row>
    <row r="97" spans="7:22">
      <c r="G97" s="2412"/>
      <c r="N97" s="2441"/>
      <c r="O97" s="2442"/>
      <c r="P97" s="2442"/>
      <c r="Q97" s="2442"/>
      <c r="S97" s="2516">
        <v>2004</v>
      </c>
      <c r="T97" s="2517">
        <v>9.48</v>
      </c>
      <c r="U97" s="2517">
        <v>7.2</v>
      </c>
      <c r="V97" s="2517">
        <v>14.68</v>
      </c>
    </row>
    <row r="98" spans="7:22">
      <c r="G98" s="2412"/>
      <c r="N98" s="2441"/>
      <c r="O98" s="2442"/>
      <c r="P98" s="2442"/>
      <c r="Q98" s="2442"/>
      <c r="S98" s="2518">
        <v>2003</v>
      </c>
      <c r="T98" s="2519">
        <v>4.5</v>
      </c>
      <c r="U98" s="2519">
        <v>6.12</v>
      </c>
      <c r="V98" s="2519">
        <v>2.34</v>
      </c>
    </row>
    <row r="99" spans="7:22" ht="13.5" thickBot="1">
      <c r="G99" s="2412"/>
      <c r="N99" s="2441"/>
      <c r="O99" s="2442"/>
      <c r="P99" s="2442"/>
      <c r="Q99" s="2442"/>
      <c r="S99" s="2520">
        <v>2002</v>
      </c>
      <c r="T99" s="2521">
        <v>3.59</v>
      </c>
      <c r="U99" s="2521">
        <v>4.54</v>
      </c>
      <c r="V99" s="2521">
        <v>2.5499999999999998</v>
      </c>
    </row>
    <row r="100" spans="7:22">
      <c r="G100" s="2412"/>
      <c r="N100" s="2441"/>
      <c r="O100" s="2442"/>
      <c r="P100" s="2442"/>
      <c r="Q100" s="2442"/>
    </row>
    <row r="101" spans="7:22">
      <c r="G101" s="2412"/>
      <c r="N101" s="2441"/>
      <c r="O101" s="2442"/>
      <c r="P101" s="2442"/>
      <c r="Q101" s="2442"/>
    </row>
    <row r="102" spans="7:22">
      <c r="G102" s="2412"/>
      <c r="N102" s="2441"/>
      <c r="O102" s="2442"/>
      <c r="P102" s="2442"/>
      <c r="Q102" s="2442"/>
    </row>
    <row r="103" spans="7:22">
      <c r="G103" s="2412"/>
      <c r="N103" s="2441"/>
      <c r="O103" s="2442"/>
      <c r="P103" s="2442"/>
      <c r="Q103" s="2442"/>
    </row>
    <row r="104" spans="7:22">
      <c r="G104" s="2412"/>
      <c r="N104" s="2441"/>
      <c r="O104" s="2442"/>
      <c r="P104" s="2442"/>
      <c r="Q104" s="2442"/>
    </row>
    <row r="105" spans="7:22">
      <c r="G105" s="2412"/>
      <c r="N105" s="2441"/>
      <c r="O105" s="2442"/>
      <c r="P105" s="2442"/>
      <c r="Q105" s="2442"/>
    </row>
    <row r="106" spans="7:22">
      <c r="G106" s="2412"/>
      <c r="N106" s="2441"/>
      <c r="O106" s="2442"/>
      <c r="P106" s="2442"/>
      <c r="Q106" s="2442"/>
    </row>
    <row r="107" spans="7:22">
      <c r="G107" s="2412"/>
      <c r="N107" s="2441"/>
      <c r="O107" s="2442"/>
      <c r="P107" s="2442"/>
      <c r="Q107" s="2442"/>
    </row>
    <row r="108" spans="7:22">
      <c r="G108" s="2412"/>
      <c r="N108" s="2441"/>
      <c r="O108" s="2442"/>
      <c r="P108" s="2442"/>
      <c r="Q108" s="2442"/>
    </row>
    <row r="109" spans="7:22">
      <c r="G109" s="2412"/>
      <c r="N109" s="2441"/>
      <c r="O109" s="2442"/>
      <c r="P109" s="2442"/>
      <c r="Q109" s="2442"/>
    </row>
    <row r="110" spans="7:22">
      <c r="G110" s="2412"/>
      <c r="N110" s="2441"/>
      <c r="O110" s="2442"/>
      <c r="P110" s="2442"/>
      <c r="Q110" s="2442"/>
      <c r="S110" s="2412"/>
    </row>
    <row r="111" spans="7:22">
      <c r="G111" s="2412"/>
      <c r="N111" s="2441"/>
      <c r="O111" s="2442"/>
      <c r="P111" s="2442"/>
      <c r="Q111" s="2442"/>
      <c r="S111" s="2412"/>
    </row>
    <row r="112" spans="7:22">
      <c r="G112" s="2412"/>
      <c r="N112" s="2441"/>
      <c r="O112" s="2442"/>
      <c r="P112" s="2442"/>
      <c r="Q112" s="2442"/>
      <c r="S112" s="2412"/>
    </row>
    <row r="113" spans="7:19">
      <c r="G113" s="2412"/>
      <c r="N113" s="2441"/>
      <c r="O113" s="2442"/>
      <c r="P113" s="2442"/>
      <c r="Q113" s="2442"/>
      <c r="S113" s="2412"/>
    </row>
    <row r="114" spans="7:19">
      <c r="G114" s="2412"/>
      <c r="N114" s="2441"/>
      <c r="O114" s="2442"/>
      <c r="P114" s="2442"/>
      <c r="Q114" s="2442"/>
      <c r="S114" s="2412"/>
    </row>
    <row r="115" spans="7:19">
      <c r="G115" s="2412"/>
      <c r="N115" s="2441"/>
      <c r="O115" s="2442"/>
      <c r="P115" s="2442"/>
      <c r="Q115" s="2442"/>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13" t="s">
        <v>2824</v>
      </c>
      <c r="D1" s="3414"/>
      <c r="E1" s="3414"/>
      <c r="F1" s="3414"/>
      <c r="G1" s="3414"/>
      <c r="H1" s="3414"/>
      <c r="I1" s="3414"/>
      <c r="J1" s="3414"/>
      <c r="K1" s="3414"/>
      <c r="L1" s="3414"/>
      <c r="M1" s="3414"/>
      <c r="N1" s="3414"/>
      <c r="O1" s="3414"/>
      <c r="P1" s="3414"/>
      <c r="Q1" s="3414"/>
      <c r="R1" s="3414"/>
      <c r="S1" s="3415"/>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10" t="s">
        <v>33</v>
      </c>
      <c r="D22" s="3411"/>
      <c r="E22" s="3411"/>
      <c r="F22" s="3411"/>
      <c r="G22" s="3411"/>
      <c r="H22" s="3411"/>
      <c r="I22" s="3411"/>
      <c r="J22" s="3411"/>
      <c r="K22" s="3411"/>
      <c r="L22" s="3411"/>
      <c r="M22" s="3411"/>
      <c r="N22" s="3411"/>
      <c r="O22" s="3411"/>
      <c r="P22" s="3411"/>
      <c r="Q22" s="3412"/>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37351</v>
      </c>
      <c r="C2" s="2" t="s">
        <v>133</v>
      </c>
      <c r="D2" s="205"/>
      <c r="E2" s="205"/>
      <c r="F2" s="205"/>
      <c r="G2" s="205"/>
    </row>
    <row r="3" spans="1:7" s="206" customFormat="1" ht="18" customHeight="1" thickBot="1">
      <c r="A3" s="209" t="s">
        <v>85</v>
      </c>
      <c r="B3" s="210">
        <f ca="1">ROUND(B2*10000/'数据-汇总表'!E3,0)</f>
        <v>20100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372</v>
      </c>
      <c r="D10" s="954">
        <f>'数据-汇总表'!E6</f>
        <v>18583.03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372</v>
      </c>
      <c r="D19" s="958">
        <f>'数据-汇总表'!E3</f>
        <v>18583.03</v>
      </c>
      <c r="E19" s="217">
        <f>'数据-取费表'!B31</f>
        <v>200</v>
      </c>
      <c r="F19" s="237"/>
      <c r="G19" s="1" t="s">
        <v>1042</v>
      </c>
    </row>
    <row r="20" spans="1:7" s="220" customFormat="1" ht="13.5" customHeight="1">
      <c r="A20" s="885" t="s">
        <v>1025</v>
      </c>
      <c r="B20" s="216" t="s">
        <v>104</v>
      </c>
      <c r="C20" s="238">
        <f>ROUND((C5+C19)*F20,0)</f>
        <v>420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1528</v>
      </c>
      <c r="D22" s="241">
        <f ca="1">C26</f>
        <v>6.9999999999999999E-4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1486</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27</v>
      </c>
      <c r="D24" s="244"/>
      <c r="E24" s="244"/>
      <c r="F24" s="245"/>
      <c r="G24" s="246" t="s">
        <v>109</v>
      </c>
    </row>
    <row r="25" spans="1:7" s="220" customFormat="1" ht="24">
      <c r="A25" s="888" t="s">
        <v>793</v>
      </c>
      <c r="B25" s="221" t="s">
        <v>1026</v>
      </c>
      <c r="C25" s="1265">
        <f ca="1">ROUND(IF('数据-取费表'!B22&lt;=1,C20*F22*'数据-取费表'!B23/2,C20*(POWER((1+F22),'数据-取费表'!B23/2)-1)),0)</f>
        <v>15</v>
      </c>
      <c r="D25" s="244"/>
      <c r="E25" s="247"/>
      <c r="F25" s="245"/>
      <c r="G25" s="248" t="s">
        <v>110</v>
      </c>
    </row>
    <row r="26" spans="1:7" s="220" customFormat="1">
      <c r="A26" s="888" t="s">
        <v>795</v>
      </c>
      <c r="B26" s="221" t="s">
        <v>1028</v>
      </c>
      <c r="C26" s="244">
        <f ca="1">ROUND(IF('数据-取费表'!B22&lt;=1,F21*F22*'数据-取费表'!B23/2,F21*(POWER((1+F22),'数据-取费表'!B23/2)-1)),4)</f>
        <v>6.9999999999999999E-4</v>
      </c>
      <c r="D26" s="244"/>
      <c r="E26" s="247"/>
      <c r="F26" s="245"/>
      <c r="G26" s="249"/>
    </row>
    <row r="27" spans="1:7" s="220" customFormat="1" ht="24.75">
      <c r="A27" s="885" t="s">
        <v>787</v>
      </c>
      <c r="B27" s="250" t="s">
        <v>112</v>
      </c>
      <c r="C27" s="251">
        <f>C28</f>
        <v>4280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4280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29513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7169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6504</v>
      </c>
      <c r="D34" s="223"/>
      <c r="E34" s="226"/>
      <c r="F34" s="263">
        <f>IF('数据-取费表'!B24=0,1,'数据-取费表'!N16)</f>
        <v>1</v>
      </c>
      <c r="G34" s="225" t="s">
        <v>116</v>
      </c>
    </row>
    <row r="35" spans="1:7" ht="13.5" customHeight="1">
      <c r="A35" s="888" t="s">
        <v>796</v>
      </c>
      <c r="B35" s="221" t="s">
        <v>60</v>
      </c>
      <c r="C35" s="226">
        <f>ROUND(C34*F35,0)</f>
        <v>195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372</v>
      </c>
      <c r="D37" s="223">
        <f>'数据-汇总表'!E3</f>
        <v>18583.03</v>
      </c>
      <c r="E37" s="255">
        <f>'数据-取费表'!B35</f>
        <v>200</v>
      </c>
      <c r="F37" s="265"/>
      <c r="G37" s="267" t="s">
        <v>119</v>
      </c>
    </row>
    <row r="38" spans="1:7" ht="13.5" customHeight="1">
      <c r="A38" s="888" t="s">
        <v>799</v>
      </c>
      <c r="B38" s="221" t="s">
        <v>63</v>
      </c>
      <c r="C38" s="226">
        <f>ROUND(C34*F38,0)</f>
        <v>98</v>
      </c>
      <c r="D38" s="226"/>
      <c r="E38" s="226"/>
      <c r="F38" s="265">
        <f>'数据-取费表'!B36</f>
        <v>1.4999999999999999E-2</v>
      </c>
      <c r="G38" s="225" t="s">
        <v>117</v>
      </c>
    </row>
    <row r="39" spans="1:7" s="220" customFormat="1" ht="13.5" customHeight="1">
      <c r="A39" s="885" t="s">
        <v>783</v>
      </c>
      <c r="B39" s="216" t="s">
        <v>104</v>
      </c>
      <c r="C39" s="238">
        <f>ROUND(C33*F20,0)</f>
        <v>143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259</v>
      </c>
      <c r="D41" s="241">
        <f ca="1">C44</f>
        <v>6.9999999999999999E-4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254</v>
      </c>
      <c r="D42" s="244"/>
      <c r="E42" s="244"/>
      <c r="F42" s="245"/>
      <c r="G42" s="3268" t="s">
        <v>121</v>
      </c>
    </row>
    <row r="43" spans="1:7" ht="13.5" customHeight="1">
      <c r="A43" s="888" t="s">
        <v>792</v>
      </c>
      <c r="B43" s="221" t="s">
        <v>1032</v>
      </c>
      <c r="C43" s="244">
        <f ca="1">ROUND(IF('数据-取费表'!B22&lt;=1,C39*F22*'数据-取费表'!B21/2,C39*(POWER((1+F22),'数据-取费表'!B21/2)-1)),0)</f>
        <v>5</v>
      </c>
      <c r="D43" s="244"/>
      <c r="E43" s="244"/>
      <c r="F43" s="245"/>
      <c r="G43" s="3269"/>
    </row>
    <row r="44" spans="1:7" ht="13.5" customHeight="1">
      <c r="A44" s="888" t="s">
        <v>793</v>
      </c>
      <c r="B44" s="221" t="s">
        <v>1034</v>
      </c>
      <c r="C44" s="244">
        <f ca="1">ROUND(IF('数据-取费表'!B22&lt;=1,C40*F22*'数据-取费表'!B21/2,C40*(POWER((1+F22),'数据-取费表'!B21/2)-1)),4)</f>
        <v>6.9999999999999999E-4</v>
      </c>
      <c r="D44" s="244"/>
      <c r="E44" s="244"/>
      <c r="F44" s="245"/>
      <c r="G44" s="3270"/>
    </row>
    <row r="45" spans="1:7" s="220" customFormat="1" ht="13.5" customHeight="1">
      <c r="A45" s="885" t="s">
        <v>786</v>
      </c>
      <c r="B45" s="250" t="s">
        <v>112</v>
      </c>
      <c r="C45" s="251">
        <f>C46</f>
        <v>1462</v>
      </c>
      <c r="D45" s="241">
        <f>C47</f>
        <v>4.0000000000000001E-3</v>
      </c>
      <c r="E45" s="242" t="s">
        <v>129</v>
      </c>
      <c r="F45" s="252"/>
      <c r="G45" s="253" t="s">
        <v>1040</v>
      </c>
    </row>
    <row r="46" spans="1:7" s="220" customFormat="1" ht="13.5" customHeight="1">
      <c r="A46" s="888" t="s">
        <v>794</v>
      </c>
      <c r="B46" s="254" t="s">
        <v>1033</v>
      </c>
      <c r="C46" s="255">
        <f>ROUND((C33+C39)*F27,0)</f>
        <v>1462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9798</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7838</v>
      </c>
      <c r="D51" s="238"/>
      <c r="E51" s="238"/>
      <c r="F51" s="270"/>
      <c r="G51" s="240" t="s">
        <v>64</v>
      </c>
    </row>
    <row r="52" spans="1:7" s="214" customFormat="1" ht="16.5" thickBot="1">
      <c r="A52" s="271" t="s">
        <v>65</v>
      </c>
      <c r="B52" s="272"/>
      <c r="C52" s="273">
        <f ca="1">C31+C51</f>
        <v>37351</v>
      </c>
      <c r="D52" s="272"/>
      <c r="E52" s="272"/>
      <c r="F52" s="272"/>
      <c r="G52" s="274"/>
    </row>
    <row r="55" spans="1:7" ht="15">
      <c r="B55" s="276" t="s">
        <v>66</v>
      </c>
      <c r="C55" s="277"/>
    </row>
    <row r="56" spans="1:7">
      <c r="B56" s="279" t="s">
        <v>67</v>
      </c>
      <c r="C56" s="280">
        <f ca="1">ROUND(C51/C52,3)</f>
        <v>0.21</v>
      </c>
    </row>
    <row r="57" spans="1:7">
      <c r="B57" s="279" t="s">
        <v>68</v>
      </c>
      <c r="C57" s="281">
        <f ca="1">1-C56</f>
        <v>0.79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6" t="s">
        <v>156</v>
      </c>
      <c r="B1" s="3416"/>
      <c r="C1" s="3416"/>
      <c r="D1" s="3416"/>
      <c r="E1" s="3416"/>
      <c r="F1" s="341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7" t="s">
        <v>169</v>
      </c>
      <c r="B2" s="3417"/>
      <c r="C2" s="3417"/>
      <c r="D2" s="3417"/>
      <c r="E2" s="3417"/>
      <c r="F2" s="341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6" t="s">
        <v>839</v>
      </c>
      <c r="B1" s="341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44155</v>
      </c>
      <c r="D1" s="1472" t="s">
        <v>1268</v>
      </c>
      <c r="E1" s="1467">
        <f>'数据-取费表'!B22</f>
        <v>1.5</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D74" sqref="D7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3100</v>
      </c>
      <c r="D1" s="1548" t="s">
        <v>70</v>
      </c>
      <c r="E1" s="1549" t="s">
        <v>1352</v>
      </c>
      <c r="F1" s="1193" t="e">
        <f ca="1">J53</f>
        <v>#N/A</v>
      </c>
      <c r="G1" s="1564" t="e">
        <f>MATCH(C1,'数据-取费表'!A6:A16,0)+5</f>
        <v>#N/A</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#N/A</v>
      </c>
      <c r="C2" s="1573" t="s">
        <v>1481</v>
      </c>
      <c r="D2" s="1573"/>
      <c r="E2" s="1574"/>
      <c r="F2" s="1575"/>
      <c r="G2" s="2935"/>
      <c r="H2" s="2924"/>
      <c r="I2" s="2924"/>
      <c r="J2" s="2924"/>
      <c r="K2" s="2925"/>
      <c r="L2" s="2924"/>
      <c r="M2" s="2924"/>
    </row>
    <row r="3" spans="1:37" ht="18" customHeight="1" thickBot="1">
      <c r="A3" s="1576" t="s">
        <v>1482</v>
      </c>
      <c r="B3" s="1577">
        <f ca="1">IF(ISERROR(B2*10000/F43),0,ROUND(B2*10000/F43,0))</f>
        <v>0</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t="e">
        <f ca="1">C6+C10+C12</f>
        <v>#N/A</v>
      </c>
      <c r="D5" s="1550" t="s">
        <v>1367</v>
      </c>
      <c r="E5" s="1203"/>
      <c r="F5" s="1204"/>
      <c r="G5" s="1570"/>
      <c r="H5" s="305">
        <v>1</v>
      </c>
      <c r="I5" s="306" t="s">
        <v>1366</v>
      </c>
      <c r="J5" s="1202" t="e">
        <f ca="1">J6+J10+J12</f>
        <v>#N/A</v>
      </c>
      <c r="K5" s="1550" t="s">
        <v>1367</v>
      </c>
      <c r="L5" s="1203"/>
      <c r="M5" s="1204"/>
    </row>
    <row r="6" spans="1:37" ht="18" customHeight="1">
      <c r="A6" s="1201" t="s">
        <v>1003</v>
      </c>
      <c r="B6" s="3299" t="s">
        <v>1368</v>
      </c>
      <c r="C6" s="1206" t="e">
        <f ca="1">ROUND(F6*F8*F7*(1-F9)/10000,0)</f>
        <v>#N/A</v>
      </c>
      <c r="D6" s="160" t="s">
        <v>2849</v>
      </c>
      <c r="E6" s="308" t="s">
        <v>1370</v>
      </c>
      <c r="F6" s="309" t="e">
        <f ca="1">INDIRECT("'数据-取费表'!u"&amp;$G$1)</f>
        <v>#N/A</v>
      </c>
      <c r="G6" s="1570"/>
      <c r="H6" s="1201" t="s">
        <v>1003</v>
      </c>
      <c r="I6" s="3299" t="s">
        <v>1368</v>
      </c>
      <c r="J6" s="307" t="e">
        <f ca="1">ROUND(M6*M8*M7*(1-M9)/10000,0)</f>
        <v>#N/A</v>
      </c>
      <c r="K6" s="160" t="s">
        <v>2848</v>
      </c>
      <c r="L6" s="308" t="s">
        <v>1370</v>
      </c>
      <c r="M6" s="309" t="e">
        <f ca="1">INDIRECT("'数据-取费表'!z"&amp;$G$1)</f>
        <v>#N/A</v>
      </c>
    </row>
    <row r="7" spans="1:37" ht="18" customHeight="1">
      <c r="A7" s="1205"/>
      <c r="B7" s="3300"/>
      <c r="C7" s="1207"/>
      <c r="D7" s="313"/>
      <c r="E7" s="3053" t="s">
        <v>1371</v>
      </c>
      <c r="F7" s="309" t="e">
        <f ca="1">IF(INDIRECT("'数据-取费表'!ah"&amp;$G$1)="",INDIRECT("'数据-取费表'!k"&amp;$G$1),INDIRECT("'数据-取费表'!ah"&amp;$G$1))</f>
        <v>#N/A</v>
      </c>
      <c r="G7" s="1570"/>
      <c r="H7" s="310"/>
      <c r="I7" s="3300"/>
      <c r="J7" s="312"/>
      <c r="K7" s="313"/>
      <c r="L7" s="308" t="s">
        <v>1371</v>
      </c>
      <c r="M7" s="309" t="e">
        <f ca="1">F7</f>
        <v>#N/A</v>
      </c>
    </row>
    <row r="8" spans="1:37" ht="18" customHeight="1">
      <c r="A8" s="310"/>
      <c r="B8" s="3300"/>
      <c r="C8" s="312"/>
      <c r="D8" s="313"/>
      <c r="E8" s="308" t="s">
        <v>1372</v>
      </c>
      <c r="F8" s="309" t="e">
        <f ca="1">INDIRECT("'数据-取费表'!ai"&amp;$G$1)</f>
        <v>#N/A</v>
      </c>
      <c r="G8" s="1570"/>
      <c r="H8" s="310"/>
      <c r="I8" s="3300"/>
      <c r="J8" s="312"/>
      <c r="K8" s="313"/>
      <c r="L8" s="308" t="s">
        <v>1372</v>
      </c>
      <c r="M8" s="309" t="e">
        <f ca="1">INDIRECT("'数据-取费表'!ai"&amp;$G$1)</f>
        <v>#N/A</v>
      </c>
    </row>
    <row r="9" spans="1:37" ht="18" customHeight="1">
      <c r="A9" s="310"/>
      <c r="B9" s="3301"/>
      <c r="C9" s="312"/>
      <c r="D9" s="313"/>
      <c r="E9" s="308" t="s">
        <v>1373</v>
      </c>
      <c r="F9" s="318" t="e">
        <f ca="1">INDIRECT("'数据-取费表'!w"&amp;$G$1)</f>
        <v>#N/A</v>
      </c>
      <c r="G9" s="1570"/>
      <c r="H9" s="310"/>
      <c r="I9" s="3301"/>
      <c r="J9" s="312"/>
      <c r="K9" s="313"/>
      <c r="L9" s="319" t="s">
        <v>1373</v>
      </c>
      <c r="M9" s="320" t="e">
        <f ca="1">INDIRECT("'数据-取费表'!ab"&amp;$G$1)</f>
        <v>#N/A</v>
      </c>
    </row>
    <row r="10" spans="1:37" ht="18" customHeight="1">
      <c r="A10" s="1201" t="s">
        <v>1007</v>
      </c>
      <c r="B10" s="1551" t="s">
        <v>1374</v>
      </c>
      <c r="C10" s="322">
        <f ca="1">ROUND(IF(F10="押一",C6/12*F11,IF(F10="押二",C6/12*2*F11,IF(F10="押三",C6/12*3*F11,C11*F11))),0)</f>
        <v>0</v>
      </c>
      <c r="D10" s="1552" t="s">
        <v>2856</v>
      </c>
      <c r="E10" s="319" t="s">
        <v>1375</v>
      </c>
      <c r="F10" s="1276" t="s">
        <v>3105</v>
      </c>
      <c r="G10" s="1570"/>
      <c r="H10" s="1201" t="s">
        <v>1007</v>
      </c>
      <c r="I10" s="1551" t="s">
        <v>1374</v>
      </c>
      <c r="J10" s="307" t="e">
        <f ca="1">ROUND(IF(M10="押一",J6/12*M11,IF(M10="押二",J6/12*2*M11,IF(M10="押三",J6/12*3*M11,J11*M11))),0)</f>
        <v>#N/A</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t="e">
        <f ca="1">ROUND(C29*F13,0)</f>
        <v>#N/A</v>
      </c>
      <c r="D13" s="3047" t="s">
        <v>1380</v>
      </c>
      <c r="E13" s="3047" t="s">
        <v>1381</v>
      </c>
      <c r="F13" s="1242" t="e">
        <f ca="1">INDIRECT("'数据-取费表'!y"&amp;$G$1)</f>
        <v>#N/A</v>
      </c>
      <c r="G13" s="1570"/>
      <c r="H13" s="1239">
        <v>2</v>
      </c>
      <c r="I13" s="1240" t="s">
        <v>1379</v>
      </c>
      <c r="J13" s="1200" t="e">
        <f ca="1">ROUND(J14*J15,0)</f>
        <v>#N/A</v>
      </c>
      <c r="K13" s="1247" t="s">
        <v>1380</v>
      </c>
      <c r="L13" s="1578"/>
      <c r="M13" s="1579"/>
    </row>
    <row r="14" spans="1:37" ht="18" customHeight="1">
      <c r="A14" s="1113" t="s">
        <v>1002</v>
      </c>
      <c r="B14" s="308" t="s">
        <v>1382</v>
      </c>
      <c r="C14" s="324" t="e">
        <f ca="1">INDIRECT("'数据-取费表'!m"&amp;$G$1)+INDIRECT("'数据-取费表'!t"&amp;$G$1)</f>
        <v>#N/A</v>
      </c>
      <c r="D14" s="3063" t="s">
        <v>1383</v>
      </c>
      <c r="E14" s="3062"/>
      <c r="F14" s="325"/>
      <c r="G14" s="1570"/>
      <c r="H14" s="1113" t="s">
        <v>1003</v>
      </c>
      <c r="I14" s="308" t="s">
        <v>1384</v>
      </c>
      <c r="J14" s="24" t="e">
        <f ca="1">C29</f>
        <v>#N/A</v>
      </c>
      <c r="K14" s="3051"/>
      <c r="L14" s="916"/>
      <c r="M14" s="917"/>
    </row>
    <row r="15" spans="1:37" s="1583" customFormat="1" ht="18" customHeight="1" thickBot="1">
      <c r="A15" s="1113" t="s">
        <v>1004</v>
      </c>
      <c r="B15" s="308" t="s">
        <v>1385</v>
      </c>
      <c r="C15" s="24" t="e">
        <f ca="1">ROUND(C14*F15,0)</f>
        <v>#N/A</v>
      </c>
      <c r="D15" s="3048" t="s">
        <v>1386</v>
      </c>
      <c r="E15" s="3048" t="s">
        <v>1387</v>
      </c>
      <c r="F15" s="327">
        <f>'数据-取费表'!B33</f>
        <v>0.03</v>
      </c>
      <c r="G15" s="1582"/>
      <c r="H15" s="1249" t="s">
        <v>1007</v>
      </c>
      <c r="I15" s="1250" t="s">
        <v>1381</v>
      </c>
      <c r="J15" s="1259" t="e">
        <f ca="1">INDIRECT("'数据-取费表'!ad"&amp;$G$1)</f>
        <v>#N/A</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70"/>
      <c r="H16" s="1239" t="s">
        <v>998</v>
      </c>
      <c r="I16" s="1240" t="s">
        <v>1389</v>
      </c>
      <c r="J16" s="316" t="e">
        <f ca="1">ROUND(J17+J22+J23+J24,0)</f>
        <v>#N/A</v>
      </c>
      <c r="K16" s="1247" t="s">
        <v>1390</v>
      </c>
      <c r="L16" s="3067"/>
      <c r="M16" s="1204"/>
    </row>
    <row r="17" spans="1:37" s="1583" customFormat="1" ht="18" customHeight="1">
      <c r="A17" s="1113" t="s">
        <v>1355</v>
      </c>
      <c r="B17" s="308" t="s">
        <v>1391</v>
      </c>
      <c r="C17" s="24" t="e">
        <f ca="1">ROUND(F17*(F43+INDIRECT("'数据-取费表'!S"&amp;$G$1))/10000,0)</f>
        <v>#N/A</v>
      </c>
      <c r="D17" s="308" t="s">
        <v>1392</v>
      </c>
      <c r="E17" s="308" t="s">
        <v>1393</v>
      </c>
      <c r="F17" s="26">
        <f>'数据-取费表'!B35</f>
        <v>200</v>
      </c>
      <c r="G17" s="1582"/>
      <c r="H17" s="1113" t="s">
        <v>1003</v>
      </c>
      <c r="I17" s="308" t="s">
        <v>1394</v>
      </c>
      <c r="J17" s="2535" t="e">
        <f ca="1">ROUND(IF(AND(项目基本情况!B11="自然人",项目基本情况!B10="北京市"),J6*M17/(1+'数据-取费表'!C42),J18+J19+J20),0)</f>
        <v>#N/A</v>
      </c>
      <c r="K17" s="3063" t="s">
        <v>1395</v>
      </c>
      <c r="L17" s="3066"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t="e">
        <f ca="1">ROUND(C14*F18,0)</f>
        <v>#N/A</v>
      </c>
      <c r="D18" s="308" t="s">
        <v>1386</v>
      </c>
      <c r="E18" s="308" t="s">
        <v>1387</v>
      </c>
      <c r="F18" s="328">
        <f>'数据-取费表'!B36</f>
        <v>1.4999999999999999E-2</v>
      </c>
      <c r="G18" s="1582"/>
      <c r="H18" s="1113" t="s">
        <v>1002</v>
      </c>
      <c r="I18" s="308" t="s">
        <v>1398</v>
      </c>
      <c r="J18" s="24" t="e">
        <f ca="1">ROUND(J6*M18/(1+'数据-取费表'!C42),2)</f>
        <v>#N/A</v>
      </c>
      <c r="K18" s="3066"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t="e">
        <f ca="1">SUM(C14:C18)</f>
        <v>#N/A</v>
      </c>
      <c r="D19" s="136" t="s">
        <v>1401</v>
      </c>
      <c r="E19" s="3070"/>
      <c r="F19" s="26"/>
      <c r="G19" s="1570"/>
      <c r="H19" s="1113" t="s">
        <v>1004</v>
      </c>
      <c r="I19" s="308" t="s">
        <v>1402</v>
      </c>
      <c r="J19" s="24" t="e">
        <f ca="1">IF(K19="按租金收入计税",ROUND(J6*M19/(1+'数据-取费表'!C42),2),ROUND(C29*M19*0.7,2))</f>
        <v>#N/A</v>
      </c>
      <c r="K19" s="1556" t="s">
        <v>1403</v>
      </c>
      <c r="L19" s="308" t="s">
        <v>1387</v>
      </c>
      <c r="M19" s="328">
        <f>IF(K19="按租金收入计税",'数据-取费表'!B51,'数据-取费表'!B50)</f>
        <v>1.2E-2</v>
      </c>
    </row>
    <row r="20" spans="1:37" s="1583" customFormat="1" ht="18" customHeight="1">
      <c r="A20" s="1113" t="s">
        <v>1007</v>
      </c>
      <c r="B20" s="308" t="s">
        <v>1404</v>
      </c>
      <c r="C20" s="24" t="e">
        <f ca="1">ROUND(C19*F20,0)</f>
        <v>#N/A</v>
      </c>
      <c r="D20" s="329" t="s">
        <v>1405</v>
      </c>
      <c r="E20" s="308" t="s">
        <v>1387</v>
      </c>
      <c r="F20" s="328">
        <f>'数据-取费表'!B37</f>
        <v>0.02</v>
      </c>
      <c r="G20" s="1582"/>
      <c r="H20" s="1113" t="s">
        <v>1354</v>
      </c>
      <c r="I20" s="160" t="s">
        <v>1406</v>
      </c>
      <c r="J20" s="25" t="e">
        <f ca="1">ROUND(M20*M21/10000,2)</f>
        <v>#N/A</v>
      </c>
      <c r="K20" s="330" t="s">
        <v>1407</v>
      </c>
      <c r="L20" s="308" t="s">
        <v>1408</v>
      </c>
      <c r="M20" s="331">
        <f>'数据-取费表'!B52</f>
        <v>24</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t="e">
        <f ca="1">INDIRECT("'数据-取费表'!r"&amp;$G$1)</f>
        <v>#N/A</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70"/>
      <c r="F22" s="26"/>
      <c r="G22" s="1570"/>
      <c r="H22" s="1113" t="s">
        <v>1007</v>
      </c>
      <c r="I22" s="308" t="s">
        <v>1414</v>
      </c>
      <c r="J22" s="24" t="e">
        <f ca="1">ROUND(J14*M22,1)</f>
        <v>#N/A</v>
      </c>
      <c r="K22" s="3066" t="s">
        <v>1415</v>
      </c>
      <c r="L22" s="308" t="s">
        <v>1387</v>
      </c>
      <c r="M22" s="334" t="e">
        <f ca="1">INDIRECT("'数据-取费表'!Ak"&amp;$G$1)</f>
        <v>#N/A</v>
      </c>
    </row>
    <row r="23" spans="1:37" s="1583"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1.5</v>
      </c>
      <c r="G23" s="1582"/>
      <c r="H23" s="1113" t="s">
        <v>1043</v>
      </c>
      <c r="I23" s="308" t="s">
        <v>1418</v>
      </c>
      <c r="J23" s="24" t="e">
        <f ca="1">ROUND(J13*M23,1)</f>
        <v>#N/A</v>
      </c>
      <c r="K23" s="3066" t="s">
        <v>1419</v>
      </c>
      <c r="L23" s="308" t="s">
        <v>1387</v>
      </c>
      <c r="M23" s="336" t="e">
        <f ca="1">INDIRECT("'数据-取费表'!Al"&amp;$G$1)</f>
        <v>#N/A</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6.9999999999999999E-4</v>
      </c>
      <c r="D24" s="335" t="str">
        <f>IF(F23&lt;=1,"销售费用×利率×(建设周期÷2)","销售费用×((1+利率)^(建设周期÷2)-1)")</f>
        <v>销售费用×((1+利率)^(建设周期÷2)-1)</v>
      </c>
      <c r="E24" s="308" t="s">
        <v>1423</v>
      </c>
      <c r="F24" s="337">
        <f ca="1">'数据-取费表'!B40</f>
        <v>4.7500000000000001E-2</v>
      </c>
      <c r="G24" s="1582"/>
      <c r="H24" s="1249" t="s">
        <v>1357</v>
      </c>
      <c r="I24" s="1250" t="s">
        <v>1404</v>
      </c>
      <c r="J24" s="1251" t="e">
        <f ca="1">ROUND(J5*M24,1)</f>
        <v>#N/A</v>
      </c>
      <c r="K24" s="1252" t="s">
        <v>1424</v>
      </c>
      <c r="L24" s="1250" t="s">
        <v>1387</v>
      </c>
      <c r="M24" s="1246" t="e">
        <f ca="1">INDIRECT("'数据-取费表'!Am"&amp;$G$1)</f>
        <v>#N/A</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70"/>
      <c r="F25" s="26"/>
      <c r="G25" s="1570"/>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70"/>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48"/>
      <c r="F27" s="327"/>
      <c r="G27" s="1570"/>
      <c r="H27" s="310"/>
      <c r="I27" s="311"/>
      <c r="J27" s="312"/>
      <c r="K27" s="338" t="s">
        <v>1438</v>
      </c>
      <c r="L27" s="308" t="s">
        <v>1439</v>
      </c>
      <c r="M27" s="339" t="e">
        <f ca="1">INDIRECT("'数据-取费表'!ag"&amp;$G$1)</f>
        <v>#N/A</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t="e">
        <f ca="1">INDIRECT("'数据-取费表'!aa"&amp;$G$1)</f>
        <v>#N/A</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t="e">
        <f ca="1">ROUND((C19+C20+C23+C26)/(1-F21-C24-C27-C28),0)</f>
        <v>#N/A</v>
      </c>
      <c r="D29" s="1252"/>
      <c r="E29" s="1250"/>
      <c r="F29" s="1253"/>
      <c r="G29" s="1582"/>
      <c r="H29" s="340" t="s">
        <v>1001</v>
      </c>
      <c r="I29" s="341" t="s">
        <v>1444</v>
      </c>
      <c r="J29" s="342" t="e">
        <f ca="1">ROUND(J26/(1+F40)^F41,0)</f>
        <v>#N/A</v>
      </c>
      <c r="K29" s="343" t="s">
        <v>1445</v>
      </c>
      <c r="L29" s="344"/>
      <c r="M29" s="345" t="e">
        <f ca="1">INDIRECT("'数据-取费表'!k"&amp;$G$1)</f>
        <v>#N/A</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t="e">
        <f ca="1">ROUND(C31+C36+C37+C38,0)</f>
        <v>#N/A</v>
      </c>
      <c r="D30" s="1247" t="s">
        <v>1390</v>
      </c>
      <c r="E30" s="3067"/>
      <c r="F30" s="1204"/>
      <c r="G30" s="1570"/>
      <c r="H30" s="2926"/>
      <c r="I30" s="1584"/>
      <c r="J30" s="1585"/>
      <c r="K30" s="2701"/>
      <c r="L30" s="2927"/>
      <c r="M30" s="2928"/>
    </row>
    <row r="31" spans="1:37" ht="18" customHeight="1">
      <c r="A31" s="1113" t="s">
        <v>1003</v>
      </c>
      <c r="B31" s="308" t="s">
        <v>1394</v>
      </c>
      <c r="C31" s="2535" t="e">
        <f ca="1">ROUND(IF(AND(项目基本情况!B11="自然人",项目基本情况!B10="北京市"),C6*F31/(1+'数据-取费表'!C42),C32+C33+C34),0)</f>
        <v>#N/A</v>
      </c>
      <c r="D31" s="3063" t="s">
        <v>1395</v>
      </c>
      <c r="E31" s="3066" t="s">
        <v>1446</v>
      </c>
      <c r="F31" s="2534" t="str">
        <f>IF(项目基本情况!B11="企业","——",IF('数据-取费表'!B10="住宅",IF(F6*F7*F8/12/(1+'数据-取费表'!F30)&gt;100000,4%,2.5%),IF(F6*F7*F8/12/(1+'数据-取费表'!F30)&gt;100000,12%,7%)))</f>
        <v>——</v>
      </c>
      <c r="G31" s="1570"/>
      <c r="H31" s="3039" t="s">
        <v>3057</v>
      </c>
      <c r="I31" s="1584"/>
      <c r="J31" s="1585"/>
      <c r="K31" s="2701"/>
      <c r="L31" s="2927"/>
      <c r="M31" s="2928"/>
    </row>
    <row r="32" spans="1:37" ht="18" customHeight="1">
      <c r="A32" s="1113" t="s">
        <v>1002</v>
      </c>
      <c r="B32" s="308" t="s">
        <v>1398</v>
      </c>
      <c r="C32" s="24" t="e">
        <f ca="1">IF(项目基本情况!B11="自然人","——",ROUND(C6*F32/(1+'数据-取费表'!C42),2))</f>
        <v>#N/A</v>
      </c>
      <c r="D32" s="3066"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6" t="s">
        <v>3083</v>
      </c>
      <c r="E33" s="308" t="s">
        <v>1387</v>
      </c>
      <c r="F33" s="328">
        <f>IF(D33="按票据","——",IF(D33="按租金收入计税",'数据-取费表'!B51,'数据-取费表'!B50))</f>
        <v>0.12</v>
      </c>
      <c r="G33" s="1570"/>
      <c r="H33" s="2929"/>
      <c r="I33" s="1584"/>
      <c r="J33" s="1585"/>
      <c r="K33" s="2930"/>
      <c r="L33" s="2929"/>
      <c r="M33" s="2929"/>
    </row>
    <row r="34" spans="1:18" ht="18" customHeight="1">
      <c r="A34" s="1201" t="s">
        <v>1354</v>
      </c>
      <c r="B34" s="160" t="s">
        <v>1406</v>
      </c>
      <c r="C34" s="25" t="e">
        <f ca="1">IF(项目基本情况!B11="自然人","——",ROUND(F34*F35/10000,2))</f>
        <v>#N/A</v>
      </c>
      <c r="D34" s="330" t="s">
        <v>1407</v>
      </c>
      <c r="E34" s="308" t="s">
        <v>1408</v>
      </c>
      <c r="F34" s="331">
        <f>'数据-取费表'!B52</f>
        <v>24</v>
      </c>
      <c r="G34" s="1570"/>
      <c r="H34" s="2926"/>
      <c r="I34" s="1584"/>
      <c r="J34" s="1585"/>
      <c r="K34" s="2931"/>
      <c r="L34" s="2932"/>
      <c r="M34" s="2932"/>
    </row>
    <row r="35" spans="1:18" ht="18" customHeight="1">
      <c r="A35" s="1263"/>
      <c r="B35" s="1261"/>
      <c r="C35" s="29"/>
      <c r="D35" s="333"/>
      <c r="E35" s="308" t="s">
        <v>1412</v>
      </c>
      <c r="F35" s="309" t="e">
        <f ca="1">INDIRECT("'数据-取费表'!r"&amp;$G$1)</f>
        <v>#N/A</v>
      </c>
      <c r="G35" s="1570"/>
      <c r="H35" s="2926"/>
      <c r="I35" s="1584"/>
      <c r="J35" s="1585"/>
      <c r="K35" s="2930"/>
      <c r="L35" s="2929"/>
      <c r="M35" s="2929"/>
    </row>
    <row r="36" spans="1:18" ht="18" customHeight="1">
      <c r="A36" s="1262" t="s">
        <v>1007</v>
      </c>
      <c r="B36" s="308" t="s">
        <v>1414</v>
      </c>
      <c r="C36" s="24" t="e">
        <f ca="1">ROUND(C29*F36,1)</f>
        <v>#N/A</v>
      </c>
      <c r="D36" s="3066" t="s">
        <v>1447</v>
      </c>
      <c r="E36" s="308" t="s">
        <v>1387</v>
      </c>
      <c r="F36" s="334" t="e">
        <f ca="1">INDIRECT("'数据-取费表'!Ak"&amp;$G$1)</f>
        <v>#N/A</v>
      </c>
      <c r="G36" s="1570"/>
      <c r="H36" s="2929"/>
      <c r="I36" s="1584"/>
      <c r="J36" s="1585"/>
      <c r="K36" s="2770"/>
      <c r="L36" s="2929"/>
      <c r="M36" s="2929"/>
    </row>
    <row r="37" spans="1:18" ht="18" customHeight="1">
      <c r="A37" s="1113" t="s">
        <v>1043</v>
      </c>
      <c r="B37" s="308" t="s">
        <v>1418</v>
      </c>
      <c r="C37" s="24" t="e">
        <f ca="1">ROUND(C13*F37,1)</f>
        <v>#N/A</v>
      </c>
      <c r="D37" s="3066" t="s">
        <v>1419</v>
      </c>
      <c r="E37" s="308" t="s">
        <v>1387</v>
      </c>
      <c r="F37" s="336" t="e">
        <f ca="1">INDIRECT("'数据-取费表'!Al"&amp;$G$1)</f>
        <v>#N/A</v>
      </c>
      <c r="G37" s="1570"/>
      <c r="H37" s="2929"/>
      <c r="I37" s="1584"/>
      <c r="J37" s="1585"/>
      <c r="K37" s="2770"/>
      <c r="L37" s="2929"/>
      <c r="M37" s="2929"/>
    </row>
    <row r="38" spans="1:18" ht="18" customHeight="1" thickBot="1">
      <c r="A38" s="1249" t="s">
        <v>1357</v>
      </c>
      <c r="B38" s="1250" t="s">
        <v>1404</v>
      </c>
      <c r="C38" s="1251" t="e">
        <f ca="1">ROUND(C5*F38,1)</f>
        <v>#N/A</v>
      </c>
      <c r="D38" s="1252" t="s">
        <v>1424</v>
      </c>
      <c r="E38" s="1250" t="s">
        <v>1387</v>
      </c>
      <c r="F38" s="1246" t="e">
        <f ca="1">INDIRECT("'数据-取费表'!Am"&amp;$G$1)</f>
        <v>#N/A</v>
      </c>
      <c r="G38" s="1570"/>
      <c r="H38" s="2929"/>
      <c r="I38" s="1584"/>
      <c r="J38" s="1585"/>
      <c r="K38" s="2933"/>
      <c r="L38" s="2929"/>
      <c r="M38" s="2929"/>
    </row>
    <row r="39" spans="1:18" ht="24.6" customHeight="1" thickTop="1">
      <c r="A39" s="1239" t="s">
        <v>999</v>
      </c>
      <c r="B39" s="1254" t="s">
        <v>1428</v>
      </c>
      <c r="C39" s="316" t="e">
        <f ca="1">C5-C30</f>
        <v>#N/A</v>
      </c>
      <c r="D39" s="1255" t="s">
        <v>1429</v>
      </c>
      <c r="E39" s="1256"/>
      <c r="F39" s="1257"/>
      <c r="G39" s="1570"/>
      <c r="H39" s="2929"/>
      <c r="I39" s="1584"/>
      <c r="J39" s="1585"/>
      <c r="K39" s="2933"/>
      <c r="L39" s="2929"/>
      <c r="M39" s="2929"/>
    </row>
    <row r="40" spans="1:18" ht="18" customHeight="1">
      <c r="A40" s="305" t="s">
        <v>1000</v>
      </c>
      <c r="B40" s="306" t="s">
        <v>1450</v>
      </c>
      <c r="C40" s="307" t="e">
        <f ca="1">ROUND(C39*(1-((1+F42)/(1+F40))^F41)/(F40-F42),0)</f>
        <v>#N/A</v>
      </c>
      <c r="D40" s="330" t="s">
        <v>1434</v>
      </c>
      <c r="E40" s="308" t="s">
        <v>1435</v>
      </c>
      <c r="F40" s="318" t="e">
        <f ca="1">INDIRECT("'数据-取费表'!I"&amp;$G$1)</f>
        <v>#N/A</v>
      </c>
      <c r="G40" s="1570"/>
      <c r="H40" s="1647"/>
      <c r="I40" s="1584"/>
      <c r="J40" s="1585"/>
      <c r="K40" s="2933"/>
      <c r="L40" s="1647"/>
      <c r="M40" s="1647"/>
    </row>
    <row r="41" spans="1:18" ht="18" customHeight="1">
      <c r="A41" s="310"/>
      <c r="B41" s="311"/>
      <c r="C41" s="312"/>
      <c r="D41" s="338" t="s">
        <v>1451</v>
      </c>
      <c r="E41" s="308" t="s">
        <v>1439</v>
      </c>
      <c r="F41" s="339" t="e">
        <f ca="1">IF(INDIRECT("'数据-取费表'!af"&amp;$G$1)=0,INDIRECT("'数据-取费表'!ae"&amp;$G$1),INDIRECT("'数据-取费表'!af"&amp;$G$1))</f>
        <v>#N/A</v>
      </c>
      <c r="G41" s="1570"/>
      <c r="H41" s="1353"/>
      <c r="I41" s="1584"/>
      <c r="J41" s="1585"/>
      <c r="K41" s="2770"/>
      <c r="L41" s="1353"/>
      <c r="M41" s="1353"/>
    </row>
    <row r="42" spans="1:18" ht="18" customHeight="1">
      <c r="A42" s="314"/>
      <c r="B42" s="315"/>
      <c r="C42" s="316"/>
      <c r="D42" s="333"/>
      <c r="E42" s="308" t="s">
        <v>1442</v>
      </c>
      <c r="F42" s="318" t="e">
        <f ca="1">INDIRECT("'数据-取费表'!v"&amp;$G$1)</f>
        <v>#N/A</v>
      </c>
      <c r="G42" s="1570"/>
      <c r="H42" s="1353"/>
      <c r="I42" s="1584"/>
      <c r="J42" s="1585"/>
      <c r="K42" s="2770"/>
      <c r="L42" s="1353"/>
      <c r="M42" s="1353"/>
    </row>
    <row r="43" spans="1:18" ht="18" customHeight="1" thickBot="1">
      <c r="A43" s="340" t="s">
        <v>1001</v>
      </c>
      <c r="B43" s="341" t="s">
        <v>1452</v>
      </c>
      <c r="C43" s="342" t="e">
        <f ca="1">ROUND(C40*10000/F43,0)</f>
        <v>#N/A</v>
      </c>
      <c r="D43" s="343" t="s">
        <v>1453</v>
      </c>
      <c r="E43" s="344" t="s">
        <v>1454</v>
      </c>
      <c r="F43" s="345" t="e">
        <f ca="1">INDIRECT("'数据-取费表'!k"&amp;$G$1)</f>
        <v>#N/A</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t="e">
        <f ca="1">C68-C40</f>
        <v>#N/A</v>
      </c>
      <c r="D46" s="1592" t="str">
        <f>C2</f>
        <v>万元</v>
      </c>
      <c r="E46" s="1586"/>
      <c r="F46" s="1586"/>
      <c r="I46" s="1593" t="s">
        <v>1486</v>
      </c>
      <c r="J46" s="1594"/>
      <c r="K46" s="1595"/>
      <c r="L46" s="1596" t="e">
        <f ca="1">IF(M47="住宅",0,IF(L48&gt;J51,L60,J60))</f>
        <v>#N/A</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3084</v>
      </c>
      <c r="K47" s="1602" t="s">
        <v>1492</v>
      </c>
      <c r="L47" s="1603" t="e">
        <f ca="1">INDIRECT("'数据-取费表'!d"&amp;$G$1)</f>
        <v>#N/A</v>
      </c>
      <c r="M47" s="1566" t="str">
        <f>IF(ISNUMBER(FIND("住宅",C1)),"住宅","非住宅")</f>
        <v>非住宅</v>
      </c>
      <c r="O47" s="1604" t="s">
        <v>1008</v>
      </c>
      <c r="P47" s="1605" t="s">
        <v>1493</v>
      </c>
      <c r="Q47" s="1606" t="e">
        <f ca="1">C40+J29</f>
        <v>#N/A</v>
      </c>
      <c r="R47" s="1606" t="s">
        <v>1494</v>
      </c>
    </row>
    <row r="48" spans="1:18" s="1570" customFormat="1" ht="28.5" thickBot="1">
      <c r="A48" s="1270" t="s">
        <v>1103</v>
      </c>
      <c r="B48" s="306" t="s">
        <v>1366</v>
      </c>
      <c r="C48" s="3069" t="e">
        <f ca="1">C49+C53+C55</f>
        <v>#N/A</v>
      </c>
      <c r="D48" s="1272"/>
      <c r="E48" s="1273"/>
      <c r="F48" s="1093"/>
      <c r="G48" s="731"/>
      <c r="H48" s="732"/>
      <c r="I48" s="1607" t="s">
        <v>1495</v>
      </c>
      <c r="J48" s="1608" t="s">
        <v>3085</v>
      </c>
      <c r="K48" s="1609" t="s">
        <v>1496</v>
      </c>
      <c r="L48" s="1610" t="e">
        <f ca="1">INDIRECT("'数据-取费表'!f"&amp;$G$1)</f>
        <v>#N/A</v>
      </c>
      <c r="O48" s="1604" t="s">
        <v>1009</v>
      </c>
      <c r="P48" s="1605" t="s">
        <v>1497</v>
      </c>
      <c r="Q48" s="1606" t="e">
        <f ca="1">J60</f>
        <v>#N/A</v>
      </c>
      <c r="R48" s="1606" t="s">
        <v>1498</v>
      </c>
    </row>
    <row r="49" spans="1:18" s="1570" customFormat="1" ht="13.5" thickBot="1">
      <c r="A49" s="1106" t="s">
        <v>1104</v>
      </c>
      <c r="B49" s="1557" t="s">
        <v>1455</v>
      </c>
      <c r="C49" s="1274" t="e">
        <f ca="1">ROUND(F49*F51*F50*(1-F52)/10000,0)</f>
        <v>#N/A</v>
      </c>
      <c r="D49" s="1186" t="s">
        <v>2848</v>
      </c>
      <c r="E49" s="1558" t="s">
        <v>1456</v>
      </c>
      <c r="F49" s="1191"/>
      <c r="G49" s="1611"/>
      <c r="H49" s="732"/>
      <c r="I49" s="1607" t="s">
        <v>1499</v>
      </c>
      <c r="J49" s="1612">
        <v>2019</v>
      </c>
      <c r="K49" s="1609" t="s">
        <v>1500</v>
      </c>
      <c r="L49" s="1613"/>
      <c r="O49" s="1614" t="s">
        <v>1010</v>
      </c>
      <c r="P49" s="1605" t="s">
        <v>1501</v>
      </c>
      <c r="Q49" s="1606" t="e">
        <f ca="1">C29</f>
        <v>#N/A</v>
      </c>
      <c r="R49" s="1606" t="s">
        <v>1494</v>
      </c>
    </row>
    <row r="50" spans="1:18" s="1570" customFormat="1" ht="13.5" thickBot="1">
      <c r="A50" s="1107"/>
      <c r="B50" s="1110"/>
      <c r="C50" s="1278"/>
      <c r="D50" s="1084"/>
      <c r="E50" s="1187" t="s">
        <v>1371</v>
      </c>
      <c r="F50" s="1188" t="e">
        <f ca="1">F7</f>
        <v>#N/A</v>
      </c>
      <c r="H50" s="732"/>
      <c r="I50" s="1607" t="s">
        <v>1502</v>
      </c>
      <c r="J50" s="1615">
        <f>SUMPRODUCT((I63:I65=J47)*(J62:L62=J48)*(J63:L65))</f>
        <v>60</v>
      </c>
      <c r="K50" s="1609" t="s">
        <v>1503</v>
      </c>
      <c r="L50" s="1613"/>
      <c r="M50" s="1616"/>
      <c r="O50" s="1614" t="s">
        <v>1011</v>
      </c>
      <c r="P50" s="1605" t="s">
        <v>1504</v>
      </c>
      <c r="Q50" s="1617" t="e">
        <f ca="1">J58</f>
        <v>#N/A</v>
      </c>
      <c r="R50" s="1606"/>
    </row>
    <row r="51" spans="1:18" s="1570" customFormat="1" ht="13.5" thickBot="1">
      <c r="A51" s="1108"/>
      <c r="B51" s="1110"/>
      <c r="C51" s="1111"/>
      <c r="D51" s="1084"/>
      <c r="E51" s="1112" t="s">
        <v>1372</v>
      </c>
      <c r="F51" s="309" t="e">
        <f ca="1">F8</f>
        <v>#N/A</v>
      </c>
      <c r="I51" s="1618" t="s">
        <v>1505</v>
      </c>
      <c r="J51" s="1619">
        <f>IF(J49="",J50,J49+J50-YEAR('数据-取费表'!B2))</f>
        <v>59</v>
      </c>
      <c r="K51" s="1620" t="s">
        <v>1506</v>
      </c>
      <c r="L51" s="1621" t="e">
        <f ca="1">ROUND(-PV(INDIRECT("'数据-取费表'!h"&amp;$G$1),J51,(C39-C13*C76),0),0)</f>
        <v>#N/A</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t="e">
        <f ca="1">J53</f>
        <v>#N/A</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t="e">
        <f ca="1">IF(M47="住宅",IF(D1="——",MAX(J51,L48),MAX(J51,L48-'数据-取费表'!B24)),IF(D1="——",MIN(J51,L48),MIN(J51,L48-'数据-取费表'!B24)))</f>
        <v>#N/A</v>
      </c>
      <c r="K53" s="3297" t="s">
        <v>1513</v>
      </c>
      <c r="L53" s="3298"/>
      <c r="O53" s="1604" t="s">
        <v>1014</v>
      </c>
      <c r="P53" s="1605" t="s">
        <v>1514</v>
      </c>
      <c r="Q53" s="1606" t="e">
        <f ca="1">Q47+Q48</f>
        <v>#N/A</v>
      </c>
      <c r="R53" s="1606" t="s">
        <v>1015</v>
      </c>
    </row>
    <row r="54" spans="1:18" s="1570" customFormat="1" ht="13.5" thickBot="1">
      <c r="A54" s="1315"/>
      <c r="B54" s="1553" t="s">
        <v>1353</v>
      </c>
      <c r="C54" s="1090"/>
      <c r="D54" s="1552"/>
      <c r="E54" s="3055"/>
      <c r="F54" s="1626"/>
      <c r="I54" s="16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8"/>
      <c r="K54" s="1628"/>
      <c r="L54" s="1628"/>
      <c r="M54" s="1611"/>
      <c r="O54" s="1589" t="s">
        <v>1515</v>
      </c>
      <c r="P54" s="1567"/>
      <c r="Q54" s="1567"/>
      <c r="R54" s="1567"/>
    </row>
    <row r="55" spans="1:18" s="1570" customFormat="1" ht="13.5" thickBot="1">
      <c r="A55" s="1243" t="s">
        <v>1043</v>
      </c>
      <c r="B55" s="1555" t="s">
        <v>1378</v>
      </c>
      <c r="C55" s="1244"/>
      <c r="D55" s="1552"/>
      <c r="E55" s="3055"/>
      <c r="F55" s="1626"/>
      <c r="I55" s="1629" t="s">
        <v>1516</v>
      </c>
      <c r="J55" s="1630" t="e">
        <f ca="1">ROUND(IF(J47="钢混",J57/J50,1-(1-2%)*(J50-J57)/J50),3)</f>
        <v>#N/A</v>
      </c>
      <c r="K55" s="1631" t="s">
        <v>1517</v>
      </c>
      <c r="L55" s="1632" t="s">
        <v>1518</v>
      </c>
      <c r="O55" s="1597" t="s">
        <v>1487</v>
      </c>
      <c r="P55" s="1598" t="s">
        <v>1488</v>
      </c>
      <c r="Q55" s="1599" t="s">
        <v>1489</v>
      </c>
      <c r="R55" s="1599" t="s">
        <v>1490</v>
      </c>
    </row>
    <row r="56" spans="1:18" s="1570" customFormat="1" ht="25.5" thickTop="1" thickBot="1">
      <c r="A56" s="1088">
        <v>2</v>
      </c>
      <c r="B56" s="1089" t="s">
        <v>1379</v>
      </c>
      <c r="C56" s="238" t="e">
        <f ca="1">C13</f>
        <v>#N/A</v>
      </c>
      <c r="D56" s="1633"/>
      <c r="E56" s="1634"/>
      <c r="F56" s="1626"/>
      <c r="I56" s="1635" t="s">
        <v>1519</v>
      </c>
      <c r="J56" s="1636" t="s">
        <v>3086</v>
      </c>
      <c r="K56" s="1607" t="s">
        <v>1520</v>
      </c>
      <c r="L56" s="1610" t="e">
        <f ca="1">IF(L48&lt;J51,"——",L48-J53)</f>
        <v>#N/A</v>
      </c>
      <c r="O56" s="1604" t="s">
        <v>1008</v>
      </c>
      <c r="P56" s="1605" t="s">
        <v>1493</v>
      </c>
      <c r="Q56" s="1606" t="e">
        <f ca="1">C40+J29</f>
        <v>#N/A</v>
      </c>
      <c r="R56" s="1606" t="s">
        <v>1494</v>
      </c>
    </row>
    <row r="57" spans="1:18" s="1570" customFormat="1" ht="24.75" thickBot="1">
      <c r="A57" s="1637"/>
      <c r="B57" s="1081" t="s">
        <v>1443</v>
      </c>
      <c r="C57" s="244" t="e">
        <f ca="1">C29</f>
        <v>#N/A</v>
      </c>
      <c r="D57" s="1638"/>
      <c r="E57" s="1639"/>
      <c r="F57" s="1640"/>
      <c r="I57" s="1641" t="s">
        <v>1521</v>
      </c>
      <c r="J57" s="1642" t="e">
        <f ca="1">IF(OR(M47="住宅",J51&lt;L48,J56="是"),"——",J51-L48)</f>
        <v>#N/A</v>
      </c>
      <c r="K57" s="1607" t="s">
        <v>1522</v>
      </c>
      <c r="L57" s="1610" t="e">
        <f ca="1">IF(L48&lt;J51,"——",IF(L55="比较法",L49,IF(L55="基准地价",L50,L51)))</f>
        <v>#N/A</v>
      </c>
      <c r="O57" s="1604" t="s">
        <v>1009</v>
      </c>
      <c r="P57" s="1605" t="s">
        <v>1523</v>
      </c>
      <c r="Q57" s="1606" t="e">
        <f ca="1">L60</f>
        <v>#N/A</v>
      </c>
      <c r="R57" s="1606" t="s">
        <v>1524</v>
      </c>
    </row>
    <row r="58" spans="1:18" s="1570" customFormat="1" ht="24.75" thickBot="1">
      <c r="A58" s="321" t="s">
        <v>998</v>
      </c>
      <c r="B58" s="1089" t="s">
        <v>1389</v>
      </c>
      <c r="C58" s="322" t="e">
        <f ca="1">ROUND(C59+C64+C65+C66,0)</f>
        <v>#N/A</v>
      </c>
      <c r="D58" s="1091" t="s">
        <v>1390</v>
      </c>
      <c r="E58" s="1092"/>
      <c r="F58" s="1093"/>
      <c r="I58" s="1641" t="s">
        <v>1525</v>
      </c>
      <c r="J58" s="1643" t="e">
        <f ca="1">IF(J55&lt;0.4,0.4,J55)</f>
        <v>#N/A</v>
      </c>
      <c r="K58" s="1620" t="s">
        <v>1526</v>
      </c>
      <c r="L58" s="1610" t="e">
        <f ca="1">ROUND(POWER(1+L52,L47-L48)*(POWER(1+L52,L48)-1)/(POWER(1+L52,L47)-1),4)</f>
        <v>#N/A</v>
      </c>
      <c r="O58" s="1614" t="s">
        <v>1010</v>
      </c>
      <c r="P58" s="1605" t="s">
        <v>1527</v>
      </c>
      <c r="Q58" s="1606">
        <f>IF(L55="比较法",L49,IF(L55="基准地价",L50,0))</f>
        <v>0</v>
      </c>
      <c r="R58" s="1606" t="s">
        <v>1494</v>
      </c>
    </row>
    <row r="59" spans="1:18" s="1570" customFormat="1" ht="24.75" thickBot="1">
      <c r="A59" s="1113" t="s">
        <v>1003</v>
      </c>
      <c r="B59" s="1081" t="s">
        <v>1394</v>
      </c>
      <c r="C59" s="2535" t="e">
        <f ca="1">ROUND(IF(AND(项目基本情况!B11="自然人",项目基本情况!B10="北京市"),C49*F59/(1+'数据-取费表'!C42),C60+C61+C62),0)</f>
        <v>#N/A</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#N/A</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#N/A</v>
      </c>
      <c r="M59" s="1566" t="e">
        <f ca="1">ROUND(POWER(1+L52,L47-(J51+'数据-取费表'!B24))*(POWER(1+L52,(J51+'数据-取费表'!B24))-1)/(POWER(1+L52,L47)-1),4)</f>
        <v>#N/A</v>
      </c>
      <c r="N59" s="1566" t="e">
        <f ca="1">ROUND(POWER(1+L52,L47-(J51+'数据-取费表'!B20))*(POWER(1+L52,(J51+'数据-取费表'!B20))-1)/(POWER(1+L52,L47)-1),4)</f>
        <v>#N/A</v>
      </c>
      <c r="O59" s="1614" t="s">
        <v>1011</v>
      </c>
      <c r="P59" s="1605" t="s">
        <v>1529</v>
      </c>
      <c r="Q59" s="1617">
        <f>L52</f>
        <v>0</v>
      </c>
      <c r="R59" s="1606"/>
    </row>
    <row r="60" spans="1:18" s="1570" customFormat="1" ht="16.5" thickBot="1">
      <c r="A60" s="1113" t="s">
        <v>1002</v>
      </c>
      <c r="B60" s="1081" t="s">
        <v>1398</v>
      </c>
      <c r="C60" s="24" t="e">
        <f ca="1">IF(项目基本情况!B11="自然人","——",ROUND(C48*F60/(1+'数据-取费表'!C42),2))</f>
        <v>#N/A</v>
      </c>
      <c r="D60" s="1095" t="s">
        <v>1399</v>
      </c>
      <c r="E60" s="1081" t="s">
        <v>1387</v>
      </c>
      <c r="F60" s="337">
        <f t="shared" ref="F60:F66" si="0">F32</f>
        <v>5.6000000000000001E-2</v>
      </c>
      <c r="I60" s="1644" t="s">
        <v>1530</v>
      </c>
      <c r="J60" s="1645" t="e">
        <f ca="1">IF(OR(M47="住宅",J51&lt;L48,J56="是"),"0",ROUND(J59/(1+J52)^J53,0))</f>
        <v>#N/A</v>
      </c>
      <c r="K60" s="1646" t="s">
        <v>1531</v>
      </c>
      <c r="L60" s="1645" t="e">
        <f ca="1">IF(OR(M47="住宅",L48&lt;J51),0,ROUND(L57*(L58/L59-1),0))</f>
        <v>#N/A</v>
      </c>
      <c r="O60" s="1614" t="s">
        <v>1012</v>
      </c>
      <c r="P60" s="1605" t="s">
        <v>1532</v>
      </c>
      <c r="Q60" s="1606" t="e">
        <f ca="1">L58</f>
        <v>#N/A</v>
      </c>
      <c r="R60" s="1606" t="s">
        <v>1533</v>
      </c>
    </row>
    <row r="61" spans="1:18" s="1570" customFormat="1" ht="13.5" thickBot="1">
      <c r="A61" s="1113" t="s">
        <v>1457</v>
      </c>
      <c r="B61" s="1081" t="s">
        <v>1402</v>
      </c>
      <c r="C61" s="24" t="e">
        <f ca="1">IF(项目基本情况!B11="自然人","——",IF(D61="按租金收入计税",ROUND(C48*F61,2),IF(D61="按房产原值计税",ROUND(C57*F61*0.7,2),INDIRECT("'数据-取费表'!Aj"&amp;$G$1))))</f>
        <v>#N/A</v>
      </c>
      <c r="D61" s="1556" t="s">
        <v>1403</v>
      </c>
      <c r="E61" s="1081" t="s">
        <v>1387</v>
      </c>
      <c r="F61" s="328">
        <f t="shared" si="0"/>
        <v>0.12</v>
      </c>
      <c r="I61" s="1647"/>
      <c r="J61" s="1647"/>
      <c r="K61" s="1647"/>
      <c r="L61" s="1647"/>
      <c r="O61" s="1614" t="s">
        <v>1013</v>
      </c>
      <c r="P61" s="1605" t="str">
        <f>K59</f>
        <v>建筑物剩余耐用年限下的土地年期修正系数Kn</v>
      </c>
      <c r="Q61" s="1606" t="e">
        <f ca="1">L59</f>
        <v>#N/A</v>
      </c>
      <c r="R61" s="1606" t="s">
        <v>1534</v>
      </c>
    </row>
    <row r="62" spans="1:18" s="1570" customFormat="1" ht="13.5" thickBot="1">
      <c r="A62" s="1113" t="s">
        <v>1460</v>
      </c>
      <c r="B62" s="1080" t="s">
        <v>1406</v>
      </c>
      <c r="C62" s="25" t="e">
        <f ca="1">IF(项目基本情况!B11="自然人","——",ROUND(F62*F63/10000,2))</f>
        <v>#N/A</v>
      </c>
      <c r="D62" s="1096" t="s">
        <v>1407</v>
      </c>
      <c r="E62" s="1081" t="s">
        <v>1408</v>
      </c>
      <c r="F62" s="331">
        <f t="shared" si="0"/>
        <v>24</v>
      </c>
      <c r="I62" s="1648" t="s">
        <v>1535</v>
      </c>
      <c r="J62" s="1649" t="s">
        <v>1536</v>
      </c>
      <c r="K62" s="1649" t="s">
        <v>1537</v>
      </c>
      <c r="L62" s="1649" t="s">
        <v>1538</v>
      </c>
      <c r="M62" s="1650" t="s">
        <v>1539</v>
      </c>
      <c r="O62" s="1604" t="s">
        <v>1014</v>
      </c>
      <c r="P62" s="1605" t="s">
        <v>1514</v>
      </c>
      <c r="Q62" s="1606" t="e">
        <f ca="1">Q56+Q57</f>
        <v>#N/A</v>
      </c>
      <c r="R62" s="1606" t="s">
        <v>1015</v>
      </c>
    </row>
    <row r="63" spans="1:18" s="1570" customFormat="1" ht="13.5" thickBot="1">
      <c r="A63" s="332"/>
      <c r="B63" s="1087"/>
      <c r="C63" s="29"/>
      <c r="D63" s="1097"/>
      <c r="E63" s="1081" t="s">
        <v>1412</v>
      </c>
      <c r="F63" s="309" t="e">
        <f t="shared" ca="1" si="0"/>
        <v>#N/A</v>
      </c>
      <c r="I63" s="1648" t="s">
        <v>1541</v>
      </c>
      <c r="J63" s="1649">
        <v>70</v>
      </c>
      <c r="K63" s="1649">
        <v>50</v>
      </c>
      <c r="L63" s="1649">
        <v>80</v>
      </c>
      <c r="M63" s="1651">
        <v>0.02</v>
      </c>
      <c r="O63" s="1589" t="s">
        <v>1542</v>
      </c>
      <c r="P63" s="1567"/>
      <c r="Q63" s="1567"/>
      <c r="R63" s="1567"/>
    </row>
    <row r="64" spans="1:18" s="1570" customFormat="1" ht="13.5" thickBot="1">
      <c r="A64" s="1113" t="s">
        <v>1007</v>
      </c>
      <c r="B64" s="1081" t="s">
        <v>1414</v>
      </c>
      <c r="C64" s="24" t="e">
        <f ca="1">ROUND(C57*F64,1)</f>
        <v>#N/A</v>
      </c>
      <c r="D64" s="1095" t="s">
        <v>1447</v>
      </c>
      <c r="E64" s="1081" t="s">
        <v>1387</v>
      </c>
      <c r="F64" s="334" t="e">
        <f t="shared" ca="1" si="0"/>
        <v>#N/A</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t="e">
        <f ca="1">ROUND(C56*F65,1)</f>
        <v>#N/A</v>
      </c>
      <c r="D65" s="1095" t="s">
        <v>1419</v>
      </c>
      <c r="E65" s="1081" t="s">
        <v>1387</v>
      </c>
      <c r="F65" s="336" t="e">
        <f t="shared" ca="1" si="0"/>
        <v>#N/A</v>
      </c>
      <c r="I65" s="1648" t="s">
        <v>1544</v>
      </c>
      <c r="J65" s="1649">
        <v>40</v>
      </c>
      <c r="K65" s="1649">
        <v>30</v>
      </c>
      <c r="L65" s="1649">
        <v>50</v>
      </c>
      <c r="M65" s="1651">
        <v>0.02</v>
      </c>
      <c r="O65" s="1604" t="s">
        <v>1008</v>
      </c>
      <c r="P65" s="1605" t="s">
        <v>1493</v>
      </c>
      <c r="Q65" s="1606" t="e">
        <f ca="1">C40+J29</f>
        <v>#N/A</v>
      </c>
      <c r="R65" s="1606" t="s">
        <v>1494</v>
      </c>
    </row>
    <row r="66" spans="1:18" s="1570" customFormat="1" ht="16.5" thickBot="1">
      <c r="A66" s="1113" t="s">
        <v>1469</v>
      </c>
      <c r="B66" s="1081" t="s">
        <v>1404</v>
      </c>
      <c r="C66" s="24" t="e">
        <f ca="1">ROUND(C48*F66,1)</f>
        <v>#N/A</v>
      </c>
      <c r="D66" s="1095" t="s">
        <v>1424</v>
      </c>
      <c r="E66" s="1081" t="s">
        <v>1387</v>
      </c>
      <c r="F66" s="318" t="e">
        <f t="shared" ca="1" si="0"/>
        <v>#N/A</v>
      </c>
      <c r="O66" s="1604" t="s">
        <v>1009</v>
      </c>
      <c r="P66" s="1605" t="s">
        <v>1523</v>
      </c>
      <c r="Q66" s="1606" t="e">
        <f ca="1">L60</f>
        <v>#N/A</v>
      </c>
      <c r="R66" s="1606" t="s">
        <v>1546</v>
      </c>
    </row>
    <row r="67" spans="1:18" s="1570" customFormat="1" ht="16.5" thickBot="1">
      <c r="A67" s="1088" t="s">
        <v>999</v>
      </c>
      <c r="B67" s="1098" t="s">
        <v>1428</v>
      </c>
      <c r="C67" s="322" t="e">
        <f ca="1">C48-C58</f>
        <v>#N/A</v>
      </c>
      <c r="D67" s="1094" t="s">
        <v>1429</v>
      </c>
      <c r="E67" s="1099"/>
      <c r="F67" s="1100"/>
      <c r="O67" s="1614" t="s">
        <v>1010</v>
      </c>
      <c r="P67" s="1605" t="s">
        <v>1527</v>
      </c>
      <c r="Q67" s="1652" t="e">
        <f ca="1">L51</f>
        <v>#N/A</v>
      </c>
      <c r="R67" s="1606" t="s">
        <v>1547</v>
      </c>
    </row>
    <row r="68" spans="1:18" s="1570" customFormat="1" ht="16.5" thickBot="1">
      <c r="A68" s="1078" t="s">
        <v>1000</v>
      </c>
      <c r="B68" s="1079" t="s">
        <v>1450</v>
      </c>
      <c r="C68" s="307" t="e">
        <f ca="1">ROUND(C67*(1-((1+F70)/(1+F68))^F69)/(F68-F70),0)</f>
        <v>#N/A</v>
      </c>
      <c r="D68" s="1096" t="s">
        <v>1434</v>
      </c>
      <c r="E68" s="1081" t="s">
        <v>1435</v>
      </c>
      <c r="F68" s="318" t="e">
        <f ca="1">F40</f>
        <v>#N/A</v>
      </c>
      <c r="O68" s="1614" t="s">
        <v>1011</v>
      </c>
      <c r="P68" s="1653" t="s">
        <v>1548</v>
      </c>
      <c r="Q68" s="1606" t="e">
        <f ca="1">ROUND(Q69-Q70*Q71,0)</f>
        <v>#N/A</v>
      </c>
      <c r="R68" s="1606" t="s">
        <v>1019</v>
      </c>
    </row>
    <row r="69" spans="1:18" s="1570" customFormat="1" ht="13.5" thickBot="1">
      <c r="A69" s="1082"/>
      <c r="B69" s="1083"/>
      <c r="C69" s="312"/>
      <c r="D69" s="1101" t="s">
        <v>1438</v>
      </c>
      <c r="E69" s="1081" t="s">
        <v>1439</v>
      </c>
      <c r="F69" s="339" t="e">
        <f ca="1">F41</f>
        <v>#N/A</v>
      </c>
      <c r="O69" s="1614" t="s">
        <v>1016</v>
      </c>
      <c r="P69" s="1653" t="s">
        <v>1549</v>
      </c>
      <c r="Q69" s="1606" t="e">
        <f ca="1">C39</f>
        <v>#N/A</v>
      </c>
      <c r="R69" s="1606" t="s">
        <v>1494</v>
      </c>
    </row>
    <row r="70" spans="1:18" s="1570" customFormat="1" ht="13.5" thickBot="1">
      <c r="A70" s="1085"/>
      <c r="B70" s="1086"/>
      <c r="C70" s="316"/>
      <c r="D70" s="1097"/>
      <c r="E70" s="1081" t="s">
        <v>1442</v>
      </c>
      <c r="F70" s="1185"/>
      <c r="O70" s="1614" t="s">
        <v>1017</v>
      </c>
      <c r="P70" s="1653" t="s">
        <v>1550</v>
      </c>
      <c r="Q70" s="1606" t="e">
        <f ca="1">C13</f>
        <v>#N/A</v>
      </c>
      <c r="R70" s="1606" t="s">
        <v>1494</v>
      </c>
    </row>
    <row r="71" spans="1:18" s="1570" customFormat="1" ht="13.5" thickBot="1">
      <c r="A71" s="1102" t="s">
        <v>1001</v>
      </c>
      <c r="B71" s="1103" t="s">
        <v>1452</v>
      </c>
      <c r="C71" s="342" t="e">
        <f ca="1">ROUND(C68*10000/F71,0)</f>
        <v>#N/A</v>
      </c>
      <c r="D71" s="1104" t="s">
        <v>1453</v>
      </c>
      <c r="E71" s="1105" t="s">
        <v>1454</v>
      </c>
      <c r="F71" s="345" t="e">
        <f ca="1">F43</f>
        <v>#N/A</v>
      </c>
      <c r="O71" s="1614" t="s">
        <v>1018</v>
      </c>
      <c r="P71" s="1653" t="s">
        <v>1551</v>
      </c>
      <c r="Q71" s="1617" t="e">
        <f ca="1">C76</f>
        <v>#N/A</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#N/A</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#N/A</v>
      </c>
      <c r="R74" s="1606" t="s">
        <v>1534</v>
      </c>
    </row>
    <row r="75" spans="1:18" ht="13.5" thickBot="1">
      <c r="A75" s="1570"/>
      <c r="B75" s="346" t="s">
        <v>1471</v>
      </c>
      <c r="C75" s="347" t="e">
        <f ca="1">ROUND(C13*C76,0)</f>
        <v>#N/A</v>
      </c>
      <c r="D75" s="1570"/>
      <c r="E75" s="1570"/>
      <c r="F75" s="1570"/>
      <c r="K75" s="1588"/>
      <c r="L75" s="1570"/>
      <c r="O75" s="1604" t="s">
        <v>1014</v>
      </c>
      <c r="P75" s="1605" t="s">
        <v>1514</v>
      </c>
      <c r="Q75" s="1606" t="e">
        <f ca="1">Q65+Q66</f>
        <v>#N/A</v>
      </c>
      <c r="R75" s="1606" t="s">
        <v>1015</v>
      </c>
    </row>
    <row r="76" spans="1:18">
      <c r="B76" s="348" t="s">
        <v>1472</v>
      </c>
      <c r="C76" s="349" t="e">
        <f ca="1">INDIRECT("'数据-取费表'!j"&amp;$G$1)</f>
        <v>#N/A</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
  <sheetViews>
    <sheetView zoomScaleNormal="100" workbookViewId="0"/>
  </sheetViews>
  <sheetFormatPr defaultRowHeight="13.5"/>
  <sheetData>
    <row r="1" spans="9:9">
      <c r="I1" s="3046"/>
    </row>
    <row r="26" spans="9:10">
      <c r="J26" s="3046"/>
    </row>
    <row r="30" spans="9:10">
      <c r="I30" s="3046"/>
    </row>
    <row r="70" spans="1:9">
      <c r="A70" s="3046"/>
    </row>
    <row r="71" spans="1:9">
      <c r="I71" s="3046"/>
    </row>
    <row r="89" spans="1:1">
      <c r="A89" s="3046"/>
    </row>
    <row r="107" spans="1:1">
      <c r="A107" s="3046"/>
    </row>
    <row r="125" spans="1:1">
      <c r="A125" s="3046" t="s">
        <v>3101</v>
      </c>
    </row>
  </sheetData>
  <phoneticPr fontId="140"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5"/>
  <sheetViews>
    <sheetView tabSelected="1" workbookViewId="0">
      <selection activeCell="L6" sqref="L5:L6"/>
    </sheetView>
  </sheetViews>
  <sheetFormatPr defaultRowHeight="13.5"/>
  <cols>
    <col min="1" max="1" width="4.625" customWidth="1"/>
    <col min="2" max="2" width="11.625" customWidth="1"/>
  </cols>
  <sheetData>
    <row r="2" spans="1:10" ht="24">
      <c r="A2" s="3420" t="s">
        <v>3194</v>
      </c>
      <c r="B2" s="3420" t="s">
        <v>3195</v>
      </c>
      <c r="C2" s="3420" t="s">
        <v>3196</v>
      </c>
      <c r="D2" s="3420" t="s">
        <v>3197</v>
      </c>
      <c r="E2" s="3420" t="s">
        <v>3198</v>
      </c>
      <c r="F2" s="3420" t="s">
        <v>3199</v>
      </c>
      <c r="G2" s="3420" t="s">
        <v>3235</v>
      </c>
      <c r="H2" s="3420" t="s">
        <v>3234</v>
      </c>
      <c r="I2" s="3437" t="s">
        <v>3232</v>
      </c>
      <c r="J2" s="3437" t="s">
        <v>3233</v>
      </c>
    </row>
    <row r="3" spans="1:10" ht="36">
      <c r="A3" s="3420">
        <v>1</v>
      </c>
      <c r="B3" s="3420" t="s">
        <v>3200</v>
      </c>
      <c r="C3" s="3420" t="s">
        <v>3201</v>
      </c>
      <c r="D3" s="3420" t="s">
        <v>3202</v>
      </c>
      <c r="E3" s="3420" t="s">
        <v>3203</v>
      </c>
      <c r="F3" s="3420" t="s">
        <v>3204</v>
      </c>
      <c r="G3" s="3420">
        <v>6283.43</v>
      </c>
      <c r="H3" s="3420">
        <v>18583.03</v>
      </c>
      <c r="I3" s="3437">
        <v>72712</v>
      </c>
      <c r="J3" s="3437">
        <v>39128</v>
      </c>
    </row>
    <row r="4" spans="1:10" ht="36">
      <c r="A4" s="3420">
        <v>2</v>
      </c>
      <c r="B4" s="3420" t="s">
        <v>3200</v>
      </c>
      <c r="C4" s="3420" t="s">
        <v>3205</v>
      </c>
      <c r="D4" s="3420" t="s">
        <v>3206</v>
      </c>
      <c r="E4" s="3420" t="s">
        <v>3207</v>
      </c>
      <c r="F4" s="3420" t="s">
        <v>3208</v>
      </c>
      <c r="G4" s="3420">
        <v>10788.17</v>
      </c>
      <c r="H4" s="3420">
        <v>17823.330000000002</v>
      </c>
      <c r="I4" s="3437">
        <v>26369</v>
      </c>
      <c r="J4" s="3437">
        <v>14795</v>
      </c>
    </row>
    <row r="5" spans="1:10" ht="13.5" customHeight="1">
      <c r="A5" s="3424">
        <v>3</v>
      </c>
      <c r="B5" s="3424" t="s">
        <v>3209</v>
      </c>
      <c r="C5" s="3424" t="s">
        <v>3210</v>
      </c>
      <c r="D5" s="3424" t="s">
        <v>3211</v>
      </c>
      <c r="E5" s="3424" t="s">
        <v>3212</v>
      </c>
      <c r="F5" s="3424" t="s">
        <v>3213</v>
      </c>
      <c r="G5" s="3424">
        <v>35234.239999999998</v>
      </c>
      <c r="H5" s="3424">
        <v>68134.5</v>
      </c>
      <c r="I5" s="3438">
        <v>136730</v>
      </c>
      <c r="J5" s="3438">
        <v>20068</v>
      </c>
    </row>
    <row r="6" spans="1:10">
      <c r="A6" s="3426"/>
      <c r="B6" s="3426"/>
      <c r="C6" s="3426"/>
      <c r="D6" s="3426"/>
      <c r="E6" s="3426"/>
      <c r="F6" s="3426"/>
      <c r="G6" s="3426"/>
      <c r="H6" s="3426"/>
      <c r="I6" s="3438"/>
      <c r="J6" s="3438"/>
    </row>
    <row r="7" spans="1:10" ht="24" customHeight="1">
      <c r="A7" s="3426"/>
      <c r="B7" s="3426"/>
      <c r="C7" s="3426"/>
      <c r="D7" s="3426"/>
      <c r="E7" s="3426"/>
      <c r="F7" s="3426"/>
      <c r="G7" s="3426"/>
      <c r="H7" s="3426"/>
      <c r="I7" s="3438"/>
      <c r="J7" s="3438"/>
    </row>
    <row r="8" spans="1:10">
      <c r="A8" s="3426"/>
      <c r="B8" s="3426"/>
      <c r="C8" s="3426"/>
      <c r="D8" s="3426"/>
      <c r="E8" s="3426"/>
      <c r="F8" s="3426"/>
      <c r="G8" s="3426"/>
      <c r="H8" s="3426"/>
      <c r="I8" s="3438"/>
      <c r="J8" s="3438"/>
    </row>
    <row r="9" spans="1:10">
      <c r="A9" s="3426"/>
      <c r="B9" s="3426"/>
      <c r="C9" s="3426"/>
      <c r="D9" s="3426"/>
      <c r="E9" s="3426"/>
      <c r="F9" s="3426"/>
      <c r="G9" s="3426"/>
      <c r="H9" s="3426"/>
      <c r="I9" s="3438"/>
      <c r="J9" s="3438"/>
    </row>
    <row r="10" spans="1:10" ht="13.5" customHeight="1">
      <c r="A10" s="3426"/>
      <c r="B10" s="3426"/>
      <c r="C10" s="3426"/>
      <c r="D10" s="3426"/>
      <c r="E10" s="3426"/>
      <c r="F10" s="3426"/>
      <c r="G10" s="3426"/>
      <c r="H10" s="3426"/>
      <c r="I10" s="3438"/>
      <c r="J10" s="3438"/>
    </row>
    <row r="11" spans="1:10">
      <c r="A11" s="3426"/>
      <c r="B11" s="3426"/>
      <c r="C11" s="3426"/>
      <c r="D11" s="3426"/>
      <c r="E11" s="3426"/>
      <c r="F11" s="3426"/>
      <c r="G11" s="3426"/>
      <c r="H11" s="3426"/>
      <c r="I11" s="3438"/>
      <c r="J11" s="3438"/>
    </row>
    <row r="12" spans="1:10">
      <c r="A12" s="3426"/>
      <c r="B12" s="3426"/>
      <c r="C12" s="3426"/>
      <c r="D12" s="3426"/>
      <c r="E12" s="3426"/>
      <c r="F12" s="3426"/>
      <c r="G12" s="3426"/>
      <c r="H12" s="3426"/>
      <c r="I12" s="3438"/>
      <c r="J12" s="3438"/>
    </row>
    <row r="13" spans="1:10">
      <c r="A13" s="3428"/>
      <c r="B13" s="3428"/>
      <c r="C13" s="3428"/>
      <c r="D13" s="3428"/>
      <c r="E13" s="3428"/>
      <c r="F13" s="3428"/>
      <c r="G13" s="3428"/>
      <c r="H13" s="3428"/>
      <c r="I13" s="3438"/>
      <c r="J13" s="3438"/>
    </row>
    <row r="14" spans="1:10" ht="13.5" customHeight="1">
      <c r="A14" s="3424">
        <v>4</v>
      </c>
      <c r="B14" s="3424" t="s">
        <v>3214</v>
      </c>
      <c r="C14" s="3424" t="s">
        <v>3215</v>
      </c>
      <c r="D14" s="3424" t="s">
        <v>3216</v>
      </c>
      <c r="E14" s="3424" t="s">
        <v>3217</v>
      </c>
      <c r="F14" s="3424" t="s">
        <v>3218</v>
      </c>
      <c r="G14" s="3424">
        <v>33077.82</v>
      </c>
      <c r="H14" s="3424">
        <v>44382.53</v>
      </c>
      <c r="I14" s="3438">
        <v>51060</v>
      </c>
      <c r="J14" s="3438">
        <v>11505</v>
      </c>
    </row>
    <row r="15" spans="1:10">
      <c r="A15" s="3426"/>
      <c r="B15" s="3426"/>
      <c r="C15" s="3426"/>
      <c r="D15" s="3426"/>
      <c r="E15" s="3426"/>
      <c r="F15" s="3426"/>
      <c r="G15" s="3426"/>
      <c r="H15" s="3426"/>
      <c r="I15" s="3438"/>
      <c r="J15" s="3438"/>
    </row>
    <row r="16" spans="1:10">
      <c r="A16" s="3428"/>
      <c r="B16" s="3428"/>
      <c r="C16" s="3428"/>
      <c r="D16" s="3428"/>
      <c r="E16" s="3428"/>
      <c r="F16" s="3428"/>
      <c r="G16" s="3428"/>
      <c r="H16" s="3428"/>
      <c r="I16" s="3438"/>
      <c r="J16" s="3438"/>
    </row>
    <row r="17" spans="1:10" ht="13.5" customHeight="1">
      <c r="A17" s="3424">
        <v>5</v>
      </c>
      <c r="B17" s="3424" t="s">
        <v>3214</v>
      </c>
      <c r="C17" s="3424" t="s">
        <v>3219</v>
      </c>
      <c r="D17" s="3424" t="s">
        <v>3220</v>
      </c>
      <c r="E17" s="3424" t="s">
        <v>3221</v>
      </c>
      <c r="F17" s="3424" t="s">
        <v>3222</v>
      </c>
      <c r="G17" s="3424">
        <v>4134.5200000000004</v>
      </c>
      <c r="H17" s="3424">
        <v>12342.56</v>
      </c>
      <c r="I17" s="3438">
        <v>44416</v>
      </c>
      <c r="J17" s="3438">
        <v>35986</v>
      </c>
    </row>
    <row r="18" spans="1:10">
      <c r="A18" s="3426"/>
      <c r="B18" s="3426"/>
      <c r="C18" s="3426"/>
      <c r="D18" s="3426"/>
      <c r="E18" s="3426"/>
      <c r="F18" s="3426"/>
      <c r="G18" s="3426"/>
      <c r="H18" s="3426"/>
      <c r="I18" s="3438"/>
      <c r="J18" s="3438"/>
    </row>
    <row r="19" spans="1:10">
      <c r="A19" s="3428"/>
      <c r="B19" s="3428"/>
      <c r="C19" s="3428"/>
      <c r="D19" s="3428"/>
      <c r="E19" s="3428"/>
      <c r="F19" s="3428"/>
      <c r="G19" s="3428"/>
      <c r="H19" s="3428"/>
      <c r="I19" s="3438"/>
      <c r="J19" s="3438"/>
    </row>
    <row r="20" spans="1:10" ht="36">
      <c r="A20" s="3420">
        <v>6</v>
      </c>
      <c r="B20" s="3433" t="s">
        <v>3200</v>
      </c>
      <c r="C20" s="3420" t="s">
        <v>3223</v>
      </c>
      <c r="D20" s="3420" t="s">
        <v>3224</v>
      </c>
      <c r="E20" s="3420" t="s">
        <v>3225</v>
      </c>
      <c r="F20" s="3420" t="s">
        <v>3226</v>
      </c>
      <c r="G20" s="3420">
        <v>13475.25</v>
      </c>
      <c r="H20" s="3420">
        <v>35370.410000000003</v>
      </c>
      <c r="I20" s="3437">
        <v>111472</v>
      </c>
      <c r="J20" s="3437">
        <v>31516</v>
      </c>
    </row>
    <row r="21" spans="1:10" ht="18.75" customHeight="1">
      <c r="A21" s="3434">
        <v>7</v>
      </c>
      <c r="B21" s="3434" t="s">
        <v>3200</v>
      </c>
      <c r="C21" s="3434" t="s">
        <v>3227</v>
      </c>
      <c r="D21" s="3434" t="s">
        <v>3228</v>
      </c>
      <c r="E21" s="3434" t="s">
        <v>3157</v>
      </c>
      <c r="F21" s="3434" t="s">
        <v>3229</v>
      </c>
      <c r="G21" s="3434">
        <v>2349.66</v>
      </c>
      <c r="H21" s="3434">
        <v>2454.9</v>
      </c>
      <c r="I21" s="3438">
        <v>4470</v>
      </c>
      <c r="J21" s="3438">
        <v>18208</v>
      </c>
    </row>
    <row r="22" spans="1:10" ht="18.75" customHeight="1">
      <c r="A22" s="3434"/>
      <c r="B22" s="3434"/>
      <c r="C22" s="3434"/>
      <c r="D22" s="3434"/>
      <c r="E22" s="3434"/>
      <c r="F22" s="3434"/>
      <c r="G22" s="3434"/>
      <c r="H22" s="3434"/>
      <c r="I22" s="3438"/>
      <c r="J22" s="3438"/>
    </row>
    <row r="23" spans="1:10">
      <c r="A23" s="3436" t="s">
        <v>3230</v>
      </c>
      <c r="B23" s="3436"/>
      <c r="C23" s="3436"/>
      <c r="D23" s="3436"/>
      <c r="E23" s="3436"/>
      <c r="F23" s="3436"/>
      <c r="G23" s="3436"/>
      <c r="H23" s="3436"/>
      <c r="I23" s="3437">
        <v>447229</v>
      </c>
      <c r="J23" s="3437" t="s">
        <v>3231</v>
      </c>
    </row>
    <row r="25" spans="1:10">
      <c r="A25" s="3439" t="s">
        <v>3236</v>
      </c>
      <c r="B25" s="3439"/>
      <c r="C25" s="3439"/>
      <c r="D25" s="3439"/>
      <c r="E25" s="3439"/>
      <c r="F25" s="3439"/>
      <c r="G25" s="3439"/>
      <c r="H25" s="3439"/>
      <c r="I25" s="3439"/>
      <c r="J25" s="3439"/>
    </row>
  </sheetData>
  <mergeCells count="42">
    <mergeCell ref="A25:J25"/>
    <mergeCell ref="I14:I16"/>
    <mergeCell ref="J14:J16"/>
    <mergeCell ref="I17:I19"/>
    <mergeCell ref="J17:J19"/>
    <mergeCell ref="J21:J22"/>
    <mergeCell ref="A23:H23"/>
    <mergeCell ref="I21:I22"/>
    <mergeCell ref="J5:J13"/>
    <mergeCell ref="H17:H19"/>
    <mergeCell ref="A21:A22"/>
    <mergeCell ref="B21:B22"/>
    <mergeCell ref="C21:C22"/>
    <mergeCell ref="D21:D22"/>
    <mergeCell ref="E21:E22"/>
    <mergeCell ref="F21:F22"/>
    <mergeCell ref="G21:G22"/>
    <mergeCell ref="H21:H22"/>
    <mergeCell ref="G14:G16"/>
    <mergeCell ref="H14:H16"/>
    <mergeCell ref="A17:A19"/>
    <mergeCell ref="B17:B19"/>
    <mergeCell ref="C17:C19"/>
    <mergeCell ref="D17:D19"/>
    <mergeCell ref="E17:E19"/>
    <mergeCell ref="F17:F19"/>
    <mergeCell ref="G17:G19"/>
    <mergeCell ref="A14:A16"/>
    <mergeCell ref="B14:B16"/>
    <mergeCell ref="C14:C16"/>
    <mergeCell ref="D14:D16"/>
    <mergeCell ref="E14:E16"/>
    <mergeCell ref="F14:F16"/>
    <mergeCell ref="A5:A13"/>
    <mergeCell ref="B5:B13"/>
    <mergeCell ref="C5:C13"/>
    <mergeCell ref="D5:D13"/>
    <mergeCell ref="E5:E13"/>
    <mergeCell ref="F5:F13"/>
    <mergeCell ref="G5:G13"/>
    <mergeCell ref="H5:H13"/>
    <mergeCell ref="I5:I13"/>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9" t="str">
        <f>IF(项目基本情况!B9="房地产市场价值","估价结果一览表","结果表-2")</f>
        <v>结果表-2</v>
      </c>
      <c r="B1" s="3089"/>
      <c r="C1" s="3089"/>
      <c r="D1" s="3089"/>
      <c r="E1" s="3089"/>
      <c r="F1" s="3089"/>
      <c r="G1" s="3089"/>
      <c r="H1" s="3089"/>
      <c r="I1" s="3089"/>
    </row>
    <row r="2" spans="1:9" ht="30" customHeight="1" thickTop="1">
      <c r="A2" s="3090" t="s">
        <v>1606</v>
      </c>
      <c r="B2" s="3090" t="s">
        <v>1607</v>
      </c>
      <c r="C2" s="3090" t="s">
        <v>1608</v>
      </c>
      <c r="D2" s="3090" t="str">
        <f>'结果表-商业'!D116</f>
        <v>出让国有建设用地使用权价值</v>
      </c>
      <c r="E2" s="3090"/>
      <c r="F2" s="3090" t="str">
        <f>'结果表-商业'!F116</f>
        <v>在建建筑物价值</v>
      </c>
      <c r="G2" s="3090"/>
      <c r="H2" s="3090" t="str">
        <f>IF(项目基本情况!B9="房地产市场价值","房地产市场价值","房地产价值")</f>
        <v>房地产价值</v>
      </c>
      <c r="I2" s="3090"/>
    </row>
    <row r="3" spans="1:9" ht="15">
      <c r="A3" s="3091"/>
      <c r="B3" s="3091"/>
      <c r="C3" s="3091"/>
      <c r="D3" s="963" t="s">
        <v>1603</v>
      </c>
      <c r="E3" s="963" t="s">
        <v>1609</v>
      </c>
      <c r="F3" s="963" t="s">
        <v>1603</v>
      </c>
      <c r="G3" s="963" t="s">
        <v>1604</v>
      </c>
      <c r="H3" s="963" t="s">
        <v>1603</v>
      </c>
      <c r="I3" s="963" t="s">
        <v>1604</v>
      </c>
    </row>
    <row r="4" spans="1:9" ht="15">
      <c r="A4" s="1692" t="str">
        <f>项目基本情况!S2</f>
        <v>北京市海淀大街5号房地产</v>
      </c>
      <c r="B4" s="963">
        <f>项目基本情况!C17</f>
        <v>18583.03</v>
      </c>
      <c r="C4" s="963">
        <f>项目基本情况!C18</f>
        <v>6283.43</v>
      </c>
      <c r="D4" s="963">
        <f ca="1">'结果表-商业'!D118</f>
        <v>66459</v>
      </c>
      <c r="E4" s="963">
        <f ca="1">'结果表-商业'!E118</f>
        <v>35763</v>
      </c>
      <c r="F4" s="963">
        <f ca="1">'结果表-商业'!F118</f>
        <v>6253</v>
      </c>
      <c r="G4" s="963">
        <f ca="1">'结果表-商业'!G118</f>
        <v>3365</v>
      </c>
      <c r="H4" s="963">
        <f ca="1">'结果表-商业'!H118</f>
        <v>72712</v>
      </c>
      <c r="I4" s="963">
        <f ca="1">'结果表-商业'!I118</f>
        <v>39128</v>
      </c>
    </row>
    <row r="5" spans="1:9" ht="30" customHeight="1">
      <c r="A5" s="3091" t="s">
        <v>1605</v>
      </c>
      <c r="B5" s="3091"/>
      <c r="C5" s="3091"/>
      <c r="D5" s="3092" t="str">
        <f ca="1">'结果表-商业'!D119</f>
        <v>陆亿陆仟肆佰伍拾玖万元整</v>
      </c>
      <c r="E5" s="3092"/>
      <c r="F5" s="3092" t="str">
        <f ca="1">'结果表-商业'!F119</f>
        <v>陆仟贰佰伍拾叁万元整</v>
      </c>
      <c r="G5" s="3092"/>
      <c r="H5" s="3092" t="str">
        <f ca="1">'结果表-商业'!H119</f>
        <v>柒亿贰仟柒佰壹拾贰万元整</v>
      </c>
      <c r="I5" s="3092"/>
    </row>
    <row r="6" spans="1:9" ht="15.75">
      <c r="A6" s="3093" t="str">
        <f>'结果表-商业'!A120</f>
        <v>估价师知悉的法定优先受偿款</v>
      </c>
      <c r="B6" s="3093"/>
      <c r="C6" s="3093"/>
      <c r="D6" s="3093">
        <f>'结果表-商业'!D120</f>
        <v>0</v>
      </c>
      <c r="E6" s="3093"/>
      <c r="F6" s="3093"/>
      <c r="G6" s="3093"/>
      <c r="H6" s="3093"/>
      <c r="I6" s="3093"/>
    </row>
    <row r="7" spans="1:9" ht="15">
      <c r="A7" s="3091" t="s">
        <v>1605</v>
      </c>
      <c r="B7" s="3091"/>
      <c r="C7" s="3091"/>
      <c r="D7" s="3094" t="str">
        <f>'结果表-商业'!D121</f>
        <v>零元整</v>
      </c>
      <c r="E7" s="3095"/>
      <c r="F7" s="3095"/>
      <c r="G7" s="3095"/>
      <c r="H7" s="3095"/>
      <c r="I7" s="3096"/>
    </row>
    <row r="8" spans="1:9" ht="15.75">
      <c r="A8" s="3093" t="str">
        <f>'结果表-商业'!A122</f>
        <v>房地产抵押价值</v>
      </c>
      <c r="B8" s="3093"/>
      <c r="C8" s="3093"/>
      <c r="D8" s="3093">
        <f ca="1">'结果表-商业'!D122</f>
        <v>72712</v>
      </c>
      <c r="E8" s="3093"/>
      <c r="F8" s="3093"/>
      <c r="G8" s="3093"/>
      <c r="H8" s="3093"/>
      <c r="I8" s="3093"/>
    </row>
    <row r="9" spans="1:9" ht="15">
      <c r="A9" s="3091" t="s">
        <v>1605</v>
      </c>
      <c r="B9" s="3091"/>
      <c r="C9" s="3091"/>
      <c r="D9" s="3092" t="str">
        <f ca="1">'结果表-商业'!D123</f>
        <v>柒亿贰仟柒佰壹拾贰万元整</v>
      </c>
      <c r="E9" s="3092"/>
      <c r="F9" s="3092"/>
      <c r="G9" s="3092"/>
      <c r="H9" s="3092"/>
      <c r="I9" s="3092"/>
    </row>
    <row r="10" spans="1:9" ht="15.75">
      <c r="A10" s="3093" t="str">
        <f>'结果表-商业'!A124</f>
        <v>抵押担保权已注销时的房地产抵押价值</v>
      </c>
      <c r="B10" s="3093"/>
      <c r="C10" s="3093"/>
      <c r="D10" s="3093">
        <f ca="1">'结果表-商业'!D124</f>
        <v>72712</v>
      </c>
      <c r="E10" s="3093"/>
      <c r="F10" s="3093"/>
      <c r="G10" s="3093"/>
      <c r="H10" s="3093"/>
      <c r="I10" s="3093"/>
    </row>
    <row r="11" spans="1:9" ht="15">
      <c r="A11" s="3091" t="s">
        <v>1605</v>
      </c>
      <c r="B11" s="3091"/>
      <c r="C11" s="3091"/>
      <c r="D11" s="3092" t="str">
        <f ca="1">'结果表-商业'!D125</f>
        <v>柒亿贰仟柒佰壹拾贰万元整</v>
      </c>
      <c r="E11" s="3092"/>
      <c r="F11" s="3092"/>
      <c r="G11" s="3092"/>
      <c r="H11" s="3092"/>
      <c r="I11" s="3092"/>
    </row>
    <row r="12" spans="1:9" ht="15.75">
      <c r="A12" s="3093" t="str">
        <f>'结果表-商业'!A126</f>
        <v/>
      </c>
      <c r="B12" s="3093"/>
      <c r="C12" s="3093"/>
      <c r="D12" s="3093" t="str">
        <f>'结果表-商业'!D126</f>
        <v>——</v>
      </c>
      <c r="E12" s="3093"/>
      <c r="F12" s="3093"/>
      <c r="G12" s="3093"/>
      <c r="H12" s="3093"/>
      <c r="I12" s="3093"/>
    </row>
    <row r="13" spans="1:9" ht="15.75" thickBot="1">
      <c r="A13" s="3097" t="s">
        <v>1605</v>
      </c>
      <c r="B13" s="3097"/>
      <c r="C13" s="3097"/>
      <c r="D13" s="3098" t="e">
        <f>'结果表-商业'!D127</f>
        <v>#VALUE!</v>
      </c>
      <c r="E13" s="3098"/>
      <c r="F13" s="3098"/>
      <c r="G13" s="3098"/>
      <c r="H13" s="3098"/>
      <c r="I13" s="3098"/>
    </row>
    <row r="14" spans="1:9" ht="15" thickTop="1">
      <c r="A14" s="3099" t="s">
        <v>1610</v>
      </c>
      <c r="B14" s="3099"/>
      <c r="C14" s="3099"/>
      <c r="D14" s="3099"/>
      <c r="E14" s="3099"/>
      <c r="F14" s="3099"/>
      <c r="G14" s="3099"/>
      <c r="H14" s="3099"/>
      <c r="I14" s="3099"/>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00" t="s">
        <v>1627</v>
      </c>
      <c r="B1" s="3100"/>
      <c r="C1" s="3100"/>
      <c r="D1" s="3100"/>
    </row>
    <row r="2" spans="1:4" ht="18">
      <c r="A2" s="3101" t="s">
        <v>1611</v>
      </c>
      <c r="B2" s="3101"/>
      <c r="C2" s="3101"/>
      <c r="D2" s="3101"/>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01" t="s">
        <v>1617</v>
      </c>
      <c r="B6" s="3101"/>
      <c r="C6" s="3101"/>
      <c r="D6" s="3101"/>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02" t="s">
        <v>1620</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4"/>
      <c r="C12" s="3104"/>
      <c r="D12" s="3104"/>
    </row>
    <row r="13" spans="1:4" ht="30" customHeight="1">
      <c r="A13" s="31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4"/>
      <c r="C13" s="3104"/>
      <c r="D13" s="3104"/>
    </row>
    <row r="14" spans="1:4" ht="15.75" customHeight="1">
      <c r="A14" s="3103" t="str">
        <f>IF(项目基本情况!B8="抵押","4.本次评估估价师所知悉的法定优先受偿款情况说明如下：","——")</f>
        <v>4.本次评估估价师所知悉的法定优先受偿款情况说明如下：</v>
      </c>
      <c r="B14" s="3104"/>
      <c r="C14" s="3104"/>
      <c r="D14" s="3104"/>
    </row>
    <row r="15" spans="1:4" ht="42" customHeight="1">
      <c r="A15" s="31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3"/>
      <c r="C15" s="3103"/>
      <c r="D15" s="3103"/>
    </row>
    <row r="16" spans="1:4" ht="30" customHeight="1">
      <c r="A16" s="3106" t="s">
        <v>1621</v>
      </c>
      <c r="B16" s="3106"/>
      <c r="C16" s="3106"/>
      <c r="D16" s="3106"/>
    </row>
    <row r="17" spans="1:4" ht="144" customHeight="1">
      <c r="A17" s="3106" t="s">
        <v>1622</v>
      </c>
      <c r="B17" s="3106"/>
      <c r="C17" s="3106"/>
      <c r="D17" s="3106"/>
    </row>
    <row r="18" spans="1:4" ht="15.75" customHeight="1">
      <c r="A18" s="3103" t="str">
        <f>IF(项目基本情况!B8="抵押",'结果表-商业'!K120,"——")</f>
        <v>故，本次评估不存在估价师知悉的法定优先受偿款</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3"/>
      <c r="C20" s="3103"/>
      <c r="D20" s="3103"/>
    </row>
    <row r="21" spans="1:4" ht="57.75" customHeight="1">
      <c r="A21" s="310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7"/>
      <c r="C21" s="3107"/>
      <c r="D21" s="3107"/>
    </row>
    <row r="22" spans="1:4" ht="18.75" customHeight="1">
      <c r="A22" s="3108" t="s">
        <v>1623</v>
      </c>
      <c r="B22" s="3108"/>
      <c r="C22" s="3108"/>
      <c r="D22" s="3108"/>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05">
        <v>42551</v>
      </c>
      <c r="D31" s="31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14" t="s">
        <v>1634</v>
      </c>
      <c r="B15" s="3109" t="s">
        <v>136</v>
      </c>
      <c r="C15" s="3110"/>
    </row>
    <row r="16" spans="1:7" ht="13.5">
      <c r="A16" s="3115"/>
      <c r="B16" s="3109" t="s">
        <v>69</v>
      </c>
      <c r="C16" s="3110"/>
    </row>
    <row r="17" spans="1:3" ht="13.5">
      <c r="A17" s="3115"/>
      <c r="B17" s="3112" t="s">
        <v>1635</v>
      </c>
      <c r="C17" s="1719" t="s">
        <v>1634</v>
      </c>
    </row>
    <row r="18" spans="1:3" ht="13.5">
      <c r="A18" s="3115"/>
      <c r="B18" s="3112"/>
      <c r="C18" s="1719" t="s">
        <v>1636</v>
      </c>
    </row>
    <row r="19" spans="1:3" ht="13.5">
      <c r="A19" s="3115"/>
      <c r="B19" s="3112"/>
      <c r="C19" s="1719" t="s">
        <v>1637</v>
      </c>
    </row>
    <row r="20" spans="1:3" ht="13.5">
      <c r="A20" s="3116"/>
      <c r="B20" s="3111" t="s">
        <v>1638</v>
      </c>
      <c r="C20" s="3110"/>
    </row>
    <row r="21" spans="1:3" ht="13.5">
      <c r="A21" s="1720" t="s">
        <v>1639</v>
      </c>
      <c r="B21" s="1721"/>
      <c r="C21" s="1722"/>
    </row>
    <row r="22" spans="1:3" ht="13.5">
      <c r="A22" s="3113" t="s">
        <v>1640</v>
      </c>
      <c r="B22" s="3111" t="s">
        <v>1641</v>
      </c>
      <c r="C22" s="3110"/>
    </row>
    <row r="23" spans="1:3" ht="13.5">
      <c r="A23" s="3113"/>
      <c r="B23" s="3111" t="s">
        <v>1642</v>
      </c>
      <c r="C23" s="3110"/>
    </row>
    <row r="24" spans="1:3" ht="13.5">
      <c r="A24" s="3113"/>
      <c r="B24" s="3111" t="s">
        <v>1643</v>
      </c>
      <c r="C24" s="3110"/>
    </row>
    <row r="25" spans="1:3" ht="13.5">
      <c r="A25" s="3113"/>
      <c r="B25" s="3112" t="s">
        <v>1644</v>
      </c>
      <c r="C25" s="1719" t="s">
        <v>1645</v>
      </c>
    </row>
    <row r="26" spans="1:3" ht="13.5">
      <c r="A26" s="3113"/>
      <c r="B26" s="3112"/>
      <c r="C26" s="1719" t="s">
        <v>1646</v>
      </c>
    </row>
    <row r="27" spans="1:3" ht="13.5">
      <c r="A27" s="3113"/>
      <c r="B27" s="3112"/>
      <c r="C27" s="1719" t="s">
        <v>1647</v>
      </c>
    </row>
    <row r="28" spans="1:3" ht="13.5">
      <c r="A28" s="3113"/>
      <c r="B28" s="3112"/>
      <c r="C28" s="1719" t="s">
        <v>1648</v>
      </c>
    </row>
    <row r="29" spans="1:3" ht="13.5">
      <c r="A29" s="3113"/>
      <c r="B29" s="3112"/>
      <c r="C29" s="1719" t="s">
        <v>1649</v>
      </c>
    </row>
    <row r="30" spans="1:3" ht="13.5">
      <c r="A30" s="3113"/>
      <c r="B30" s="3112"/>
      <c r="C30" s="1719" t="s">
        <v>1650</v>
      </c>
    </row>
    <row r="31" spans="1:3" ht="13.5">
      <c r="A31" s="3113"/>
      <c r="B31" s="3112"/>
      <c r="C31" s="1719" t="s">
        <v>1651</v>
      </c>
    </row>
    <row r="32" spans="1:3" ht="13.5">
      <c r="A32" s="3113"/>
      <c r="B32" s="3112"/>
      <c r="C32" s="1719" t="s">
        <v>1652</v>
      </c>
    </row>
    <row r="33" spans="1:3" ht="13.5">
      <c r="A33" s="3113"/>
      <c r="B33" s="3112"/>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44155</v>
      </c>
      <c r="C2" s="2564" t="s">
        <v>2881</v>
      </c>
      <c r="D2" s="2564"/>
      <c r="E2" s="2564"/>
      <c r="F2" s="2560"/>
      <c r="G2" s="2560"/>
      <c r="H2" s="2560"/>
    </row>
    <row r="3" spans="1:8" ht="24" customHeight="1">
      <c r="A3" s="2565" t="s">
        <v>2882</v>
      </c>
      <c r="B3" s="2566" t="s">
        <v>2883</v>
      </c>
      <c r="C3" s="2566" t="s">
        <v>2884</v>
      </c>
      <c r="D3" s="2567" t="s">
        <v>2885</v>
      </c>
      <c r="E3" s="2568" t="s">
        <v>2886</v>
      </c>
      <c r="F3" s="1474" t="s">
        <v>2887</v>
      </c>
      <c r="G3" s="2566" t="s">
        <v>2884</v>
      </c>
      <c r="H3" s="2567" t="s">
        <v>2888</v>
      </c>
    </row>
    <row r="4" spans="1:8" ht="24" customHeight="1">
      <c r="A4" s="1474" t="s">
        <v>2889</v>
      </c>
      <c r="B4" s="1474">
        <f ca="1">IF(C4&lt;B2,"已过期",1119970066)</f>
        <v>1119970066</v>
      </c>
      <c r="C4" s="2569">
        <v>44876</v>
      </c>
      <c r="D4" s="2570" t="str">
        <f ca="1">A4&amp;"（注册号："&amp;B4&amp;"）"</f>
        <v>梁津（注册号：1119970066）</v>
      </c>
      <c r="E4" s="2571" t="s">
        <v>2889</v>
      </c>
      <c r="F4" s="1474">
        <f ca="1">IF(G4&lt;B2,"已过期",96010014)</f>
        <v>96010014</v>
      </c>
      <c r="G4" s="2572">
        <v>47118</v>
      </c>
      <c r="H4" s="2573" t="str">
        <f ca="1">E4&amp;"（注册号："&amp;F4&amp;"）"</f>
        <v>梁津（注册号：96010014）</v>
      </c>
    </row>
    <row r="5" spans="1:8" ht="24" customHeight="1">
      <c r="A5" s="1474" t="s">
        <v>2890</v>
      </c>
      <c r="B5" s="1474">
        <f ca="1">IF(C5&lt;B2,"已过期",1119970111)</f>
        <v>1119970111</v>
      </c>
      <c r="C5" s="2569">
        <v>44876</v>
      </c>
      <c r="D5" s="2570" t="str">
        <f t="shared" ref="D5:D15" ca="1" si="0">A5&amp;"（注册号："&amp;B5&amp;"）"</f>
        <v>叶凌（注册号：1119970111）</v>
      </c>
      <c r="E5" s="2571" t="s">
        <v>2890</v>
      </c>
      <c r="F5" s="1474">
        <f ca="1">IF(G5&lt;B2,"已过期",94010078)</f>
        <v>94010078</v>
      </c>
      <c r="G5" s="2572">
        <v>46387</v>
      </c>
      <c r="H5" s="2573" t="str">
        <f t="shared" ref="H5:H16" ca="1" si="1">E5&amp;"（注册号："&amp;F5&amp;"）"</f>
        <v>叶凌（注册号：94010078）</v>
      </c>
    </row>
    <row r="6" spans="1:8" ht="24" customHeight="1">
      <c r="A6" s="1474" t="s">
        <v>2891</v>
      </c>
      <c r="B6" s="1474">
        <f ca="1">IF(C6&lt;B2,"已过期",1120050019)</f>
        <v>1120050019</v>
      </c>
      <c r="C6" s="2569">
        <v>44395</v>
      </c>
      <c r="D6" s="2570" t="str">
        <f t="shared" ca="1" si="0"/>
        <v>王鹏（注册号：1120050019）</v>
      </c>
      <c r="E6" s="2571" t="s">
        <v>2891</v>
      </c>
      <c r="F6" s="1474">
        <f ca="1">IF(G6&lt;B2,"已过期",2002110030)</f>
        <v>2002110030</v>
      </c>
      <c r="G6" s="2572">
        <v>46387</v>
      </c>
      <c r="H6" s="2573" t="str">
        <f t="shared" ca="1" si="1"/>
        <v>王鹏（注册号：2002110030）</v>
      </c>
    </row>
    <row r="7" spans="1:8" ht="24" customHeight="1">
      <c r="A7" s="1474" t="s">
        <v>2892</v>
      </c>
      <c r="B7" s="1474">
        <f ca="1">IF(C7&lt;B2,"已过期",1120000080)</f>
        <v>1120000080</v>
      </c>
      <c r="C7" s="2569">
        <v>44876</v>
      </c>
      <c r="D7" s="2570" t="str">
        <f t="shared" ca="1" si="0"/>
        <v>欧红伟（注册号：1120000080）</v>
      </c>
      <c r="E7" s="2571" t="s">
        <v>2892</v>
      </c>
      <c r="F7" s="1474">
        <f ca="1">IF(G7&lt;B2,"已过期",2000110082)</f>
        <v>2000110082</v>
      </c>
      <c r="G7" s="2572">
        <v>46387</v>
      </c>
      <c r="H7" s="2573" t="str">
        <f t="shared" ca="1" si="1"/>
        <v>欧红伟（注册号：2000110082）</v>
      </c>
    </row>
    <row r="8" spans="1:8" ht="24" customHeight="1">
      <c r="A8" s="1474" t="s">
        <v>2893</v>
      </c>
      <c r="B8" s="1474">
        <f ca="1">IF(C8&lt;B2,"已过期",1419970001)</f>
        <v>1419970001</v>
      </c>
      <c r="C8" s="2569">
        <v>44899</v>
      </c>
      <c r="D8" s="2570" t="str">
        <f t="shared" ca="1" si="0"/>
        <v>吴薇（注册号：1419970001）</v>
      </c>
      <c r="E8" s="2571" t="s">
        <v>2893</v>
      </c>
      <c r="F8" s="1474">
        <f ca="1">IF(G8&lt;B2,"已过期",2002110125)</f>
        <v>2002110125</v>
      </c>
      <c r="G8" s="2572">
        <v>47118</v>
      </c>
      <c r="H8" s="2573" t="str">
        <f t="shared" ca="1" si="1"/>
        <v>吴薇（注册号：2002110125）</v>
      </c>
    </row>
    <row r="9" spans="1:8" ht="24" customHeight="1">
      <c r="A9" s="1474" t="s">
        <v>2894</v>
      </c>
      <c r="B9" s="1474">
        <f ca="1">IF(C9&lt;B2,"已过期",1120060040)</f>
        <v>1120060040</v>
      </c>
      <c r="C9" s="2574">
        <v>44554</v>
      </c>
      <c r="D9" s="2570" t="str">
        <f t="shared" ca="1" si="0"/>
        <v>陈颖（注册号：1120060040）</v>
      </c>
      <c r="E9" s="2571" t="s">
        <v>2894</v>
      </c>
      <c r="F9" s="1474">
        <f ca="1">IF(G9&lt;B2,"已过期",2004110096)</f>
        <v>2004110096</v>
      </c>
      <c r="G9" s="2572">
        <v>47118</v>
      </c>
      <c r="H9" s="2573" t="str">
        <f t="shared" ca="1" si="1"/>
        <v>陈颖（注册号：2004110096）</v>
      </c>
    </row>
    <row r="10" spans="1:8" ht="24" customHeight="1">
      <c r="A10" s="1474" t="s">
        <v>2895</v>
      </c>
      <c r="B10" s="1474">
        <f ca="1">IF(C10&lt;B2,"已过期",1120100036)</f>
        <v>1120100036</v>
      </c>
      <c r="C10" s="2574">
        <v>44675</v>
      </c>
      <c r="D10" s="2570" t="str">
        <f t="shared" ca="1" si="0"/>
        <v>崔锴（注册号：1120100036）</v>
      </c>
      <c r="E10" s="2571" t="s">
        <v>2895</v>
      </c>
      <c r="F10" s="1474">
        <f ca="1">IF(G10&lt;B2,"已过期",2010110070)</f>
        <v>2010110070</v>
      </c>
      <c r="G10" s="2572">
        <v>47907</v>
      </c>
      <c r="H10" s="2573" t="str">
        <f t="shared" ca="1" si="1"/>
        <v>崔锴（注册号：2010110070）</v>
      </c>
    </row>
    <row r="11" spans="1:8" ht="24" customHeight="1">
      <c r="A11" s="1474" t="s">
        <v>2896</v>
      </c>
      <c r="B11" s="1474">
        <f ca="1">IF(C11&lt;B2,"已过期",1120070131)</f>
        <v>1120070131</v>
      </c>
      <c r="C11" s="2569">
        <v>44849</v>
      </c>
      <c r="D11" s="2570" t="str">
        <f t="shared" ca="1" si="0"/>
        <v>郑燚（注册号：1120070131）</v>
      </c>
      <c r="E11" s="2571" t="s">
        <v>2896</v>
      </c>
      <c r="F11" s="1474">
        <f ca="1">IF(G11&lt;B2,"已过期",2014110011)</f>
        <v>2014110011</v>
      </c>
      <c r="G11" s="2572">
        <v>49302</v>
      </c>
      <c r="H11" s="2573" t="str">
        <f t="shared" ca="1" si="1"/>
        <v>郑燚（注册号：2014110011）</v>
      </c>
    </row>
    <row r="12" spans="1:8" ht="24" customHeight="1">
      <c r="A12" s="1474" t="s">
        <v>2897</v>
      </c>
      <c r="B12" s="1474">
        <f ca="1">IF(C12&lt;B2,"已过期",1120040230)</f>
        <v>1120040230</v>
      </c>
      <c r="C12" s="2574">
        <v>44864</v>
      </c>
      <c r="D12" s="2570" t="str">
        <f t="shared" ca="1" si="0"/>
        <v>苏海（注册号：1120040230）</v>
      </c>
      <c r="E12" s="2571" t="s">
        <v>2897</v>
      </c>
      <c r="F12" s="1474">
        <f ca="1">IF(G12&lt;B2,"已过期",98030020)</f>
        <v>98030020</v>
      </c>
      <c r="G12" s="2572">
        <v>47118</v>
      </c>
      <c r="H12" s="2573" t="str">
        <f t="shared" ca="1" si="1"/>
        <v>苏海（注册号：98030020）</v>
      </c>
    </row>
    <row r="13" spans="1:8" ht="24" customHeight="1">
      <c r="A13" s="1474" t="s">
        <v>2898</v>
      </c>
      <c r="B13" s="1474">
        <f ca="1">IF(C13&lt;B2,"已过期",1120020033)</f>
        <v>1120020033</v>
      </c>
      <c r="C13" s="2569">
        <v>44339</v>
      </c>
      <c r="D13" s="2570" t="str">
        <f t="shared" ca="1" si="0"/>
        <v>刘敬东（注册号：1120020033）</v>
      </c>
      <c r="E13" s="2571" t="s">
        <v>2898</v>
      </c>
      <c r="F13" s="1474">
        <f ca="1">IF(G13&lt;B2,"已过期",2000110137)</f>
        <v>2000110137</v>
      </c>
      <c r="G13" s="2572">
        <v>46387</v>
      </c>
      <c r="H13" s="2573" t="str">
        <f t="shared" ca="1" si="1"/>
        <v>刘敬东（注册号：2000110137）</v>
      </c>
    </row>
    <row r="14" spans="1:8" ht="24" customHeight="1">
      <c r="A14" s="1474" t="s">
        <v>2899</v>
      </c>
      <c r="B14" s="1474">
        <f ca="1">IF(C14&lt;B2,"已过期",1119980106)</f>
        <v>1119980106</v>
      </c>
      <c r="C14" s="2574">
        <v>44969</v>
      </c>
      <c r="D14" s="2570" t="str">
        <f t="shared" ca="1" si="0"/>
        <v>刘俊财（注册号：1119980106）</v>
      </c>
      <c r="E14" s="2571" t="s">
        <v>2899</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2900</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17" t="s">
        <v>2901</v>
      </c>
      <c r="B17" s="3117"/>
      <c r="C17" s="3117"/>
      <c r="D17" s="3117"/>
      <c r="E17" s="3117"/>
      <c r="F17" s="3117"/>
      <c r="G17" s="3117"/>
      <c r="H17" s="3117"/>
    </row>
    <row r="18" spans="1:8" ht="24" customHeight="1">
      <c r="A18" s="3118" t="s">
        <v>2902</v>
      </c>
      <c r="B18" s="3118"/>
      <c r="C18" s="3118"/>
      <c r="D18" s="2567"/>
      <c r="E18" s="3119" t="s">
        <v>2903</v>
      </c>
      <c r="F18" s="3118"/>
      <c r="G18" s="3118"/>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结果表-车位</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收益法-车位</vt:lpstr>
      <vt:lpstr>中指案例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'结果表-车位'!Print_Area</vt:lpstr>
      <vt:lpstr>'结果表-商业'!Print_Area</vt:lpstr>
      <vt:lpstr>收益法!Print_Area</vt:lpstr>
      <vt:lpstr>'收益法 (元)'!Print_Area</vt:lpstr>
      <vt:lpstr>'收益法（汇总）'!Print_Area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2020-11-20T08:44:25Z</dcterms:modified>
</cp:coreProperties>
</file>