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2025-1-E000369-东华门大街商业-吴琼\"/>
    </mc:Choice>
  </mc:AlternateContent>
  <xr:revisionPtr revIDLastSave="0" documentId="13_ncr:1_{10BCE94F-5D23-4CB5-8A8A-3B45372DD70E}" xr6:coauthVersionLast="47" xr6:coauthVersionMax="47" xr10:uidLastSave="{00000000-0000-0000-0000-000000000000}"/>
  <bookViews>
    <workbookView xWindow="12490" yWindow="120" windowWidth="12310" windowHeight="1334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售价" sheetId="81" r:id="rId24"/>
    <sheet name="租金" sheetId="82"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Sheet1" sheetId="80"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8" i="74"/>
  <c r="H8" i="74"/>
  <c r="I7" i="74"/>
  <c r="I6" i="74"/>
  <c r="H7" i="74"/>
  <c r="H6" i="74"/>
  <c r="G7" i="74" l="1"/>
  <c r="F7" i="74" l="1"/>
  <c r="U6" i="1" l="1"/>
  <c r="W18" i="1"/>
  <c r="G23" i="9"/>
  <c r="F23" i="9"/>
  <c r="I13" i="33"/>
  <c r="D66" i="33"/>
  <c r="C66" i="33" s="1"/>
  <c r="E66" i="33"/>
  <c r="C33" i="33"/>
  <c r="C36" i="33"/>
  <c r="E104" i="33"/>
  <c r="F104" i="33" s="1"/>
  <c r="G104" i="33" s="1"/>
  <c r="H104" i="33" s="1"/>
  <c r="D104" i="33"/>
  <c r="E93" i="33"/>
  <c r="I7" i="33"/>
  <c r="G7" i="33"/>
  <c r="E7" i="33"/>
  <c r="Q8" i="82"/>
  <c r="J49" i="67" l="1"/>
  <c r="D33" i="43"/>
  <c r="B54" i="1"/>
  <c r="N19" i="1"/>
  <c r="N6" i="1" s="1"/>
  <c r="Y6" i="1" s="1"/>
  <c r="B21"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5" i="79" l="1"/>
  <c r="AD37" i="79"/>
  <c r="AD36" i="79"/>
  <c r="AD38"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W22" i="79"/>
  <c r="AK22" i="79" s="1"/>
  <c r="AH22" i="79"/>
  <c r="AR19" i="79"/>
  <c r="AR20" i="79" s="1"/>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Q37" i="71"/>
  <c r="P37" i="71"/>
  <c r="AA36" i="71" s="1"/>
  <c r="O37" i="71"/>
  <c r="Y37" i="71" s="1"/>
  <c r="Z37" i="71" s="1"/>
  <c r="N37" i="71"/>
  <c r="B38" i="71" s="1"/>
  <c r="D37" i="71"/>
  <c r="Q36" i="71"/>
  <c r="AB36" i="71" s="1"/>
  <c r="P36" i="71"/>
  <c r="O36" i="71"/>
  <c r="N36" i="71"/>
  <c r="X35" i="71" s="1"/>
  <c r="Q35" i="71"/>
  <c r="AB31" i="71" s="1"/>
  <c r="P35" i="71"/>
  <c r="O35" i="71"/>
  <c r="Y35" i="71"/>
  <c r="Z35" i="71" s="1"/>
  <c r="N35" i="71"/>
  <c r="Q34" i="71"/>
  <c r="AB34" i="71"/>
  <c r="P34" i="71"/>
  <c r="O34" i="71"/>
  <c r="N34" i="71"/>
  <c r="Q33" i="71"/>
  <c r="F34" i="71" s="1"/>
  <c r="P33" i="71"/>
  <c r="O33" i="71"/>
  <c r="Y27" i="71" s="1"/>
  <c r="Z27"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3" i="71"/>
  <c r="C44" i="71" s="1"/>
  <c r="C47" i="71"/>
  <c r="D47" i="71" s="1"/>
  <c r="D50" i="71"/>
  <c r="P28" i="71"/>
  <c r="E28" i="71" s="1"/>
  <c r="U68" i="71"/>
  <c r="E67" i="71"/>
  <c r="Q28" i="71"/>
  <c r="D58" i="71"/>
  <c r="C63" i="71"/>
  <c r="C64" i="71" s="1"/>
  <c r="D62" i="71"/>
  <c r="D68" i="71"/>
  <c r="C67" i="71"/>
  <c r="D67" i="71" s="1"/>
  <c r="E71" i="71"/>
  <c r="E70" i="71"/>
  <c r="D72" i="71"/>
  <c r="E75" i="71"/>
  <c r="E74" i="71"/>
  <c r="D80" i="71"/>
  <c r="C87" i="71"/>
  <c r="C86" i="71" s="1"/>
  <c r="D86" i="71" s="1"/>
  <c r="F28" i="71"/>
  <c r="F27" i="71"/>
  <c r="F26" i="71" s="1"/>
  <c r="AB28" i="71"/>
  <c r="D63" i="71"/>
  <c r="D87" i="71"/>
  <c r="P67" i="71"/>
  <c r="E66" i="71"/>
  <c r="P65" i="71" s="1"/>
  <c r="D43" i="7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18" i="36"/>
  <c r="H25" i="40"/>
  <c r="AB25" i="40" s="1"/>
  <c r="J25" i="40"/>
  <c r="H29" i="39"/>
  <c r="J29" i="39"/>
  <c r="AC29" i="39" s="1"/>
  <c r="J18" i="36"/>
  <c r="AC18" i="36" s="1"/>
  <c r="H18" i="35"/>
  <c r="AB18" i="35" s="1"/>
  <c r="J18" i="35"/>
  <c r="W18" i="35" s="1"/>
  <c r="H21" i="37"/>
  <c r="AB21" i="37" s="1"/>
  <c r="F21" i="37"/>
  <c r="H21" i="34"/>
  <c r="AB21" i="34" s="1"/>
  <c r="H21" i="33"/>
  <c r="U21" i="33" s="1"/>
  <c r="F21" i="33"/>
  <c r="E83" i="21"/>
  <c r="F83" i="21" s="1"/>
  <c r="H1" i="69"/>
  <c r="AC25" i="40"/>
  <c r="W25" i="40"/>
  <c r="U25" i="40"/>
  <c r="W29" i="39"/>
  <c r="W18" i="36"/>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AB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B99" i="35"/>
  <c r="B97" i="35"/>
  <c r="B77" i="35"/>
  <c r="J25" i="35" s="1"/>
  <c r="W25" i="35" s="1"/>
  <c r="B75" i="35"/>
  <c r="J24" i="35" s="1"/>
  <c r="AC24" i="35" s="1"/>
  <c r="B73" i="35"/>
  <c r="J23" i="35" s="1"/>
  <c r="AC23" i="35" s="1"/>
  <c r="H23" i="35"/>
  <c r="U23" i="35" s="1"/>
  <c r="B57" i="35"/>
  <c r="F11" i="35" s="1"/>
  <c r="S11" i="35" s="1"/>
  <c r="B61" i="35"/>
  <c r="B59" i="35"/>
  <c r="F12" i="35" s="1"/>
  <c r="B131" i="34"/>
  <c r="B129" i="34"/>
  <c r="J46" i="34" s="1"/>
  <c r="B127" i="34"/>
  <c r="B99" i="34"/>
  <c r="B97" i="34"/>
  <c r="B95" i="34"/>
  <c r="H30" i="34" s="1"/>
  <c r="B93" i="34"/>
  <c r="B75" i="34"/>
  <c r="B73" i="34"/>
  <c r="B71" i="34"/>
  <c r="F12" i="34" s="1"/>
  <c r="S12" i="34" s="1"/>
  <c r="B130" i="33"/>
  <c r="B128" i="33"/>
  <c r="B126" i="33"/>
  <c r="B98" i="33"/>
  <c r="F31" i="33" s="1"/>
  <c r="B96" i="33"/>
  <c r="B94" i="33"/>
  <c r="B74" i="33"/>
  <c r="J14" i="33" s="1"/>
  <c r="B72" i="33"/>
  <c r="H13" i="33" s="1"/>
  <c r="U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c r="Q45" i="33"/>
  <c r="Z45" i="33" s="1"/>
  <c r="Q44" i="33"/>
  <c r="Z44" i="33"/>
  <c r="Q43" i="33"/>
  <c r="Z43" i="33" s="1"/>
  <c r="Q42" i="33"/>
  <c r="Z42" i="33"/>
  <c r="J42" i="33"/>
  <c r="AC42" i="33" s="1"/>
  <c r="Q41" i="33"/>
  <c r="Z41" i="33" s="1"/>
  <c r="Q40" i="33"/>
  <c r="Z40" i="33"/>
  <c r="J40" i="33"/>
  <c r="AC40" i="33" s="1"/>
  <c r="H40" i="33"/>
  <c r="AB40" i="33"/>
  <c r="AA40" i="33"/>
  <c r="Q39" i="33"/>
  <c r="Z39" i="33"/>
  <c r="J39" i="33"/>
  <c r="AC39" i="33" s="1"/>
  <c r="Q38" i="33"/>
  <c r="Z38" i="33"/>
  <c r="J38" i="33"/>
  <c r="AC38" i="33" s="1"/>
  <c r="H38" i="33"/>
  <c r="AB38" i="33"/>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J30" i="21" s="1"/>
  <c r="B94" i="21"/>
  <c r="J29" i="21" s="1"/>
  <c r="AC29" i="2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M5" i="3" s="1"/>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S41" i="21"/>
  <c r="AA41" i="21"/>
  <c r="F45" i="39"/>
  <c r="S45" i="39" s="1"/>
  <c r="J45" i="39"/>
  <c r="W45" i="39" s="1"/>
  <c r="F36" i="39"/>
  <c r="S36" i="39" s="1"/>
  <c r="J35" i="39"/>
  <c r="AC35" i="39" s="1"/>
  <c r="F35" i="39"/>
  <c r="S35" i="39" s="1"/>
  <c r="U9"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U34" i="35"/>
  <c r="F36" i="34"/>
  <c r="J35" i="34"/>
  <c r="U34" i="34"/>
  <c r="H39" i="33"/>
  <c r="AB39" i="33" s="1"/>
  <c r="U35" i="33"/>
  <c r="W39" i="33"/>
  <c r="H39" i="37"/>
  <c r="AB39" i="37" s="1"/>
  <c r="S27" i="35"/>
  <c r="F11" i="40"/>
  <c r="AA11" i="40" s="1"/>
  <c r="H11" i="40"/>
  <c r="AB11" i="40"/>
  <c r="W8" i="40"/>
  <c r="U9" i="40"/>
  <c r="S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F35" i="40"/>
  <c r="AA35" i="40"/>
  <c r="H23" i="40"/>
  <c r="AB23" i="40" s="1"/>
  <c r="H17" i="40"/>
  <c r="U17" i="40" s="1"/>
  <c r="J15" i="40"/>
  <c r="W15" i="40" s="1"/>
  <c r="J11" i="40"/>
  <c r="W11" i="40" s="1"/>
  <c r="AB12" i="35"/>
  <c r="W32" i="40"/>
  <c r="F37" i="39"/>
  <c r="AA37" i="39"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AA24" i="36"/>
  <c r="F14" i="35"/>
  <c r="AA14" i="35" s="1"/>
  <c r="F23" i="35"/>
  <c r="AA23" i="35" s="1"/>
  <c r="J32" i="35"/>
  <c r="AC32" i="35" s="1"/>
  <c r="J16" i="35"/>
  <c r="AC16" i="35" s="1"/>
  <c r="H16" i="35"/>
  <c r="U16" i="35"/>
  <c r="F16" i="35"/>
  <c r="S16" i="35" s="1"/>
  <c r="H14" i="35"/>
  <c r="AB14" i="35" s="1"/>
  <c r="J29" i="35"/>
  <c r="W29" i="35" s="1"/>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AB17" i="34" s="1"/>
  <c r="U17" i="34"/>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F113" i="33"/>
  <c r="G113" i="33" s="1"/>
  <c r="H113" i="33" s="1"/>
  <c r="I113" i="33" s="1"/>
  <c r="J113" i="33" s="1"/>
  <c r="K113" i="33" s="1"/>
  <c r="L113" i="33" s="1"/>
  <c r="M113" i="33" s="1"/>
  <c r="H37" i="33"/>
  <c r="U37" i="33" s="1"/>
  <c r="H15" i="33"/>
  <c r="AB15" i="33" s="1"/>
  <c r="H11" i="33"/>
  <c r="AB11" i="33" s="1"/>
  <c r="F28" i="40"/>
  <c r="AA28" i="40"/>
  <c r="AA29" i="35"/>
  <c r="AA42" i="34"/>
  <c r="S42" i="34"/>
  <c r="AC38" i="34"/>
  <c r="AA38" i="34"/>
  <c r="J37" i="34"/>
  <c r="AC37" i="34" s="1"/>
  <c r="J11" i="33"/>
  <c r="W11" i="33" s="1"/>
  <c r="S28" i="34"/>
  <c r="J42" i="21"/>
  <c r="AC42" i="21"/>
  <c r="H42" i="21"/>
  <c r="U42" i="21" s="1"/>
  <c r="J44" i="34"/>
  <c r="F44" i="34"/>
  <c r="J10" i="35"/>
  <c r="AC10" i="35" s="1"/>
  <c r="W14" i="21"/>
  <c r="F14" i="21"/>
  <c r="S14" i="21" s="1"/>
  <c r="F28" i="21"/>
  <c r="AA28" i="21"/>
  <c r="H30" i="21"/>
  <c r="U30" i="21" s="1"/>
  <c r="F30" i="21"/>
  <c r="S30" i="21" s="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c r="H29" i="21"/>
  <c r="U29" i="21" s="1"/>
  <c r="J31" i="21"/>
  <c r="AC31" i="21" s="1"/>
  <c r="F31" i="21"/>
  <c r="S31" i="21"/>
  <c r="F27" i="33"/>
  <c r="AA27" i="33" s="1"/>
  <c r="J13" i="33"/>
  <c r="J29" i="33"/>
  <c r="H29" i="33"/>
  <c r="U29" i="33" s="1"/>
  <c r="F29" i="33"/>
  <c r="S29" i="33" s="1"/>
  <c r="J31" i="33"/>
  <c r="W31" i="33"/>
  <c r="H45" i="33"/>
  <c r="U45" i="33"/>
  <c r="J45" i="33"/>
  <c r="W45" i="33" s="1"/>
  <c r="F45" i="33"/>
  <c r="AA45" i="33"/>
  <c r="J14" i="34"/>
  <c r="W14" i="34" s="1"/>
  <c r="F14" i="34"/>
  <c r="H14" i="34"/>
  <c r="F30" i="34"/>
  <c r="S30" i="34" s="1"/>
  <c r="J30" i="34"/>
  <c r="H32" i="34"/>
  <c r="F32" i="34"/>
  <c r="J32" i="34"/>
  <c r="W32" i="34" s="1"/>
  <c r="H46" i="34"/>
  <c r="U46" i="34" s="1"/>
  <c r="H11" i="35"/>
  <c r="AB11" i="35" s="1"/>
  <c r="J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J37" i="37"/>
  <c r="AC37" i="37" s="1"/>
  <c r="H37" i="37"/>
  <c r="U37" i="37" s="1"/>
  <c r="H40" i="37"/>
  <c r="U40" i="37" s="1"/>
  <c r="J40" i="37"/>
  <c r="AC40" i="37"/>
  <c r="F40" i="37"/>
  <c r="AA40" i="37" s="1"/>
  <c r="H14" i="33"/>
  <c r="U14" i="33" s="1"/>
  <c r="F14" i="33"/>
  <c r="S14" i="33" s="1"/>
  <c r="H30" i="33"/>
  <c r="AB30" i="33"/>
  <c r="F30" i="33"/>
  <c r="J30" i="33"/>
  <c r="H44" i="33"/>
  <c r="J44" i="33"/>
  <c r="W44" i="33" s="1"/>
  <c r="AC44" i="33"/>
  <c r="F44" i="33"/>
  <c r="S44" i="33" s="1"/>
  <c r="J46" i="33"/>
  <c r="AC46" i="33"/>
  <c r="F46" i="33"/>
  <c r="AA46" i="33" s="1"/>
  <c r="H46" i="33"/>
  <c r="AB46" i="33" s="1"/>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c r="F13" i="35"/>
  <c r="J13" i="35"/>
  <c r="AC13" i="35"/>
  <c r="H13" i="35"/>
  <c r="F25" i="35"/>
  <c r="S25" i="35" s="1"/>
  <c r="H25" i="35"/>
  <c r="AB25" i="35" s="1"/>
  <c r="J35" i="35"/>
  <c r="AC35" i="35" s="1"/>
  <c r="F35" i="35"/>
  <c r="AA35" i="35"/>
  <c r="H35" i="35"/>
  <c r="J25" i="36"/>
  <c r="W25" i="36"/>
  <c r="F25" i="36"/>
  <c r="S25" i="36" s="1"/>
  <c r="H25" i="36"/>
  <c r="AB25" i="36" s="1"/>
  <c r="H13" i="37"/>
  <c r="F13" i="37"/>
  <c r="S13" i="37" s="1"/>
  <c r="J13" i="37"/>
  <c r="W13" i="37" s="1"/>
  <c r="F28" i="37"/>
  <c r="AA28" i="37" s="1"/>
  <c r="J28" i="37"/>
  <c r="H28" i="37"/>
  <c r="H38" i="37"/>
  <c r="AB38" i="37" s="1"/>
  <c r="J38" i="37"/>
  <c r="AC38" i="37" s="1"/>
  <c r="F38" i="37"/>
  <c r="S38" i="37"/>
  <c r="F43" i="39"/>
  <c r="AA43" i="39" s="1"/>
  <c r="H43" i="39"/>
  <c r="J14" i="39"/>
  <c r="AC14" i="39" s="1"/>
  <c r="F14" i="39"/>
  <c r="H14" i="39"/>
  <c r="AB14" i="39" s="1"/>
  <c r="F12" i="40"/>
  <c r="S12" i="40"/>
  <c r="H12" i="40"/>
  <c r="H30" i="40"/>
  <c r="AB30" i="40"/>
  <c r="F33" i="40"/>
  <c r="AA33" i="40" s="1"/>
  <c r="J35" i="40"/>
  <c r="J37" i="40"/>
  <c r="AC37" i="40"/>
  <c r="H13" i="40"/>
  <c r="U13" i="40" s="1"/>
  <c r="J13" i="40"/>
  <c r="W13" i="40"/>
  <c r="F13" i="40"/>
  <c r="AA13" i="40" s="1"/>
  <c r="F27" i="37"/>
  <c r="AA27" i="37" s="1"/>
  <c r="J13" i="39"/>
  <c r="H13" i="39"/>
  <c r="H14" i="40"/>
  <c r="AB14" i="40" s="1"/>
  <c r="J14" i="40"/>
  <c r="W14" i="40" s="1"/>
  <c r="F14" i="40"/>
  <c r="J27" i="37"/>
  <c r="AC27" i="37"/>
  <c r="AA44" i="33"/>
  <c r="AA14" i="33"/>
  <c r="J36" i="37"/>
  <c r="AC36" i="37" s="1"/>
  <c r="J10" i="36"/>
  <c r="AC10" i="36" s="1"/>
  <c r="AB30" i="21"/>
  <c r="S11" i="36"/>
  <c r="AB46" i="34"/>
  <c r="S45" i="33"/>
  <c r="AB45" i="33"/>
  <c r="AC28" i="21"/>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BA552" i="3"/>
  <c r="BA548" i="3"/>
  <c r="BA546" i="3"/>
  <c r="AZ546" i="3" s="1"/>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BA508" i="3"/>
  <c r="BA506" i="3"/>
  <c r="AZ506" i="3" s="1"/>
  <c r="BA504" i="3"/>
  <c r="AZ504" i="3" s="1"/>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W43" i="33" s="1"/>
  <c r="S28" i="31"/>
  <c r="S27" i="31"/>
  <c r="S26" i="31"/>
  <c r="U14" i="40"/>
  <c r="W23" i="35"/>
  <c r="U26" i="37"/>
  <c r="W47" i="34"/>
  <c r="AC36" i="34"/>
  <c r="AC31" i="33"/>
  <c r="AC45" i="33"/>
  <c r="U19" i="21"/>
  <c r="W44" i="21"/>
  <c r="AB38" i="21"/>
  <c r="F43" i="33"/>
  <c r="S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88" i="40"/>
  <c r="G88" i="40" s="1"/>
  <c r="F19" i="40"/>
  <c r="S19" i="40" s="1"/>
  <c r="AC13" i="40"/>
  <c r="W23" i="39"/>
  <c r="AC43" i="39"/>
  <c r="W43" i="39"/>
  <c r="U45" i="39"/>
  <c r="AB45" i="39"/>
  <c r="G100" i="39"/>
  <c r="H37" i="39"/>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AZ164" i="3" s="1"/>
  <c r="G165" i="3"/>
  <c r="BA167" i="3"/>
  <c r="AZ167" i="3"/>
  <c r="BL168" i="3"/>
  <c r="G169" i="3"/>
  <c r="BA171" i="3"/>
  <c r="AZ171" i="3"/>
  <c r="BL172" i="3"/>
  <c r="G173" i="3"/>
  <c r="BA175" i="3"/>
  <c r="BL176" i="3"/>
  <c r="G177" i="3"/>
  <c r="BA179" i="3"/>
  <c r="BL180" i="3"/>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67" i="3"/>
  <c r="AZ168" i="3"/>
  <c r="AZ176"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BL311" i="3"/>
  <c r="AZ311" i="3" s="1"/>
  <c r="G312" i="3"/>
  <c r="BA314" i="3"/>
  <c r="BL315" i="3"/>
  <c r="G316" i="3"/>
  <c r="BA318" i="3"/>
  <c r="BL319" i="3"/>
  <c r="AZ319" i="3" s="1"/>
  <c r="G320" i="3"/>
  <c r="BA322" i="3"/>
  <c r="BL323" i="3"/>
  <c r="G324" i="3"/>
  <c r="BA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AZ392" i="3" s="1"/>
  <c r="G393" i="3"/>
  <c r="AZ275" i="3"/>
  <c r="BO5" i="3"/>
  <c r="BJ5" i="3"/>
  <c r="BH5" i="3"/>
  <c r="BF5" i="3"/>
  <c r="AZ325" i="3"/>
  <c r="AZ341" i="3"/>
  <c r="AZ496" i="3"/>
  <c r="G548" i="3"/>
  <c r="G538" i="3"/>
  <c r="G520" i="3"/>
  <c r="G502" i="3"/>
  <c r="BS5" i="3"/>
  <c r="BP5" i="3"/>
  <c r="BN5" i="3"/>
  <c r="BK5" i="3"/>
  <c r="BI5" i="3"/>
  <c r="BG5" i="3"/>
  <c r="BE5" i="3"/>
  <c r="BC5" i="3"/>
  <c r="G17" i="3"/>
  <c r="BA17" i="3"/>
  <c r="BT5" i="3"/>
  <c r="BA15" i="3"/>
  <c r="BB5" i="3"/>
  <c r="BR5" i="3"/>
  <c r="AZ509" i="3"/>
  <c r="G509" i="3"/>
  <c r="BL493" i="3"/>
  <c r="AZ493" i="3"/>
  <c r="F83" i="43"/>
  <c r="H85" i="43" s="1"/>
  <c r="F50" i="43"/>
  <c r="H54" i="43" s="1"/>
  <c r="F72" i="43"/>
  <c r="H75" i="43" s="1"/>
  <c r="U17" i="39"/>
  <c r="S14" i="35"/>
  <c r="U43" i="21"/>
  <c r="U35" i="21"/>
  <c r="AC35" i="21"/>
  <c r="AZ563" i="3"/>
  <c r="AZ501" i="3"/>
  <c r="W37" i="37"/>
  <c r="W44" i="34"/>
  <c r="AC44" i="34"/>
  <c r="S15" i="37"/>
  <c r="AA12" i="40"/>
  <c r="J37" i="33"/>
  <c r="W37" i="33" s="1"/>
  <c r="F106" i="33"/>
  <c r="G106" i="33" s="1"/>
  <c r="H106" i="33" s="1"/>
  <c r="I106" i="33" s="1"/>
  <c r="J106" i="33" s="1"/>
  <c r="K106" i="33" s="1"/>
  <c r="L106" i="33" s="1"/>
  <c r="M106" i="33" s="1"/>
  <c r="J34" i="33"/>
  <c r="F33" i="34"/>
  <c r="S33" i="34"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72" i="3"/>
  <c r="AZ82" i="3"/>
  <c r="AZ94"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65" i="3"/>
  <c r="W12" i="33"/>
  <c r="AC12" i="33"/>
  <c r="AA32" i="36"/>
  <c r="S32" i="36"/>
  <c r="BL14" i="3"/>
  <c r="U30" i="33"/>
  <c r="AC13" i="34"/>
  <c r="AA47" i="34"/>
  <c r="S19" i="39"/>
  <c r="F12" i="33"/>
  <c r="H12" i="39"/>
  <c r="AB12" i="39" s="1"/>
  <c r="F39" i="40"/>
  <c r="BA14" i="3"/>
  <c r="AZ14" i="3" s="1"/>
  <c r="AZ367"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B27" i="40"/>
  <c r="S30" i="40"/>
  <c r="AA19" i="40"/>
  <c r="S28"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U12" i="39"/>
  <c r="S23" i="36"/>
  <c r="U13" i="36"/>
  <c r="U26" i="36"/>
  <c r="S33" i="36"/>
  <c r="AA26" i="36"/>
  <c r="AC26" i="36"/>
  <c r="AA22" i="36"/>
  <c r="W14" i="36"/>
  <c r="AB14" i="36"/>
  <c r="U22" i="36"/>
  <c r="S16" i="36"/>
  <c r="AA25" i="36"/>
  <c r="S24" i="36"/>
  <c r="U24" i="36"/>
  <c r="U23" i="36"/>
  <c r="AB20" i="36"/>
  <c r="U16" i="36"/>
  <c r="S14" i="36"/>
  <c r="AA25" i="35"/>
  <c r="S23" i="35"/>
  <c r="W24"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W38" i="33"/>
  <c r="H41" i="33"/>
  <c r="U4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H27" i="33"/>
  <c r="U27" i="33" s="1"/>
  <c r="F87" i="33"/>
  <c r="H25" i="33"/>
  <c r="U25" i="33" s="1"/>
  <c r="F25" i="33"/>
  <c r="S25" i="33" s="1"/>
  <c r="J23" i="33"/>
  <c r="AC23" i="33" s="1"/>
  <c r="H23" i="33"/>
  <c r="AB23" i="33" s="1"/>
  <c r="F81" i="33"/>
  <c r="F19" i="33"/>
  <c r="S19" i="33" s="1"/>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U32" i="34"/>
  <c r="AB32" i="34"/>
  <c r="U14" i="34"/>
  <c r="AB14" i="34"/>
  <c r="AC43" i="34"/>
  <c r="W43" i="34"/>
  <c r="W23" i="34"/>
  <c r="AC23" i="34"/>
  <c r="AC35" i="34"/>
  <c r="W35" i="34"/>
  <c r="W46" i="33"/>
  <c r="U39" i="33"/>
  <c r="U38" i="33"/>
  <c r="U44" i="33"/>
  <c r="AB44" i="33"/>
  <c r="S30" i="33"/>
  <c r="AA30" i="33"/>
  <c r="AC14" i="33"/>
  <c r="W14" i="33"/>
  <c r="AC30" i="33"/>
  <c r="W30" i="33"/>
  <c r="S31" i="33"/>
  <c r="AA31" i="33"/>
  <c r="W13" i="33"/>
  <c r="AC13" i="33"/>
  <c r="S11" i="33"/>
  <c r="W9" i="33"/>
  <c r="W8" i="33"/>
  <c r="S44" i="21"/>
  <c r="AB42"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W35" i="33"/>
  <c r="AC35" i="33"/>
  <c r="H111" i="33"/>
  <c r="I111" i="33" s="1"/>
  <c r="J111" i="33" s="1"/>
  <c r="K111" i="33" s="1"/>
  <c r="L111" i="33" s="1"/>
  <c r="M111" i="33" s="1"/>
  <c r="J36" i="33"/>
  <c r="W36" i="33" s="1"/>
  <c r="H36" i="33"/>
  <c r="U36" i="33" s="1"/>
  <c r="J27" i="33"/>
  <c r="W27" i="33" s="1"/>
  <c r="G87" i="33"/>
  <c r="H87" i="33" s="1"/>
  <c r="I87" i="33" s="1"/>
  <c r="J87" i="33" s="1"/>
  <c r="K87" i="33" s="1"/>
  <c r="L87" i="33" s="1"/>
  <c r="M87" i="33" s="1"/>
  <c r="J25" i="33"/>
  <c r="W25" i="33" s="1"/>
  <c r="F23" i="33"/>
  <c r="H19" i="33"/>
  <c r="U19" i="33" s="1"/>
  <c r="G81" i="33"/>
  <c r="H17" i="33"/>
  <c r="U17" i="33" s="1"/>
  <c r="F17" i="33"/>
  <c r="S17" i="33" s="1"/>
  <c r="AA23" i="21"/>
  <c r="AB15" i="21"/>
  <c r="J23" i="21"/>
  <c r="AC23" i="21" s="1"/>
  <c r="F85" i="21"/>
  <c r="G85" i="21" s="1"/>
  <c r="H23" i="21"/>
  <c r="U23" i="21" s="1"/>
  <c r="S13" i="21"/>
  <c r="D6" i="52"/>
  <c r="AP7" i="1"/>
  <c r="AB45" i="21"/>
  <c r="AB9" i="21"/>
  <c r="U9" i="21"/>
  <c r="S32" i="21"/>
  <c r="W9" i="21"/>
  <c r="AC9" i="21"/>
  <c r="AB32" i="21"/>
  <c r="U32" i="21"/>
  <c r="U32" i="39"/>
  <c r="W23" i="37"/>
  <c r="AC23" i="37"/>
  <c r="J11" i="37"/>
  <c r="AC11" i="37" s="1"/>
  <c r="H70" i="34"/>
  <c r="I70" i="34" s="1"/>
  <c r="J70" i="34" s="1"/>
  <c r="K70" i="34"/>
  <c r="L70" i="34" s="1"/>
  <c r="M70" i="34" s="1"/>
  <c r="J11" i="34"/>
  <c r="W11" i="34" s="1"/>
  <c r="AB23" i="21"/>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M29" i="15"/>
  <c r="F13" i="15"/>
  <c r="F40" i="15"/>
  <c r="L47" i="15"/>
  <c r="B13" i="76"/>
  <c r="F6" i="15"/>
  <c r="B10" i="76"/>
  <c r="F8" i="15"/>
  <c r="M8" i="15"/>
  <c r="AO13" i="1"/>
  <c r="F7" i="73"/>
  <c r="D6" i="73"/>
  <c r="E9" i="76"/>
  <c r="E10" i="76"/>
  <c r="B8" i="76"/>
  <c r="L48" i="67"/>
  <c r="F20" i="31"/>
  <c r="F37" i="67"/>
  <c r="L48" i="15"/>
  <c r="M22" i="67"/>
  <c r="F9" i="67"/>
  <c r="F26" i="15"/>
  <c r="F38" i="67"/>
  <c r="F36" i="67"/>
  <c r="F7" i="15"/>
  <c r="M8" i="67"/>
  <c r="F36" i="15"/>
  <c r="F13" i="67"/>
  <c r="E2" i="68"/>
  <c r="L47" i="67"/>
  <c r="M28" i="67"/>
  <c r="F4" i="73"/>
  <c r="M9" i="15"/>
  <c r="E8" i="76"/>
  <c r="F42" i="67"/>
  <c r="E13" i="76"/>
  <c r="M9" i="67"/>
  <c r="F42" i="15"/>
  <c r="F7" i="67"/>
  <c r="F6" i="67"/>
  <c r="F3" i="73"/>
  <c r="M26" i="15"/>
  <c r="M29" i="67"/>
  <c r="E11" i="76"/>
  <c r="B7" i="76"/>
  <c r="B12" i="76"/>
  <c r="J15" i="67"/>
  <c r="F6" i="73"/>
  <c r="E12" i="76"/>
  <c r="M24" i="15"/>
  <c r="M28" i="15"/>
  <c r="F40" i="67"/>
  <c r="F16" i="67"/>
  <c r="M22" i="15"/>
  <c r="M6" i="15"/>
  <c r="B11" i="76"/>
  <c r="M23" i="15"/>
  <c r="F26" i="67"/>
  <c r="M24" i="67"/>
  <c r="F43" i="67"/>
  <c r="F43" i="15"/>
  <c r="J15" i="15"/>
  <c r="B9" i="76"/>
  <c r="C76" i="15"/>
  <c r="F37" i="15"/>
  <c r="F8" i="67"/>
  <c r="F16" i="15"/>
  <c r="M26" i="67"/>
  <c r="F9" i="15"/>
  <c r="F38" i="15"/>
  <c r="F5" i="73"/>
  <c r="M23" i="67"/>
  <c r="E7" i="76"/>
  <c r="S33" i="33" l="1"/>
  <c r="W32" i="33"/>
  <c r="S32" i="33"/>
  <c r="AC43" i="33"/>
  <c r="AA43" i="33"/>
  <c r="U42" i="33"/>
  <c r="AB41" i="33"/>
  <c r="S41" i="33"/>
  <c r="W41" i="33"/>
  <c r="AB37" i="33"/>
  <c r="AC37" i="33"/>
  <c r="AB34" i="33"/>
  <c r="U32" i="33"/>
  <c r="AB25" i="33"/>
  <c r="AA25" i="33"/>
  <c r="U23" i="33"/>
  <c r="W19" i="33"/>
  <c r="AA19" i="33"/>
  <c r="AC17" i="33"/>
  <c r="W15" i="33"/>
  <c r="U15" i="33"/>
  <c r="S15" i="33"/>
  <c r="W33" i="33"/>
  <c r="U33" i="33"/>
  <c r="S36" i="33"/>
  <c r="AC28" i="33"/>
  <c r="AB28" i="33"/>
  <c r="S28" i="33"/>
  <c r="AB27" i="33"/>
  <c r="S27" i="33"/>
  <c r="AC27" i="33"/>
  <c r="W26" i="33"/>
  <c r="AC25" i="33"/>
  <c r="U11" i="33"/>
  <c r="U9" i="33"/>
  <c r="A15" i="62"/>
  <c r="B61" i="72" s="1"/>
  <c r="D68" i="9"/>
  <c r="M18" i="15"/>
  <c r="F30" i="69"/>
  <c r="F48" i="69" s="1"/>
  <c r="F31" i="12"/>
  <c r="F28" i="15"/>
  <c r="F32" i="67"/>
  <c r="F60" i="67" s="1"/>
  <c r="F28" i="67"/>
  <c r="M18" i="67"/>
  <c r="F30" i="11"/>
  <c r="C48" i="11" s="1"/>
  <c r="F54" i="9"/>
  <c r="F32" i="15"/>
  <c r="F60" i="15" s="1"/>
  <c r="F52" i="9"/>
  <c r="F30" i="68"/>
  <c r="F48" i="68" s="1"/>
  <c r="C40" i="69"/>
  <c r="C21" i="68"/>
  <c r="D22" i="15"/>
  <c r="F29" i="6"/>
  <c r="AB19" i="33"/>
  <c r="AB36" i="33"/>
  <c r="W32" i="39"/>
  <c r="AZ310" i="3"/>
  <c r="AZ344" i="3"/>
  <c r="AZ360" i="3"/>
  <c r="AA15" i="39"/>
  <c r="S15" i="39"/>
  <c r="S25" i="21"/>
  <c r="AA25" i="21"/>
  <c r="AZ571" i="3"/>
  <c r="AZ579" i="3"/>
  <c r="AZ494" i="3"/>
  <c r="AZ510" i="3"/>
  <c r="AZ552" i="3"/>
  <c r="AA14" i="40"/>
  <c r="S14" i="40"/>
  <c r="W13" i="39"/>
  <c r="AC13" i="39"/>
  <c r="AC28" i="37"/>
  <c r="W28" i="37"/>
  <c r="AB13" i="37"/>
  <c r="U13" i="37"/>
  <c r="W11" i="35"/>
  <c r="AC11" i="35"/>
  <c r="AA44" i="34"/>
  <c r="S44" i="34"/>
  <c r="D22" i="71"/>
  <c r="W23" i="21"/>
  <c r="AA17" i="33"/>
  <c r="S37" i="21"/>
  <c r="U25" i="39"/>
  <c r="AZ387" i="3"/>
  <c r="AZ338" i="3"/>
  <c r="AZ371" i="3"/>
  <c r="G557" i="3"/>
  <c r="AC5" i="3"/>
  <c r="AZ529" i="3"/>
  <c r="AZ537" i="3"/>
  <c r="AC35" i="40"/>
  <c r="W35" i="40"/>
  <c r="AC31" i="34"/>
  <c r="S14" i="34"/>
  <c r="AA14" i="34"/>
  <c r="AA12" i="36"/>
  <c r="W34" i="33"/>
  <c r="AC34" i="33"/>
  <c r="AB37" i="39"/>
  <c r="U37" i="39"/>
  <c r="AB12" i="40"/>
  <c r="U12" i="40"/>
  <c r="W17" i="34"/>
  <c r="AC17" i="34"/>
  <c r="AB36" i="40"/>
  <c r="U36" i="40"/>
  <c r="AZ326" i="3"/>
  <c r="AZ305" i="3"/>
  <c r="U13" i="35"/>
  <c r="AB13" i="35"/>
  <c r="AA35" i="39"/>
  <c r="F9" i="34"/>
  <c r="AA9" i="34" s="1"/>
  <c r="J9" i="34"/>
  <c r="H36" i="35"/>
  <c r="J12" i="36"/>
  <c r="J24" i="36"/>
  <c r="J39" i="37"/>
  <c r="F39" i="37"/>
  <c r="S39" i="37" s="1"/>
  <c r="H44" i="39"/>
  <c r="J44" i="39"/>
  <c r="U39" i="40"/>
  <c r="U41" i="21"/>
  <c r="BL587" i="3"/>
  <c r="AZ587" i="3" s="1"/>
  <c r="B72" i="43"/>
  <c r="C15" i="39"/>
  <c r="J12" i="34"/>
  <c r="H12" i="34"/>
  <c r="H25" i="37"/>
  <c r="F25" i="37"/>
  <c r="U8" i="39"/>
  <c r="AB8" i="39"/>
  <c r="AC31" i="40"/>
  <c r="W31" i="40"/>
  <c r="AC15" i="40"/>
  <c r="AC11" i="39"/>
  <c r="BD5" i="3"/>
  <c r="AZ391" i="3"/>
  <c r="AZ318" i="3"/>
  <c r="AZ364" i="3"/>
  <c r="AZ329" i="3"/>
  <c r="AZ304" i="3"/>
  <c r="AZ306" i="3"/>
  <c r="U39" i="37"/>
  <c r="AZ535" i="3"/>
  <c r="AZ577" i="3"/>
  <c r="AZ557" i="3"/>
  <c r="AZ513" i="3"/>
  <c r="AZ575" i="3"/>
  <c r="AZ528" i="3"/>
  <c r="AZ566" i="3"/>
  <c r="AZ574" i="3"/>
  <c r="AZ582" i="3"/>
  <c r="AZ540" i="3"/>
  <c r="AZ502" i="3"/>
  <c r="U46" i="33"/>
  <c r="J14" i="37"/>
  <c r="F14" i="37"/>
  <c r="H33" i="40"/>
  <c r="AC12" i="40"/>
  <c r="F46" i="34"/>
  <c r="F13" i="33"/>
  <c r="F45" i="21"/>
  <c r="J13" i="21"/>
  <c r="H28" i="21"/>
  <c r="U34" i="40"/>
  <c r="W40" i="39"/>
  <c r="B79" i="43"/>
  <c r="F26" i="33"/>
  <c r="H26" i="33"/>
  <c r="H9" i="34"/>
  <c r="AB31" i="36"/>
  <c r="U31" i="36"/>
  <c r="F44" i="39"/>
  <c r="S9" i="40"/>
  <c r="AA9" i="40"/>
  <c r="AA31" i="35"/>
  <c r="S31" i="35"/>
  <c r="AZ357" i="3"/>
  <c r="AZ322" i="3"/>
  <c r="AZ328" i="3"/>
  <c r="AZ519" i="3"/>
  <c r="AZ573" i="3"/>
  <c r="AZ568" i="3"/>
  <c r="H31" i="33"/>
  <c r="H14" i="21"/>
  <c r="F34" i="36"/>
  <c r="J34" i="36"/>
  <c r="W34" i="36" s="1"/>
  <c r="AB12" i="36"/>
  <c r="U38" i="40"/>
  <c r="W28" i="36"/>
  <c r="H36" i="39"/>
  <c r="BL585" i="3"/>
  <c r="AZ585" i="3" s="1"/>
  <c r="J27" i="21"/>
  <c r="F27" i="21"/>
  <c r="BL550" i="3"/>
  <c r="G574" i="3"/>
  <c r="BL16" i="3"/>
  <c r="AZ16" i="3" s="1"/>
  <c r="BA401" i="3"/>
  <c r="BA403" i="3"/>
  <c r="AZ403" i="3" s="1"/>
  <c r="BA404" i="3"/>
  <c r="BA405"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BA482" i="3"/>
  <c r="BA484" i="3"/>
  <c r="AZ484" i="3" s="1"/>
  <c r="BA303" i="3"/>
  <c r="AZ303" i="3" s="1"/>
  <c r="BA307" i="3"/>
  <c r="AZ307" i="3" s="1"/>
  <c r="BL314" i="3"/>
  <c r="AZ314" i="3" s="1"/>
  <c r="BA332" i="3"/>
  <c r="AZ332" i="3" s="1"/>
  <c r="BL332" i="3"/>
  <c r="U30" i="37"/>
  <c r="G587" i="3"/>
  <c r="J12" i="35"/>
  <c r="BA551" i="3"/>
  <c r="AZ551" i="3" s="1"/>
  <c r="BA550" i="3"/>
  <c r="BL548" i="3"/>
  <c r="AZ548" i="3" s="1"/>
  <c r="AZ458" i="3"/>
  <c r="AZ462" i="3"/>
  <c r="BL475" i="3"/>
  <c r="BA477" i="3"/>
  <c r="BA478" i="3"/>
  <c r="BA481" i="3"/>
  <c r="G484" i="3"/>
  <c r="BA488" i="3"/>
  <c r="AZ488" i="3" s="1"/>
  <c r="BA491" i="3"/>
  <c r="BL324" i="3"/>
  <c r="AZ324" i="3" s="1"/>
  <c r="BL328" i="3"/>
  <c r="G329" i="3"/>
  <c r="BA335" i="3"/>
  <c r="AZ335" i="3" s="1"/>
  <c r="BA339" i="3"/>
  <c r="AZ339" i="3" s="1"/>
  <c r="G343" i="3"/>
  <c r="G347" i="3"/>
  <c r="BA348" i="3"/>
  <c r="BL350" i="3"/>
  <c r="BA353" i="3"/>
  <c r="BL353"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50" i="3"/>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G150" i="3"/>
  <c r="BL155" i="3"/>
  <c r="AZ155" i="3" s="1"/>
  <c r="BA169" i="3"/>
  <c r="AZ169" i="3" s="1"/>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A146" i="3"/>
  <c r="AZ146" i="3" s="1"/>
  <c r="BA150" i="3"/>
  <c r="BL158" i="3"/>
  <c r="G159" i="3"/>
  <c r="G164" i="3"/>
  <c r="BL175" i="3"/>
  <c r="AZ175"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4" i="3"/>
  <c r="AZ144" i="3" s="1"/>
  <c r="BA149" i="3"/>
  <c r="G158" i="3"/>
  <c r="BL163" i="3"/>
  <c r="AZ163" i="3" s="1"/>
  <c r="G175" i="3"/>
  <c r="G176" i="3"/>
  <c r="BL178" i="3"/>
  <c r="AZ178" i="3" s="1"/>
  <c r="BA180" i="3"/>
  <c r="AZ180" i="3" s="1"/>
  <c r="BL182" i="3"/>
  <c r="G183" i="3"/>
  <c r="AZ201" i="3"/>
  <c r="AZ38" i="3"/>
  <c r="AZ52" i="3"/>
  <c r="AZ100" i="3"/>
  <c r="AB29" i="39"/>
  <c r="U29" i="39"/>
  <c r="T28" i="71"/>
  <c r="D28" i="71"/>
  <c r="U28" i="71" s="1"/>
  <c r="C27" i="71"/>
  <c r="C60" i="71"/>
  <c r="D59" i="7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AZ31" i="3" s="1"/>
  <c r="BA32" i="3"/>
  <c r="G38" i="3"/>
  <c r="BA38" i="3"/>
  <c r="BA41" i="3"/>
  <c r="BA42" i="3"/>
  <c r="G47" i="3"/>
  <c r="BL48" i="3"/>
  <c r="BL54" i="3"/>
  <c r="BL55" i="3"/>
  <c r="AZ55" i="3" s="1"/>
  <c r="G58" i="3"/>
  <c r="BA59" i="3"/>
  <c r="BL61" i="3"/>
  <c r="G64" i="3"/>
  <c r="BA64" i="3"/>
  <c r="AZ64" i="3" s="1"/>
  <c r="G67" i="3"/>
  <c r="BL68" i="3"/>
  <c r="BA69" i="3"/>
  <c r="AZ69" i="3" s="1"/>
  <c r="G72" i="3"/>
  <c r="BL73" i="3"/>
  <c r="BA74" i="3"/>
  <c r="BA87" i="3"/>
  <c r="BA89" i="3"/>
  <c r="BL101" i="3"/>
  <c r="BL102" i="3"/>
  <c r="AZ102" i="3" s="1"/>
  <c r="G105" i="3"/>
  <c r="BL106" i="3"/>
  <c r="BA108" i="3"/>
  <c r="BL111" i="3"/>
  <c r="C25" i="40"/>
  <c r="B88" i="43"/>
  <c r="T32" i="71"/>
  <c r="D32" i="71"/>
  <c r="C55" i="71"/>
  <c r="D54" i="71"/>
  <c r="BL138" i="3"/>
  <c r="BA140" i="3"/>
  <c r="AZ140" i="3" s="1"/>
  <c r="BA142" i="3"/>
  <c r="BL149" i="3"/>
  <c r="BL150" i="3"/>
  <c r="G151"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BL30" i="3"/>
  <c r="BL31" i="3"/>
  <c r="G37" i="3"/>
  <c r="BL40" i="3"/>
  <c r="BL41" i="3"/>
  <c r="BL45" i="3"/>
  <c r="BA48" i="3"/>
  <c r="BA49" i="3"/>
  <c r="BA51" i="3"/>
  <c r="AZ51" i="3" s="1"/>
  <c r="G55" i="3"/>
  <c r="BL56" i="3"/>
  <c r="BA58" i="3"/>
  <c r="BL59" i="3"/>
  <c r="BL60" i="3"/>
  <c r="BA61" i="3"/>
  <c r="AZ61" i="3" s="1"/>
  <c r="BA68" i="3"/>
  <c r="BA73" i="3"/>
  <c r="G81" i="3"/>
  <c r="BL85" i="3"/>
  <c r="BA86" i="3"/>
  <c r="AZ86" i="3" s="1"/>
  <c r="BL97" i="3"/>
  <c r="AZ97" i="3" s="1"/>
  <c r="G103" i="3"/>
  <c r="BA103" i="3"/>
  <c r="AZ103" i="3" s="1"/>
  <c r="BA104" i="3"/>
  <c r="BA106" i="3"/>
  <c r="BL108" i="3"/>
  <c r="AA21" i="37"/>
  <c r="S21" i="37"/>
  <c r="C52" i="71"/>
  <c r="D51" i="71"/>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L74" i="3"/>
  <c r="G75" i="3"/>
  <c r="BL75" i="3"/>
  <c r="AZ75" i="3" s="1"/>
  <c r="BA80" i="3"/>
  <c r="BL84" i="3"/>
  <c r="G89" i="3"/>
  <c r="BA90" i="3"/>
  <c r="BA109" i="3"/>
  <c r="BA111" i="3"/>
  <c r="AZ111" i="3" s="1"/>
  <c r="K13" i="1"/>
  <c r="M13" i="1" s="1"/>
  <c r="O13" i="1" s="1"/>
  <c r="P13" i="1" s="1"/>
  <c r="AA21" i="33"/>
  <c r="S21" i="33"/>
  <c r="D44" i="71"/>
  <c r="T44" i="71"/>
  <c r="V24" i="71"/>
  <c r="E23" i="71"/>
  <c r="E22" i="71" s="1"/>
  <c r="E21" i="71" s="1"/>
  <c r="E20" i="71" s="1"/>
  <c r="S25" i="40"/>
  <c r="O67" i="71"/>
  <c r="AA28" i="71"/>
  <c r="AB27" i="71"/>
  <c r="E79" i="71"/>
  <c r="E78" i="71" s="1"/>
  <c r="AB25" i="71"/>
  <c r="X26" i="71"/>
  <c r="Y25" i="71"/>
  <c r="Z25" i="71" s="1"/>
  <c r="X38" i="71"/>
  <c r="AA35" i="71"/>
  <c r="Y29" i="71"/>
  <c r="Z29" i="71" s="1"/>
  <c r="N68" i="71"/>
  <c r="E38" i="71"/>
  <c r="E39" i="71" s="1"/>
  <c r="E40" i="71" s="1"/>
  <c r="U40" i="71" s="1"/>
  <c r="B34" i="71"/>
  <c r="B35" i="71" s="1"/>
  <c r="B36" i="71" s="1"/>
  <c r="S36" i="71" s="1"/>
  <c r="AB32" i="71"/>
  <c r="X33" i="71"/>
  <c r="AB37" i="71"/>
  <c r="B67" i="71"/>
  <c r="B75" i="71"/>
  <c r="B74" i="71" s="1"/>
  <c r="U21" i="37"/>
  <c r="P66" i="71"/>
  <c r="C66" i="71"/>
  <c r="AA27" i="71"/>
  <c r="AB26" i="71"/>
  <c r="S28" i="71"/>
  <c r="C83" i="71"/>
  <c r="C79" i="71"/>
  <c r="C75" i="71"/>
  <c r="C71" i="71"/>
  <c r="O68" i="71"/>
  <c r="C39" i="71"/>
  <c r="Y28" i="71"/>
  <c r="Z28" i="71" s="1"/>
  <c r="C34" i="71"/>
  <c r="AA37" i="71"/>
  <c r="X28" i="71"/>
  <c r="X32" i="71"/>
  <c r="F38" i="71"/>
  <c r="F39" i="71" s="1"/>
  <c r="F40" i="71" s="1"/>
  <c r="V40" i="71" s="1"/>
  <c r="AB38" i="71"/>
  <c r="F67" i="71"/>
  <c r="F75" i="71"/>
  <c r="F74" i="71" s="1"/>
  <c r="B79" i="71"/>
  <c r="B78" i="71"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D76" i="71"/>
  <c r="Q68" i="71"/>
  <c r="X34" i="71"/>
  <c r="F35" i="71"/>
  <c r="F36" i="71" s="1"/>
  <c r="V36" i="71" s="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F50" i="67"/>
  <c r="F68" i="67"/>
  <c r="F64" i="67"/>
  <c r="F68" i="15"/>
  <c r="C36" i="68"/>
  <c r="D9" i="68"/>
  <c r="D3" i="73"/>
  <c r="D5" i="73"/>
  <c r="C76" i="67"/>
  <c r="C16" i="67"/>
  <c r="D9" i="69"/>
  <c r="C16" i="15"/>
  <c r="M6" i="67"/>
  <c r="D4" i="73"/>
  <c r="F27" i="69"/>
  <c r="D7" i="73"/>
  <c r="C36" i="69"/>
  <c r="G26" i="43" l="1"/>
  <c r="J26" i="43"/>
  <c r="F26" i="43"/>
  <c r="D26" i="43" s="1"/>
  <c r="C25" i="43" s="1"/>
  <c r="E59" i="40"/>
  <c r="N370" i="46"/>
  <c r="E26" i="43"/>
  <c r="D20" i="53"/>
  <c r="B40" i="72" s="1"/>
  <c r="Q71" i="67"/>
  <c r="J6" i="67"/>
  <c r="J18" i="67" s="1"/>
  <c r="D75" i="71"/>
  <c r="C74" i="71"/>
  <c r="D74" i="71" s="1"/>
  <c r="AZ74" i="3"/>
  <c r="AZ41" i="3"/>
  <c r="AZ401" i="3"/>
  <c r="AB36" i="39"/>
  <c r="U36" i="39"/>
  <c r="S26" i="33"/>
  <c r="AA26" i="33"/>
  <c r="AB28" i="21"/>
  <c r="U28" i="21"/>
  <c r="S46" i="34"/>
  <c r="AA46" i="34"/>
  <c r="U25" i="37"/>
  <c r="AB25" i="37"/>
  <c r="AC39" i="37"/>
  <c r="W39" i="37"/>
  <c r="AC9" i="34"/>
  <c r="W9" i="34"/>
  <c r="F66" i="71"/>
  <c r="Q67" i="71"/>
  <c r="C40" i="71"/>
  <c r="D39" i="71"/>
  <c r="D79" i="71"/>
  <c r="C78" i="71"/>
  <c r="D78" i="71" s="1"/>
  <c r="AZ182" i="3"/>
  <c r="AZ5" i="3" s="1"/>
  <c r="AZ108" i="3"/>
  <c r="AZ59" i="3"/>
  <c r="AZ149" i="3"/>
  <c r="AZ294" i="3"/>
  <c r="AZ150" i="3"/>
  <c r="AZ282" i="3"/>
  <c r="AZ210" i="3"/>
  <c r="AZ350" i="3"/>
  <c r="AZ461" i="3"/>
  <c r="AZ425" i="3"/>
  <c r="AZ353" i="3"/>
  <c r="AZ550" i="3"/>
  <c r="AZ464" i="3"/>
  <c r="AZ441" i="3"/>
  <c r="AZ422" i="3"/>
  <c r="AZ405" i="3"/>
  <c r="AA27" i="21"/>
  <c r="S27" i="21"/>
  <c r="S34" i="36"/>
  <c r="AA34" i="36"/>
  <c r="AC13" i="21"/>
  <c r="W13" i="21"/>
  <c r="U12" i="34"/>
  <c r="AB12" i="34"/>
  <c r="AC44" i="39"/>
  <c r="W44" i="39"/>
  <c r="AC24" i="36"/>
  <c r="W24" i="36"/>
  <c r="G5" i="3"/>
  <c r="B3" i="3" s="1"/>
  <c r="E212" i="3" s="1"/>
  <c r="D83" i="71"/>
  <c r="C82" i="71"/>
  <c r="D82" i="71" s="1"/>
  <c r="O65" i="71"/>
  <c r="D66" i="71"/>
  <c r="O66" i="71"/>
  <c r="N67" i="71"/>
  <c r="B66" i="71"/>
  <c r="T52" i="71"/>
  <c r="D52" i="71"/>
  <c r="AZ27" i="3"/>
  <c r="D60" i="71"/>
  <c r="T60" i="71"/>
  <c r="AZ137" i="3"/>
  <c r="AZ460" i="3"/>
  <c r="AZ404" i="3"/>
  <c r="W27" i="21"/>
  <c r="AC27" i="21"/>
  <c r="U14" i="21"/>
  <c r="AB14" i="21"/>
  <c r="AB9" i="34"/>
  <c r="U9" i="34"/>
  <c r="AA45" i="21"/>
  <c r="S45" i="21"/>
  <c r="U33" i="40"/>
  <c r="AB33" i="40"/>
  <c r="W12" i="34"/>
  <c r="AC12" i="34"/>
  <c r="AB44" i="39"/>
  <c r="U44" i="39"/>
  <c r="W12" i="36"/>
  <c r="AC12" i="36"/>
  <c r="G16" i="1"/>
  <c r="F10" i="39" s="1"/>
  <c r="S10" i="39" s="1"/>
  <c r="D34" i="71"/>
  <c r="C35" i="71"/>
  <c r="C70" i="71"/>
  <c r="D70" i="71" s="1"/>
  <c r="D71" i="71"/>
  <c r="AZ58" i="3"/>
  <c r="AZ49" i="3"/>
  <c r="C56" i="71"/>
  <c r="D55" i="71"/>
  <c r="C26" i="71"/>
  <c r="D26" i="71" s="1"/>
  <c r="D27" i="71"/>
  <c r="AZ483" i="3"/>
  <c r="AZ414" i="3"/>
  <c r="AZ491" i="3"/>
  <c r="W12" i="35"/>
  <c r="AC12" i="35"/>
  <c r="AA44" i="39"/>
  <c r="S44" i="39"/>
  <c r="U26" i="33"/>
  <c r="AB26" i="33"/>
  <c r="S13" i="33"/>
  <c r="AA13" i="33"/>
  <c r="AA14" i="37"/>
  <c r="S14" i="37"/>
  <c r="AA25" i="37"/>
  <c r="S25" i="37"/>
  <c r="AB36" i="35"/>
  <c r="U36" i="35"/>
  <c r="J7" i="37"/>
  <c r="K1" i="73"/>
  <c r="E430" i="3"/>
  <c r="E554" i="3"/>
  <c r="E491" i="3"/>
  <c r="E258" i="3"/>
  <c r="E389" i="3"/>
  <c r="E59" i="3"/>
  <c r="E64" i="3"/>
  <c r="E267" i="3"/>
  <c r="E300" i="3"/>
  <c r="E23" i="3"/>
  <c r="E33" i="3"/>
  <c r="E144" i="3"/>
  <c r="E381" i="3"/>
  <c r="E81" i="3"/>
  <c r="E264" i="3"/>
  <c r="E21" i="3"/>
  <c r="E281" i="3"/>
  <c r="E332" i="3"/>
  <c r="E75" i="3"/>
  <c r="E96" i="3"/>
  <c r="E129" i="3"/>
  <c r="E383" i="3"/>
  <c r="E522" i="3"/>
  <c r="E86" i="3"/>
  <c r="E251" i="3"/>
  <c r="AF6" i="3"/>
  <c r="E113" i="3"/>
  <c r="E308" i="3"/>
  <c r="E205" i="3"/>
  <c r="E140" i="3"/>
  <c r="E525" i="3"/>
  <c r="E534" i="3"/>
  <c r="T6" i="3"/>
  <c r="E469" i="3"/>
  <c r="E512" i="3"/>
  <c r="E451" i="3"/>
  <c r="E556" i="3"/>
  <c r="E13" i="3"/>
  <c r="E452" i="3"/>
  <c r="E26" i="3"/>
  <c r="E104" i="3"/>
  <c r="E41" i="3"/>
  <c r="E243" i="3"/>
  <c r="E356" i="3"/>
  <c r="E412" i="3"/>
  <c r="E190" i="3"/>
  <c r="E324" i="3"/>
  <c r="E342" i="3"/>
  <c r="E232" i="3"/>
  <c r="E370" i="3"/>
  <c r="E80" i="3"/>
  <c r="E83" i="3"/>
  <c r="E329" i="3"/>
  <c r="E188" i="3"/>
  <c r="E116" i="3"/>
  <c r="E393" i="3"/>
  <c r="E493" i="3"/>
  <c r="E427" i="3"/>
  <c r="E486" i="3"/>
  <c r="E507" i="3"/>
  <c r="E490" i="3"/>
  <c r="E376" i="3"/>
  <c r="J6" i="3"/>
  <c r="E419" i="3"/>
  <c r="E401" i="3"/>
  <c r="E463"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40"/>
  <c r="AB10" i="40" s="1"/>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AE6" i="1"/>
  <c r="E40" i="3" l="1"/>
  <c r="E498" i="3"/>
  <c r="E440" i="3"/>
  <c r="E564" i="3"/>
  <c r="E223" i="3"/>
  <c r="E326" i="3"/>
  <c r="E35" i="3"/>
  <c r="E78" i="3"/>
  <c r="E225" i="3"/>
  <c r="E470" i="3"/>
  <c r="E360" i="3"/>
  <c r="E456" i="3"/>
  <c r="E197" i="3"/>
  <c r="E287" i="3"/>
  <c r="E206" i="3"/>
  <c r="E174" i="3"/>
  <c r="E42" i="3"/>
  <c r="E513" i="3"/>
  <c r="E355" i="3"/>
  <c r="E492" i="3"/>
  <c r="E467" i="3"/>
  <c r="E95" i="3"/>
  <c r="E286" i="3"/>
  <c r="AA10" i="39"/>
  <c r="F10" i="40"/>
  <c r="S10" i="40" s="1"/>
  <c r="J10" i="39"/>
  <c r="W10" i="39" s="1"/>
  <c r="H10" i="39"/>
  <c r="U10" i="39" s="1"/>
  <c r="E482" i="3"/>
  <c r="E391" i="3"/>
  <c r="E494" i="3"/>
  <c r="E283" i="3"/>
  <c r="E68" i="3"/>
  <c r="E184" i="3"/>
  <c r="E84" i="3"/>
  <c r="E371" i="3"/>
  <c r="E103" i="3"/>
  <c r="E409" i="3"/>
  <c r="E241" i="3"/>
  <c r="E417" i="3"/>
  <c r="E449" i="3"/>
  <c r="E575" i="3"/>
  <c r="E442" i="3"/>
  <c r="E536"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160" i="3"/>
  <c r="E425" i="3"/>
  <c r="E349" i="3"/>
  <c r="E37" i="3"/>
  <c r="AP6" i="3"/>
  <c r="E502" i="3"/>
  <c r="E539" i="3"/>
  <c r="J5" i="67"/>
  <c r="J24" i="67" s="1"/>
  <c r="AA7" i="36"/>
  <c r="R36" i="36" s="1"/>
  <c r="AY6" i="3"/>
  <c r="AY42" i="3" s="1"/>
  <c r="E3" i="6"/>
  <c r="D56" i="71"/>
  <c r="T56" i="71"/>
  <c r="N65" i="71"/>
  <c r="N66" i="71"/>
  <c r="T40" i="71"/>
  <c r="D40" i="71"/>
  <c r="E76" i="3"/>
  <c r="E363" i="3"/>
  <c r="E192" i="3"/>
  <c r="E56" i="3"/>
  <c r="E435" i="3"/>
  <c r="I3" i="6"/>
  <c r="E541" i="3"/>
  <c r="R6" i="3"/>
  <c r="E199" i="3"/>
  <c r="E510" i="3"/>
  <c r="C36" i="71"/>
  <c r="D35" i="71"/>
  <c r="E249" i="3"/>
  <c r="E46" i="3"/>
  <c r="E484" i="3"/>
  <c r="E544" i="3"/>
  <c r="E292" i="3"/>
  <c r="E152" i="3"/>
  <c r="E479" i="3"/>
  <c r="E517" i="3"/>
  <c r="E255" i="3"/>
  <c r="E466" i="3"/>
  <c r="E499" i="3"/>
  <c r="Q66" i="71"/>
  <c r="Q65"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68" i="3"/>
  <c r="AY428" i="3"/>
  <c r="AY553" i="3"/>
  <c r="AY246" i="3"/>
  <c r="AY377" i="3"/>
  <c r="AY16" i="3"/>
  <c r="AY68" i="3"/>
  <c r="AY308" i="3"/>
  <c r="AY412" i="3"/>
  <c r="AY238" i="3"/>
  <c r="AY520" i="3"/>
  <c r="AY158" i="3"/>
  <c r="AY344" i="3"/>
  <c r="AY506" i="3"/>
  <c r="AY63" i="3"/>
  <c r="AY378" i="3"/>
  <c r="BL6" i="3"/>
  <c r="AY241" i="3"/>
  <c r="BD6" i="3"/>
  <c r="AY336" i="3"/>
  <c r="AY47" i="3"/>
  <c r="AY440" i="3"/>
  <c r="AY576" i="3"/>
  <c r="AY195" i="3"/>
  <c r="AY272" i="3"/>
  <c r="AY322" i="3"/>
  <c r="AY15" i="3"/>
  <c r="AY21" i="3"/>
  <c r="AY267" i="3"/>
  <c r="AY337" i="3"/>
  <c r="AY476" i="3"/>
  <c r="AY415" i="3"/>
  <c r="AY515" i="3"/>
  <c r="AY493" i="3"/>
  <c r="AY172" i="3"/>
  <c r="AY248" i="3"/>
  <c r="AY485" i="3"/>
  <c r="AY547" i="3"/>
  <c r="AY54" i="3"/>
  <c r="AY293" i="3"/>
  <c r="AY351" i="3"/>
  <c r="AY400"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F41" i="67"/>
  <c r="M27" i="67"/>
  <c r="F41" i="15"/>
  <c r="M27" i="15"/>
  <c r="F69" i="67" l="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43" i="3"/>
  <c r="AY143" i="3"/>
  <c r="AY500" i="3"/>
  <c r="AY265" i="3"/>
  <c r="BP6" i="3"/>
  <c r="AY402" i="3"/>
  <c r="AY361" i="3"/>
  <c r="AY64" i="3"/>
  <c r="AY339" i="3"/>
  <c r="AY22" i="3"/>
  <c r="AY482" i="3"/>
  <c r="AY218" i="3"/>
  <c r="AY128" i="3"/>
  <c r="AY558" i="3"/>
  <c r="AY249" i="3"/>
  <c r="AY439" i="3"/>
  <c r="AY364" i="3"/>
  <c r="AY48" i="3"/>
  <c r="AY406" i="3"/>
  <c r="AY162" i="3"/>
  <c r="AY132" i="3"/>
  <c r="AY130" i="3"/>
  <c r="AY535" i="3"/>
  <c r="AY561" i="3"/>
  <c r="AY114" i="3"/>
  <c r="AY299" i="3"/>
  <c r="AY252" i="3"/>
  <c r="AY566" i="3"/>
  <c r="AY477" i="3"/>
  <c r="AY240" i="3"/>
  <c r="AY164" i="3"/>
  <c r="AY107" i="3"/>
  <c r="AY408" i="3"/>
  <c r="AY359" i="3"/>
  <c r="AY301" i="3"/>
  <c r="AY62" i="3"/>
  <c r="AY545" i="3"/>
  <c r="AY538" i="3"/>
  <c r="AY434" i="3"/>
  <c r="AY320" i="3"/>
  <c r="AY396" i="3"/>
  <c r="AY153" i="3"/>
  <c r="AY567" i="3"/>
  <c r="AY432" i="3"/>
  <c r="AY375" i="3"/>
  <c r="AY136" i="3"/>
  <c r="AY39" i="3"/>
  <c r="AY13" i="3"/>
  <c r="AY383" i="3"/>
  <c r="AY17" i="3"/>
  <c r="AY142" i="3"/>
  <c r="AY338" i="3"/>
  <c r="AY184" i="3"/>
  <c r="AY456" i="3"/>
  <c r="AY135" i="3"/>
  <c r="AY542" i="3"/>
  <c r="AY458" i="3"/>
  <c r="AY234" i="3"/>
  <c r="AY101" i="3"/>
  <c r="AY370" i="3"/>
  <c r="AY105" i="3"/>
  <c r="AY496" i="3"/>
  <c r="AY365" i="3"/>
  <c r="AY269" i="3"/>
  <c r="AY414" i="3"/>
  <c r="AY41" i="3"/>
  <c r="AY170" i="3"/>
  <c r="AY342" i="3"/>
  <c r="AY139" i="3"/>
  <c r="AY207" i="3"/>
  <c r="BT6" i="3"/>
  <c r="AY386" i="3"/>
  <c r="AY71" i="3"/>
  <c r="AY315" i="3"/>
  <c r="AY19" i="3"/>
  <c r="AY522" i="3"/>
  <c r="AY479" i="3"/>
  <c r="AY113" i="3"/>
  <c r="AY413" i="3"/>
  <c r="AY288" i="3"/>
  <c r="AY528" i="3"/>
  <c r="AY530" i="3"/>
  <c r="AY448" i="3"/>
  <c r="AY578" i="3"/>
  <c r="AY513" i="3"/>
  <c r="AY521" i="3"/>
  <c r="AY307" i="3"/>
  <c r="AY257" i="3"/>
  <c r="AY200" i="3"/>
  <c r="AY568" i="3"/>
  <c r="AY451" i="3"/>
  <c r="AY394" i="3"/>
  <c r="AY151" i="3"/>
  <c r="AY79" i="3"/>
  <c r="AY551" i="3"/>
  <c r="AY505" i="3"/>
  <c r="AY445" i="3"/>
  <c r="AY305" i="3"/>
  <c r="AY250" i="3"/>
  <c r="AY174" i="3"/>
  <c r="AY583" i="3"/>
  <c r="AY474" i="3"/>
  <c r="AY208" i="3"/>
  <c r="AY175" i="3"/>
  <c r="AY102" i="3"/>
  <c r="AY421" i="3"/>
  <c r="AY120" i="3"/>
  <c r="AY450" i="3"/>
  <c r="AY586" i="3"/>
  <c r="AY391" i="3"/>
  <c r="AY55" i="3"/>
  <c r="AY346" i="3"/>
  <c r="AY192" i="3"/>
  <c r="AY524" i="3"/>
  <c r="AY471" i="3"/>
  <c r="AY287" i="3"/>
  <c r="AY494" i="3"/>
  <c r="AY72" i="3"/>
  <c r="AY326" i="3"/>
  <c r="AY516" i="3"/>
  <c r="AY117" i="3"/>
  <c r="AY237" i="3"/>
  <c r="AY491" i="3"/>
  <c r="AY357" i="3"/>
  <c r="AY60" i="3"/>
  <c r="AY245" i="3"/>
  <c r="AY366" i="3"/>
  <c r="AC6" i="3"/>
  <c r="E6" i="3" s="1"/>
  <c r="AB10" i="39"/>
  <c r="D116" i="43"/>
  <c r="F25" i="12"/>
  <c r="C26" i="12" s="1"/>
  <c r="D25" i="12" s="1"/>
  <c r="I53" i="34"/>
  <c r="J53" i="34" s="1"/>
  <c r="I46" i="37"/>
  <c r="J46" i="37" s="1"/>
  <c r="D36" i="71"/>
  <c r="T36" i="71"/>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17" i="15"/>
  <c r="C34" i="69"/>
  <c r="D10" i="69"/>
  <c r="C14" i="67"/>
  <c r="C23" i="68" l="1"/>
  <c r="C44" i="68"/>
  <c r="D41" i="68" s="1"/>
  <c r="C26" i="68"/>
  <c r="D22" i="68" s="1"/>
  <c r="C44" i="11"/>
  <c r="D41" i="11" s="1"/>
  <c r="C26" i="11"/>
  <c r="D22" i="11" s="1"/>
  <c r="E53" i="34"/>
  <c r="F53" i="34"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4"/>
  <c r="D2" i="35"/>
  <c r="D2" i="36"/>
  <c r="D19" i="9"/>
  <c r="L51" i="15"/>
  <c r="C19" i="9"/>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C20" i="9"/>
  <c r="AO6" i="1"/>
  <c r="AO9" i="1"/>
  <c r="AO8" i="1"/>
  <c r="D20" i="9"/>
  <c r="AO11" i="1"/>
  <c r="AO12" i="1"/>
  <c r="AO7" i="1"/>
  <c r="F24" i="9" l="1"/>
  <c r="C103" i="9"/>
  <c r="G24" i="9"/>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H25" i="9" l="1"/>
  <c r="C35" i="9"/>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F119" i="9" s="1"/>
  <c r="F5" i="52" s="1"/>
  <c r="B53" i="72" s="1"/>
  <c r="I118" i="9"/>
  <c r="H118" i="9" l="1"/>
  <c r="F6" i="74" s="1"/>
  <c r="F8" i="74" s="1"/>
  <c r="G6" i="74"/>
  <c r="G4" i="52"/>
  <c r="B52" i="72" s="1"/>
  <c r="H119" i="9"/>
  <c r="H5" i="52" s="1"/>
  <c r="C105" i="9"/>
  <c r="I4" i="52"/>
  <c r="H102" i="9"/>
  <c r="E118" i="9"/>
  <c r="F4" i="52"/>
  <c r="B51" i="72" s="1"/>
  <c r="C104" i="9" l="1"/>
  <c r="G8" i="74"/>
  <c r="D14" i="74"/>
  <c r="H4" i="52"/>
  <c r="H101" i="9"/>
  <c r="H107" i="9" s="1"/>
  <c r="D118" i="9"/>
  <c r="E4" i="52"/>
  <c r="B48" i="72" s="1"/>
  <c r="D7" i="53"/>
  <c r="B21" i="72" s="1"/>
  <c r="F14" i="74" l="1"/>
  <c r="E14" i="74"/>
  <c r="G14" i="74"/>
  <c r="B6" i="74" s="1"/>
  <c r="D6" i="74" s="1"/>
  <c r="B5" i="74"/>
  <c r="D5" i="74" s="1"/>
  <c r="M48" i="9"/>
  <c r="D45" i="9"/>
  <c r="C72" i="9" s="1"/>
  <c r="D5" i="53"/>
  <c r="D6" i="53" s="1"/>
  <c r="B22" i="72" s="1"/>
  <c r="D122" i="9"/>
  <c r="D13" i="53"/>
  <c r="H108" i="9"/>
  <c r="M49" i="9"/>
  <c r="D119" i="9"/>
  <c r="D5" i="52" s="1"/>
  <c r="B49" i="72" s="1"/>
  <c r="D4" i="52"/>
  <c r="B47" i="72" s="1"/>
  <c r="C5" i="74" l="1"/>
  <c r="C78" i="9"/>
  <c r="C73" i="9" s="1"/>
  <c r="C64" i="9"/>
  <c r="C63" i="9" s="1"/>
  <c r="C67" i="9" s="1"/>
  <c r="D52" i="9"/>
  <c r="D55" i="9"/>
  <c r="M53" i="9" s="1"/>
  <c r="D53" i="9"/>
  <c r="C85" i="9"/>
  <c r="C93" i="9"/>
  <c r="C86" i="9" s="1"/>
  <c r="B20" i="72"/>
  <c r="C79" i="9"/>
  <c r="C80" i="9" s="1"/>
  <c r="E80" i="9" s="1"/>
  <c r="E81" i="9" s="1"/>
  <c r="D123" i="9"/>
  <c r="D9" i="52" s="1"/>
  <c r="D8" i="52"/>
  <c r="B30" i="72"/>
  <c r="D14" i="53"/>
  <c r="B32" i="72" s="1"/>
  <c r="C68" i="9"/>
  <c r="D54" i="9" s="1"/>
  <c r="D59" i="9"/>
  <c r="M55" i="9" s="1"/>
  <c r="L68" i="9"/>
  <c r="M68" i="9" s="1"/>
  <c r="L64" i="9"/>
  <c r="M64" i="9" s="1"/>
  <c r="L67" i="9"/>
  <c r="M67" i="9" s="1"/>
  <c r="L63" i="9"/>
  <c r="M63" i="9" s="1"/>
  <c r="L65" i="9"/>
  <c r="M65" i="9" s="1"/>
  <c r="L66" i="9"/>
  <c r="M66" i="9" s="1"/>
  <c r="C6" i="74"/>
  <c r="D15" i="53"/>
  <c r="B31" i="72" s="1"/>
  <c r="C95" i="9" l="1"/>
  <c r="C96" i="9" s="1"/>
  <c r="E96" i="9" s="1"/>
  <c r="E97" i="9" s="1"/>
  <c r="C81" i="9"/>
  <c r="M69" i="9"/>
  <c r="N69"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<sst xmlns="http://schemas.openxmlformats.org/spreadsheetml/2006/main" count="7982" uniqueCount="3503">
  <si>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</si>
  <si>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</si>
  <si>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</si>
  <si>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</si>
  <si>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</si>
  <si>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</si>
  <si>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</si>
  <si>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</si>
  <si>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</si>
  <si>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</si>
  <si>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</si>
  <si>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</si>
  <si>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</si>
  <si>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</si>
  <si>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</si>
  <si>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</si>
  <si>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</si>
  <si>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</si>
  <si>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</si>
  <si>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</si>
  <si>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</si>
  <si>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</si>
  <si>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</si>
  <si>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</si>
  <si>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</si>
  <si>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</si>
  <si>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</si>
  <si>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</si>
  <si>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</si>
  <si>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</si>
  <si>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</si>
  <si>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</si>
  <si>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</si>
  <si>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</si>
  <si>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</si>
  <si>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</si>
  <si>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</si>
  <si>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</si>
  <si>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</si>
  <si>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</si>
  <si>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</si>
  <si>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</si>
  <si>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</si>
  <si>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</si>
  <si>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</si>
  <si>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</si>
  <si>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</si>
  <si>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</si>
  <si>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</si>
  <si>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</si>
  <si>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</si>
  <si>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</si>
  <si>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</si>
  <si>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</si>
  <si>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</si>
  <si>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</si>
  <si>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</si>
  <si>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</si>
  <si>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</si>
  <si>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</si>
  <si>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</si>
  <si>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</si>
  <si>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</si>
  <si>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</si>
  <si>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</si>
  <si>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</si>
  <si>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</si>
  <si>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</si>
  <si>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</si>
  <si>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</si>
  <si>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</si>
  <si>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</si>
  <si>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</si>
  <si>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</si>
  <si>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</si>
  <si>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</si>
  <si>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</si>
  <si>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</si>
  <si>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</si>
  <si>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</si>
  <si>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</si>
  <si>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</si>
  <si>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</si>
  <si>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</si>
  <si>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</si>
  <si>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</si>
  <si>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</si>
  <si>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</si>
  <si>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</si>
  <si>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</si>
  <si>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</si>
  <si>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</si>
  <si>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</si>
  <si>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</si>
  <si>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</si>
  <si>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</si>
  <si>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</si>
  <si>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</si>
  <si>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</si>
  <si>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</si>
  <si>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</si>
  <si>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</si>
  <si>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</si>
  <si>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</si>
  <si>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</si>
  <si>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</si>
  <si>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</si>
  <si>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</si>
  <si>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</si>
  <si>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</si>
  <si>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</si>
  <si>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</si>
  <si>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</si>
  <si>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</si>
  <si>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</si>
  <si>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</si>
  <si>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</si>
  <si>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</si>
  <si>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</si>
  <si>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</si>
  <si>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</si>
  <si>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</si>
  <si>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</si>
  <si>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</si>
  <si>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</si>
  <si>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</si>
  <si>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</si>
  <si>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</si>
  <si>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</si>
  <si>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</si>
  <si>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</si>
  <si>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</si>
  <si>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</si>
  <si>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</si>
  <si>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</si>
  <si>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</si>
  <si>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</si>
  <si>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</si>
  <si>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</si>
  <si>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</si>
  <si>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</si>
  <si>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</si>
  <si>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</si>
  <si>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</si>
  <si>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</si>
  <si>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</si>
  <si>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</si>
  <si>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</si>
  <si>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</si>
  <si>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</si>
  <si>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</si>
  <si>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</si>
  <si>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</si>
  <si>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</si>
  <si>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</si>
  <si>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</si>
  <si>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</si>
  <si>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</si>
  <si>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</si>
  <si>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</si>
  <si>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</si>
  <si>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</si>
  <si>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</si>
  <si>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</si>
  <si>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</si>
  <si>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</si>
  <si>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</si>
  <si>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</si>
  <si>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</si>
  <si>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</si>
  <si>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</si>
  <si>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</si>
  <si>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</si>
  <si>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</si>
  <si>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</si>
  <si>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</si>
  <si>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</si>
  <si>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</si>
  <si>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</si>
  <si>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</si>
  <si>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</si>
  <si>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</si>
  <si>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</si>
  <si>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</si>
  <si>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</si>
  <si>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</si>
  <si>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</si>
  <si>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</si>
  <si>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</si>
  <si>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</si>
  <si>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</si>
  <si>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</si>
  <si>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</si>
  <si>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</si>
  <si>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</si>
  <si>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</si>
  <si>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</si>
  <si>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</si>
  <si>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</si>
  <si>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</si>
  <si>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</si>
  <si>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</si>
  <si>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</si>
  <si>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</si>
  <si>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</si>
  <si>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</si>
  <si>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</si>
  <si>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</si>
  <si>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</si>
  <si>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</si>
  <si>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</si>
  <si>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</si>
  <si>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</si>
  <si>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</si>
  <si>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</si>
  <si>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</si>
  <si>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</si>
  <si>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</si>
  <si>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</si>
  <si>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</si>
  <si>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</si>
  <si>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</si>
  <si>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</si>
  <si>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</si>
  <si>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</si>
  <si>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</si>
  <si>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</si>
  <si>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</si>
  <si>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</si>
  <si>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</si>
  <si>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</si>
  <si>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</si>
  <si>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</si>
  <si>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</si>
  <si>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</si>
  <si>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</si>
  <si>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</si>
  <si>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</si>
  <si>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</si>
  <si>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</si>
  <si>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</si>
  <si>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</si>
  <si>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</si>
  <si>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</si>
  <si>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</si>
  <si>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</si>
  <si>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</si>
  <si>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</si>
  <si>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</si>
  <si>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</si>
  <si>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</si>
  <si>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</si>
  <si>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</si>
  <si>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</si>
  <si>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</si>
  <si>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</si>
  <si>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</si>
  <si>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</si>
  <si>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</si>
  <si>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</si>
  <si>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</si>
  <si>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</si>
  <si>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</si>
  <si>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</si>
  <si>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</si>
  <si>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</si>
  <si>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</si>
  <si>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</si>
  <si>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</si>
  <si>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</si>
  <si>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</si>
  <si>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</si>
  <si>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</si>
  <si>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</si>
  <si>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</si>
  <si>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</si>
  <si>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</si>
  <si>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</si>
  <si>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</si>
  <si>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</si>
  <si>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</si>
  <si>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</si>
  <si>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</si>
  <si>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</si>
  <si>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</si>
  <si>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</si>
  <si>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</si>
  <si>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</si>
  <si>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</si>
  <si>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</si>
  <si>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</si>
  <si>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</si>
  <si>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</si>
  <si>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</si>
  <si>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</si>
  <si>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</si>
  <si>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</si>
  <si>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</si>
  <si>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</si>
  <si>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</si>
  <si>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</si>
  <si>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</si>
  <si>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</si>
  <si>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</si>
  <si>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</si>
  <si>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</si>
  <si>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</si>
  <si>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</si>
  <si>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</si>
  <si>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</si>
  <si>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</si>
  <si>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</si>
  <si>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</si>
  <si>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</si>
  <si>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</si>
  <si>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</si>
  <si>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</si>
  <si>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</si>
  <si>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</si>
  <si>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</si>
  <si>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</si>
  <si>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</si>
  <si>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</si>
  <si>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</si>
  <si>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</si>
  <si>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</si>
  <si>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</si>
  <si>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</si>
  <si>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</si>
  <si>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</si>
  <si>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</si>
  <si>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</si>
  <si>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</si>
  <si>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</si>
  <si>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</si>
  <si>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</si>
  <si>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</si>
  <si>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</si>
  <si>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</si>
  <si>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</si>
  <si>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</si>
  <si>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</si>
  <si>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</si>
  <si>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</si>
  <si>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</si>
  <si>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</si>
  <si>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</si>
  <si>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</si>
  <si>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</si>
  <si>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</si>
  <si>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</si>
  <si>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</si>
  <si>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</si>
  <si>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</si>
  <si>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</si>
  <si>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</si>
  <si>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</si>
  <si>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</si>
  <si>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</si>
  <si>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</si>
  <si>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</si>
  <si>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</si>
  <si>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</si>
  <si>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</si>
  <si>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</si>
  <si>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</si>
  <si>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</si>
  <si>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</si>
  <si>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</si>
  <si>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</si>
  <si>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</si>
  <si>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</si>
  <si>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</si>
  <si>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</si>
  <si>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</si>
  <si>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</si>
  <si>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</si>
  <si>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</si>
  <si>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</si>
  <si>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</si>
  <si>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</si>
  <si>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</si>
  <si>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</si>
  <si>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</si>
  <si>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</si>
  <si>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</si>
  <si>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</si>
  <si>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</si>
  <si>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</si>
  <si>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</si>
  <si>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</si>
  <si>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</si>
  <si>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</si>
  <si>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</si>
  <si>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</si>
  <si>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</si>
  <si>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</si>
  <si>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</si>
  <si>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</si>
  <si>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</si>
  <si>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</si>
  <si>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</si>
  <si>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</si>
  <si>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</si>
  <si>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</si>
  <si>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</si>
  <si>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</si>
  <si>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</si>
  <si>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</si>
  <si>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</si>
  <si>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</si>
  <si>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</si>
  <si>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</si>
  <si>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</si>
  <si>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</si>
  <si>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</si>
  <si>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</si>
  <si>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</si>
  <si>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</si>
  <si>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</si>
  <si>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</si>
  <si>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</si>
  <si>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</si>
  <si>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</si>
  <si>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</si>
  <si>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</si>
  <si>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</si>
  <si>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</si>
  <si>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</si>
  <si>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</si>
  <si>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</si>
  <si>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</si>
  <si>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</si>
  <si>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</si>
  <si>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</si>
  <si>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</si>
  <si>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</si>
  <si>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</si>
  <si>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</si>
  <si>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</si>
  <si>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</si>
  <si>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</si>
  <si>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</si>
  <si>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</si>
  <si>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</si>
  <si>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</si>
  <si>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</si>
  <si>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</si>
  <si>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</si>
  <si>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</si>
  <si>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</si>
  <si>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</si>
  <si>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</si>
  <si>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</si>
  <si>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</si>
  <si>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</si>
  <si>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</si>
  <si>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</si>
  <si>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</si>
  <si>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</si>
  <si>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</si>
  <si>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</si>
  <si>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</si>
  <si>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</si>
  <si>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</si>
  <si>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</si>
  <si>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</si>
  <si>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</si>
  <si>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</si>
  <si>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</si>
  <si>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</si>
  <si>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</si>
  <si>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</si>
  <si>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</si>
  <si>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</si>
  <si>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</si>
  <si>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</si>
  <si>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</si>
  <si>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</si>
  <si>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</si>
  <si>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</si>
  <si>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</si>
  <si>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</si>
  <si>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</si>
  <si>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</si>
  <si>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</si>
  <si>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</si>
  <si>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</si>
  <si>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</si>
  <si>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</si>
  <si>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</si>
  <si>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</si>
  <si>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</si>
  <si>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</si>
  <si>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</si>
  <si>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</si>
  <si>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</si>
  <si>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</si>
  <si>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</si>
  <si>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</si>
  <si>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</si>
  <si>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</si>
  <si>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</si>
  <si>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</si>
  <si>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</si>
  <si>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</si>
  <si>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</si>
  <si>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</si>
  <si>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</si>
  <si>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</si>
  <si>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</si>
  <si>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</si>
  <si>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</si>
  <si>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</si>
  <si>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</si>
  <si>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</si>
  <si>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</si>
  <si>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</si>
  <si>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</si>
  <si>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</si>
  <si>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</si>
  <si>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</si>
  <si>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</si>
  <si>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</si>
  <si>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</si>
  <si>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</si>
  <si>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</si>
  <si>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</si>
  <si>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</si>
  <si>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</si>
  <si>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</si>
  <si>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</si>
  <si>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</si>
  <si>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</si>
  <si>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</si>
  <si>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</si>
  <si>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</si>
  <si>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</si>
  <si>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</si>
  <si>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</si>
  <si>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</si>
  <si>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</si>
  <si>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</si>
  <si>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</si>
  <si>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</si>
  <si>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</si>
  <si>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</si>
  <si>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</si>
  <si>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</si>
  <si>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</si>
  <si>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</si>
  <si>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</si>
  <si>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</si>
  <si>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</si>
  <si>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</si>
  <si>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</si>
  <si>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</si>
  <si>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</si>
  <si>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</si>
  <si>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</si>
  <si>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</si>
  <si>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</si>
  <si>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</si>
  <si>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</si>
  <si>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</si>
  <si>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</si>
  <si>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</si>
  <si>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</si>
  <si>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</si>
  <si>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</si>
  <si>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</si>
  <si>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</si>
  <si>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</si>
  <si>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</si>
  <si>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</si>
  <si>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</si>
  <si>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</si>
  <si>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</si>
  <si>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</si>
  <si>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</si>
  <si>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</si>
  <si>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</si>
  <si>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</si>
  <si>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</si>
  <si>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</si>
  <si>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</si>
  <si>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</si>
  <si>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</si>
  <si>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</si>
  <si>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</si>
  <si>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</si>
  <si>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</si>
  <si>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</si>
  <si>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</si>
  <si>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</si>
  <si>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</si>
  <si>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</si>
  <si>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</si>
  <si>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</si>
  <si>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</si>
  <si>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</si>
  <si>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</si>
  <si>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</si>
  <si>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</si>
  <si>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</si>
  <si>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</si>
  <si>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</si>
  <si>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</si>
  <si>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</si>
  <si>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</si>
  <si>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</si>
  <si>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</si>
  <si>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</si>
  <si>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</si>
  <si>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</si>
  <si>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</si>
  <si>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</si>
  <si>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</si>
  <si>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</si>
  <si>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</si>
  <si>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</si>
  <si>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</si>
  <si>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</si>
  <si>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</si>
  <si>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</si>
  <si>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</si>
  <si>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</si>
  <si>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</si>
  <si>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</si>
  <si>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</si>
  <si>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</si>
  <si>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</si>
  <si>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</si>
  <si>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</si>
  <si>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</si>
  <si>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</si>
  <si>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</si>
  <si>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</si>
  <si>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</si>
  <si>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</si>
  <si>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</si>
  <si>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</si>
  <si>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</si>
  <si>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</si>
  <si>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</si>
  <si>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</si>
  <si>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</si>
  <si>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</si>
  <si>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</si>
  <si>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</si>
  <si>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</si>
  <si>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</si>
  <si>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</si>
  <si>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</si>
  <si>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</si>
  <si>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</si>
  <si>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</si>
  <si>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</si>
  <si>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</si>
  <si>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</si>
  <si>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</si>
  <si>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</si>
  <si>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</si>
  <si>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</si>
  <si>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</si>
  <si>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</si>
  <si>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</si>
  <si>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</si>
  <si>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</si>
  <si>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</si>
  <si>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</si>
  <si>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</si>
  <si>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</si>
  <si>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</si>
  <si>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</si>
  <si>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</si>
  <si>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</si>
  <si>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</si>
  <si>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</si>
  <si>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</si>
  <si>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</si>
  <si>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</si>
  <si>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</si>
  <si>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</si>
  <si>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</si>
  <si>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</si>
  <si>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</si>
  <si>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</si>
  <si>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</si>
  <si>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</si>
  <si>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</si>
  <si>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</si>
  <si>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</si>
  <si>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</si>
  <si>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</si>
  <si>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</si>
  <si>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</si>
  <si>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</si>
  <si>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</si>
  <si>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</si>
  <si>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</si>
  <si>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</si>
  <si>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</si>
  <si>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</si>
  <si>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</si>
  <si>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</si>
  <si>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</si>
  <si>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</si>
  <si>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</si>
  <si>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</si>
  <si>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</si>
  <si>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</si>
  <si>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</si>
  <si>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</si>
  <si>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</si>
  <si>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</si>
  <si>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</si>
  <si>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</si>
  <si>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</si>
  <si>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</si>
  <si>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</si>
  <si>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</si>
  <si>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</si>
  <si>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</si>
  <si>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</si>
  <si>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</si>
  <si>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</si>
  <si>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</si>
  <si>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</si>
  <si>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</si>
  <si>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</si>
  <si>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</si>
  <si>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</si>
  <si>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</si>
  <si>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</si>
  <si>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</si>
  <si>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</si>
  <si>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</si>
  <si>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</si>
  <si>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</si>
  <si>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</si>
  <si>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</si>
  <si>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</si>
  <si>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</si>
  <si>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</si>
  <si>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</si>
  <si>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</si>
  <si>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</si>
  <si>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</si>
  <si>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</si>
  <si>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</si>
  <si>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</si>
  <si>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</si>
  <si>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</si>
  <si>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</si>
  <si>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</si>
  <si>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</si>
  <si>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</si>
  <si>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</si>
  <si>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</si>
  <si>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</si>
  <si>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</si>
  <si>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</si>
  <si>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</si>
  <si>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</si>
  <si>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</si>
  <si>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</si>
  <si>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</si>
  <si>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</si>
  <si>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</si>
  <si>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</si>
  <si>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</si>
  <si>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</si>
  <si>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</si>
  <si>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</si>
  <si>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</si>
  <si>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</si>
  <si>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</si>
  <si>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</si>
  <si>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</si>
  <si>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</si>
  <si>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</si>
  <si>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</si>
  <si>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</si>
  <si>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</si>
  <si>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</si>
  <si>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</si>
  <si>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</si>
  <si>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</si>
  <si>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</si>
  <si>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</si>
  <si>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</si>
  <si>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</si>
  <si>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</si>
  <si>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</si>
  <si>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</si>
  <si>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</si>
  <si>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</si>
  <si>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</si>
  <si>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</si>
  <si>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</si>
  <si>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</si>
  <si>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</si>
  <si>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</si>
  <si>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</si>
  <si>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</si>
  <si>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</si>
  <si>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</si>
  <si>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</si>
  <si>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</si>
  <si>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</si>
  <si>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</si>
  <si>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</si>
  <si>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</si>
  <si>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</si>
  <si>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</si>
  <si>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</si>
  <si>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</si>
  <si>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</si>
  <si>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</si>
  <si>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</si>
  <si>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</si>
  <si>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</si>
  <si>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</si>
  <si>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</si>
  <si>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</si>
  <si>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</si>
  <si>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</si>
  <si>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</si>
  <si>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</si>
  <si>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</si>
  <si>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</si>
  <si>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</si>
  <si>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</si>
  <si>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</si>
  <si>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</si>
  <si>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</si>
  <si>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</si>
  <si>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</si>
  <si>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</si>
  <si>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</si>
  <si>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</si>
  <si>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</si>
  <si>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</si>
  <si>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</si>
  <si>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</si>
  <si>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</si>
  <si>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</si>
  <si>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</si>
  <si>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</si>
  <si>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</si>
  <si>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</si>
  <si>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</si>
  <si>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</si>
  <si>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</si>
  <si>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</si>
  <si>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</si>
  <si>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</si>
  <si>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</si>
  <si>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</si>
  <si>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</si>
  <si>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</si>
  <si>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</si>
  <si>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</si>
  <si>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</si>
  <si>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</si>
  <si>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</si>
  <si>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</si>
  <si>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</si>
  <si>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</si>
  <si>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</si>
  <si>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</si>
  <si>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</si>
  <si>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</si>
  <si>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</si>
  <si>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</si>
  <si>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</si>
  <si>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</si>
  <si>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</si>
  <si>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</si>
  <si>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</si>
  <si>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</si>
  <si>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</si>
  <si>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</si>
  <si>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</si>
  <si>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</si>
  <si>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</si>
  <si>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</si>
  <si>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</si>
  <si>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</si>
  <si>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</si>
  <si>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</si>
  <si>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</si>
  <si>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</si>
  <si>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</si>
  <si>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</si>
  <si>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</si>
  <si>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</si>
  <si>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</si>
  <si>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</si>
  <si>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</si>
  <si>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</si>
  <si>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</si>
  <si>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</si>
  <si>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</si>
  <si>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</si>
  <si>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</si>
  <si>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</si>
  <si>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</si>
  <si>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</si>
  <si>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</si>
  <si>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</si>
  <si>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</si>
  <si>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</si>
  <si>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</si>
  <si>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</si>
  <si>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</si>
  <si>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</si>
  <si>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</si>
  <si>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</si>
  <si>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</si>
  <si>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</si>
  <si>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</si>
  <si>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</si>
  <si>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</si>
  <si>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</si>
  <si>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</si>
  <si>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</si>
  <si>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</si>
  <si>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</si>
  <si>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</si>
  <si>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</si>
  <si>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</si>
  <si>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</si>
  <si>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</si>
  <si>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</si>
  <si>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</si>
  <si>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</si>
  <si>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</si>
  <si>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</si>
  <si>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</si>
  <si>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</si>
  <si>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</si>
  <si>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</si>
  <si>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</si>
  <si>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</si>
  <si>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</si>
  <si>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</si>
  <si>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</si>
  <si>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</si>
  <si>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</si>
  <si>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</si>
  <si>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</si>
  <si>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</si>
  <si>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</si>
  <si>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</si>
  <si>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</si>
  <si>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</si>
  <si>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</si>
  <si>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</si>
  <si>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</si>
  <si>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</si>
  <si>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</si>
  <si>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</si>
  <si>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</si>
  <si>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</si>
  <si>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</si>
  <si>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</si>
  <si>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</si>
  <si>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</si>
  <si>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</si>
  <si>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</si>
  <si>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</si>
  <si>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</si>
  <si>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</si>
  <si>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</si>
  <si>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</si>
  <si>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</si>
  <si>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</si>
  <si>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</si>
  <si>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</si>
  <si>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</si>
  <si>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</si>
  <si>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</si>
  <si>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</si>
  <si>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</si>
  <si>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</si>
  <si>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</si>
  <si>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</si>
  <si>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</si>
  <si>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</si>
  <si>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</si>
  <si>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</si>
  <si>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</si>
  <si>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</si>
  <si>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</si>
  <si>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</si>
  <si>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</si>
  <si>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</si>
  <si>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</si>
  <si>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</si>
  <si>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</si>
  <si>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</si>
  <si>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</si>
  <si>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</si>
  <si>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</si>
  <si>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</si>
  <si>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</si>
  <si>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</si>
  <si>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</si>
  <si>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</si>
  <si>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</si>
  <si>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</si>
  <si>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</si>
  <si>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</si>
  <si>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</si>
  <si>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</si>
  <si>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</si>
  <si>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</si>
  <si>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</si>
  <si>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</si>
  <si>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</si>
  <si>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</si>
  <si>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</si>
  <si>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</si>
  <si>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</si>
  <si>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</si>
  <si>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</si>
  <si>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</si>
  <si>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</si>
  <si>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</si>
  <si>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</si>
  <si>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</si>
  <si>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</si>
  <si>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</si>
  <si>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</si>
  <si>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</si>
  <si>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</si>
  <si>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</si>
  <si>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</si>
  <si>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</si>
  <si>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</si>
  <si>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</si>
  <si>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</si>
  <si>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</si>
  <si>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</si>
  <si>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</si>
  <si>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</si>
  <si>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</si>
  <si>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</si>
  <si>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</si>
  <si>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</si>
  <si>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</si>
  <si>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</si>
  <si>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</si>
  <si>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</si>
  <si>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</si>
  <si>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</si>
  <si>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</si>
  <si>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</si>
  <si>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</si>
  <si>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</si>
  <si>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</si>
  <si>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</si>
  <si>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</si>
  <si>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</si>
  <si>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</si>
  <si>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</si>
  <si>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</si>
  <si>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</si>
  <si>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</si>
  <si>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</si>
  <si>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</si>
  <si>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</si>
  <si>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</si>
  <si>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</si>
  <si>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</si>
  <si>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</si>
  <si>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</si>
  <si>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</si>
  <si>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</si>
  <si>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</si>
  <si>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</si>
  <si>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</si>
  <si>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</si>
  <si>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</si>
  <si>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</si>
  <si>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</si>
  <si>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</si>
  <si>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</si>
  <si>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</si>
  <si>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</si>
  <si>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</si>
  <si>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</si>
  <si>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</si>
  <si>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</si>
  <si>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</si>
  <si>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</si>
  <si>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</si>
  <si>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</si>
  <si>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</si>
  <si>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</si>
  <si>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</si>
  <si>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</si>
  <si>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</si>
  <si>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</si>
  <si>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</si>
  <si>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</si>
  <si>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</si>
  <si>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</si>
  <si>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</si>
  <si>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</si>
  <si>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</si>
  <si>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</si>
  <si>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</si>
  <si>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</si>
  <si>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</si>
  <si>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</si>
  <si>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</si>
  <si>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</si>
  <si>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</si>
  <si>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</si>
  <si>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</si>
  <si>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</si>
  <si>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</si>
  <si>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</si>
  <si>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</si>
  <si>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</si>
  <si>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</si>
  <si>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</si>
  <si>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</si>
  <si>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</si>
  <si>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</si>
  <si>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</si>
  <si>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</si>
  <si>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</si>
  <si>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</si>
  <si>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</si>
  <si>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</si>
  <si>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</si>
  <si>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</si>
  <si>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</si>
  <si>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</si>
  <si>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</si>
  <si>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</si>
  <si>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</si>
  <si>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</si>
  <si>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</si>
  <si>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</si>
  <si>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</si>
  <si>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</si>
  <si>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</si>
  <si>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</si>
  <si>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</si>
  <si>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</si>
  <si>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</si>
  <si>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</si>
  <si>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</si>
  <si>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</si>
  <si>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</si>
  <si>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</si>
  <si>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</si>
  <si>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</si>
  <si>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</si>
  <si>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</si>
  <si>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</si>
  <si>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</si>
  <si>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</si>
  <si>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</si>
  <si>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</si>
  <si>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</si>
  <si>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</si>
  <si>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</si>
  <si>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</si>
  <si>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</si>
  <si>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</si>
  <si>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</si>
  <si>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</si>
  <si>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</si>
  <si>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</si>
  <si>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</si>
  <si>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</si>
  <si>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</si>
  <si>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</si>
  <si>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</si>
  <si>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</si>
  <si>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</si>
  <si>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</si>
  <si>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</si>
  <si>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</si>
  <si>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</si>
  <si>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</si>
  <si>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</si>
  <si>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</si>
  <si>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</si>
  <si>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</si>
  <si>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</si>
  <si>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</si>
  <si>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</si>
  <si>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</si>
  <si>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</si>
  <si>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</si>
  <si>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</si>
  <si>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</si>
  <si>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</si>
  <si>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</si>
  <si>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</si>
  <si>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</si>
  <si>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</si>
  <si>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</si>
  <si>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</si>
  <si>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</si>
  <si>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</si>
  <si>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</si>
  <si>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</si>
  <si>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</si>
  <si>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</si>
  <si>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</si>
  <si>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</si>
  <si>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</si>
  <si>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</si>
  <si>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</si>
  <si>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</si>
  <si>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</si>
  <si>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</si>
  <si>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</si>
  <si>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</si>
  <si>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</si>
  <si>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</si>
  <si>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</si>
  <si>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</si>
  <si>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</si>
  <si>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</si>
  <si>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</si>
  <si>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</si>
  <si>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</si>
  <si>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</si>
  <si>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</si>
  <si>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</si>
  <si>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</si>
  <si>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</si>
  <si>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</si>
  <si>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</si>
  <si>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</si>
  <si>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</si>
  <si>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</si>
  <si>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</si>
  <si>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</si>
  <si>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</si>
  <si>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</si>
  <si>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</si>
  <si>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</si>
  <si>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</si>
  <si>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</si>
  <si>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</si>
  <si>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</si>
  <si>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</si>
  <si>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</si>
  <si>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</si>
  <si>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</si>
  <si>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</si>
  <si>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</si>
  <si>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</si>
  <si>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</si>
  <si>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</si>
  <si>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</si>
  <si>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</si>
  <si>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</si>
  <si>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</si>
  <si>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</si>
  <si>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</si>
  <si>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</si>
  <si>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</si>
  <si>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</si>
  <si>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</si>
  <si>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</si>
  <si>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</si>
  <si>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</si>
  <si>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</si>
  <si>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</si>
  <si>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</si>
  <si>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</si>
  <si>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</si>
  <si>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</si>
  <si>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</si>
  <si>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</si>
  <si>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</si>
  <si>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</si>
  <si>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</si>
  <si>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</si>
  <si>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</si>
  <si>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</si>
  <si>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</si>
  <si>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</si>
  <si>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</si>
  <si>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</si>
  <si>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</si>
  <si>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</si>
  <si>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</si>
  <si>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</si>
  <si>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</si>
  <si>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</si>
  <si>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</si>
  <si>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</si>
  <si>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</si>
  <si>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</si>
  <si>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</si>
  <si>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</si>
  <si>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</si>
  <si>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</si>
  <si>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</si>
  <si>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</si>
  <si>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</si>
  <si>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</si>
  <si>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</si>
  <si>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</si>
  <si>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</si>
  <si>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</si>
  <si>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</si>
  <si>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</si>
  <si>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</si>
  <si>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</si>
  <si>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</si>
  <si>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</si>
  <si>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</si>
  <si>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</si>
  <si>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</si>
  <si>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</si>
  <si>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</si>
  <si>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</si>
  <si>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</si>
  <si>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</si>
  <si>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</si>
  <si>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</si>
  <si>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</si>
  <si>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</si>
  <si>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</si>
  <si>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</si>
  <si>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</si>
  <si>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</si>
  <si>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</si>
  <si>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</si>
  <si>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</si>
  <si>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</si>
  <si>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</si>
  <si>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</si>
  <si>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</si>
  <si>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</si>
  <si>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</si>
  <si>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</si>
  <si>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</si>
  <si>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</si>
  <si>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</si>
  <si>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</si>
  <si>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</si>
  <si>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</si>
  <si>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</si>
  <si>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</si>
  <si>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</si>
  <si>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</si>
  <si>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</si>
  <si>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</si>
  <si>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</si>
  <si>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</si>
  <si>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</si>
  <si>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</si>
  <si>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</si>
  <si>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</si>
  <si>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</si>
  <si>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</si>
  <si>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</si>
  <si>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</si>
  <si>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</si>
  <si>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</si>
  <si>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</si>
  <si>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</si>
  <si>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</si>
  <si>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</si>
  <si>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</si>
  <si>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</si>
  <si>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</si>
  <si>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</si>
  <si>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</si>
  <si>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</si>
  <si>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</si>
  <si>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</si>
  <si>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</si>
  <si>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</si>
  <si>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</si>
  <si>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</si>
  <si>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</si>
  <si>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</si>
  <si>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</si>
  <si>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</si>
  <si>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</si>
  <si>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</si>
  <si>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</si>
  <si>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</si>
  <si>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</si>
  <si>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</si>
  <si>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</si>
  <si>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</si>
  <si>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</si>
  <si>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</si>
  <si>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</si>
  <si>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</si>
  <si>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</si>
  <si>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</si>
  <si>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</si>
  <si>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</si>
  <si>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</si>
  <si>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</si>
  <si>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</si>
  <si>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</si>
  <si>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</si>
  <si>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</si>
  <si>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</si>
  <si>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</si>
  <si>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</si>
  <si>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</si>
  <si>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</si>
  <si>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</si>
  <si>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</si>
  <si>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</si>
  <si>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</si>
  <si>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</si>
  <si>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</si>
  <si>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</si>
  <si>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</si>
  <si>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</si>
  <si>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</si>
  <si>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</si>
  <si>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</si>
  <si>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</si>
  <si>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</si>
  <si>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</si>
  <si>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</si>
  <si>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</si>
  <si>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</si>
  <si>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</si>
  <si>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</si>
  <si>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</si>
  <si>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</si>
  <si>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</si>
  <si>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</si>
  <si>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</si>
  <si>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</si>
  <si>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</si>
  <si>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</si>
  <si>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</si>
  <si>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</si>
  <si>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</si>
  <si>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</si>
  <si>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</si>
  <si>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</si>
  <si>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</si>
  <si>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</si>
  <si>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</si>
  <si>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</si>
  <si>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</si>
  <si>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</si>
  <si>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</si>
  <si>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</si>
  <si>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</si>
  <si>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</si>
  <si>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</si>
  <si>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</si>
  <si>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</si>
  <si>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</si>
  <si>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</si>
  <si>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</si>
  <si>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</si>
  <si>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</si>
  <si>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</si>
  <si>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</si>
  <si>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</si>
  <si>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</si>
  <si>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</si>
  <si>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</si>
  <si>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</si>
  <si>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</si>
  <si>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</si>
  <si>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</si>
  <si>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</si>
  <si>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</si>
  <si>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</si>
  <si>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</si>
  <si>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</si>
  <si>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</si>
  <si>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</si>
  <si>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</si>
  <si>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</si>
  <si>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</si>
  <si>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</si>
  <si>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</si>
  <si>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</si>
  <si>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</si>
  <si>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</si>
  <si>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</si>
  <si>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</si>
  <si>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</si>
  <si>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</si>
  <si>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</si>
  <si>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</si>
  <si>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</si>
  <si>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</si>
  <si>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</si>
  <si>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</si>
  <si>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</si>
  <si>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</si>
  <si>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</si>
  <si>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</si>
  <si>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</si>
  <si>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</si>
  <si>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</si>
  <si>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</si>
  <si>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</si>
  <si>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</si>
  <si>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</si>
  <si>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</si>
  <si>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</si>
  <si>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</si>
  <si>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</si>
  <si>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</si>
  <si>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</si>
  <si>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</si>
  <si>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</si>
  <si>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</si>
  <si>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</si>
  <si>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</si>
  <si>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</si>
  <si>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</si>
  <si>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</si>
  <si>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</si>
  <si>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</si>
  <si>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</si>
  <si>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</si>
  <si>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</si>
  <si>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</si>
  <si>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</si>
  <si>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</si>
  <si>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</si>
  <si>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</si>
  <si>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</si>
  <si>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</si>
  <si>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</si>
  <si>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</si>
  <si>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</si>
  <si>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</si>
  <si>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</si>
  <si>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</si>
  <si>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</si>
  <si>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</si>
  <si>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</si>
  <si>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</si>
  <si>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</si>
  <si>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</si>
  <si>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</si>
  <si>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</si>
  <si>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</si>
  <si>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</si>
  <si>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</si>
  <si>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</si>
  <si>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</si>
  <si>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</si>
  <si>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</si>
  <si>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</si>
  <si>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</si>
  <si>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</si>
  <si>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</si>
  <si>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</si>
  <si>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</si>
  <si>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</si>
  <si>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</si>
  <si>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</si>
  <si>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</si>
  <si>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</si>
  <si>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</si>
  <si>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</si>
  <si>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</si>
  <si>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</si>
  <si>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</si>
  <si>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</si>
  <si>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</si>
  <si>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</si>
  <si>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</si>
  <si>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</si>
  <si>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</si>
  <si>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</si>
  <si>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</si>
  <si>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</si>
  <si>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</si>
  <si>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</si>
  <si>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</si>
  <si>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</si>
  <si>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</si>
  <si>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</si>
  <si>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</si>
  <si>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</si>
  <si>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</si>
  <si>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</si>
  <si>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</si>
  <si>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</si>
  <si>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</si>
  <si>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</si>
  <si>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</si>
  <si>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</si>
  <si>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</si>
  <si>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</si>
  <si>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</si>
  <si>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</si>
  <si>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</si>
  <si>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</si>
  <si>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</si>
  <si>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</si>
  <si>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</si>
  <si>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</si>
  <si>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</si>
  <si>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</si>
  <si>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</si>
  <si>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</si>
  <si>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</si>
  <si>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</si>
  <si>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</si>
  <si>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</si>
  <si>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</si>
  <si>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</si>
  <si>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</si>
  <si>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</si>
  <si>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</si>
  <si>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</si>
  <si>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</si>
  <si>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</si>
  <si>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</si>
  <si>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</si>
  <si>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</si>
  <si>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</si>
  <si>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</si>
  <si>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</si>
  <si>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</si>
  <si>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</si>
  <si>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</si>
  <si>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</si>
  <si>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</si>
  <si>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</si>
  <si>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</si>
  <si>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</si>
  <si>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</si>
  <si>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</si>
  <si>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</si>
  <si>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</si>
  <si>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</si>
  <si>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</si>
  <si>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</si>
  <si>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</si>
  <si>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</si>
  <si>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</si>
  <si>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</si>
  <si>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</si>
  <si>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</si>
  <si>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</si>
  <si>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</si>
  <si>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</si>
  <si>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</si>
  <si>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</si>
  <si>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</si>
  <si>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</si>
  <si>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</si>
  <si>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</si>
  <si>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</si>
  <si>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</si>
  <si>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</si>
  <si>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</si>
  <si>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</si>
  <si>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</si>
  <si>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</si>
  <si>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</si>
  <si>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</si>
  <si>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</si>
  <si>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</si>
  <si>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</si>
  <si>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</si>
  <si>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</si>
  <si>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</si>
  <si>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</si>
  <si>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</si>
  <si>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</si>
  <si>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</si>
  <si>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</si>
  <si>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</si>
  <si>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</si>
  <si>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</si>
  <si>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</si>
  <si>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</si>
  <si>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</si>
  <si>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</si>
  <si>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</si>
  <si>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</si>
  <si>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</si>
  <si>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</si>
  <si>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</si>
  <si>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</si>
  <si>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</si>
  <si>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</si>
  <si>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</si>
  <si>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</si>
  <si>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</si>
  <si>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</si>
  <si>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</si>
  <si>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</si>
  <si>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</si>
  <si>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</si>
  <si>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</si>
  <si>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</si>
  <si>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</si>
  <si>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</si>
  <si>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</si>
  <si>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</si>
  <si>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</si>
  <si>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</si>
  <si>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</si>
  <si>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</si>
  <si>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</si>
  <si>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</si>
  <si>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</si>
  <si>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</si>
  <si>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</si>
  <si>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</si>
  <si>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</si>
  <si>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</si>
  <si>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</si>
  <si>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</si>
  <si>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</si>
  <si>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</si>
  <si>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</si>
  <si>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</si>
  <si>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</si>
  <si>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</si>
  <si>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</si>
  <si>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</si>
  <si>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</si>
  <si>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</si>
  <si>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</si>
  <si>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</si>
  <si>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</si>
  <si>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</si>
  <si>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</si>
  <si>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</si>
  <si>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</si>
  <si>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</si>
  <si>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</si>
  <si>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</si>
  <si>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</si>
  <si>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</si>
  <si>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</si>
  <si>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</si>
  <si>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</si>
  <si>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</si>
  <si>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</si>
  <si>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</si>
  <si>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</si>
  <si>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</si>
  <si>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</si>
  <si>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</si>
  <si>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</si>
  <si>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</si>
  <si>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</si>
  <si>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</si>
  <si>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</si>
  <si>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</si>
  <si>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</si>
  <si>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</si>
  <si>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</si>
  <si>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</si>
  <si>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</si>
  <si>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</si>
  <si>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</si>
  <si>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</si>
  <si>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</si>
  <si>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</si>
  <si>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</si>
  <si>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</si>
  <si>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</si>
  <si>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</si>
  <si>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</si>
  <si>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</si>
  <si>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</si>
  <si>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</si>
  <si>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</si>
  <si>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</si>
  <si>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</si>
  <si>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</si>
  <si>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</si>
  <si>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</si>
  <si>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</si>
  <si>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</si>
  <si>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</si>
  <si>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</si>
  <si>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</si>
  <si>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</si>
  <si>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</si>
  <si>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</si>
  <si>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</si>
  <si>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</si>
  <si>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</si>
  <si>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</si>
  <si>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</si>
  <si>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</si>
  <si>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</si>
  <si>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</si>
  <si>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</si>
  <si>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</si>
  <si>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</si>
  <si>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</si>
  <si>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</si>
  <si>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</si>
  <si>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</si>
  <si>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</si>
  <si>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</si>
  <si>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</si>
  <si>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</si>
  <si>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</si>
  <si>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</si>
  <si>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</si>
  <si>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</si>
  <si>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</si>
  <si>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</si>
  <si>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</si>
  <si>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</si>
  <si>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</si>
  <si>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</si>
  <si>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</si>
  <si>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</si>
  <si>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</si>
  <si>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</si>
  <si>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</si>
  <si>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</si>
  <si>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</si>
  <si>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</si>
  <si>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</si>
  <si>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</si>
  <si>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</si>
  <si>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</si>
  <si>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</si>
  <si>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</si>
  <si>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</si>
  <si>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</si>
  <si>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</si>
  <si>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</si>
  <si>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</si>
  <si>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</si>
  <si>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</si>
  <si>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</si>
  <si>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</si>
  <si>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</si>
  <si>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</si>
  <si>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</si>
  <si>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</si>
  <si>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</si>
  <si>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</si>
  <si>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</si>
  <si>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</si>
  <si>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</si>
  <si>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</si>
  <si>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</si>
  <si>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</si>
  <si>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</si>
  <si>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</si>
  <si>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</si>
  <si>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</si>
  <si>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</si>
  <si>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</si>
  <si>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</si>
  <si>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</si>
  <si>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</si>
  <si>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</si>
  <si>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</si>
  <si>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</si>
  <si>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</si>
  <si>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</si>
  <si>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</si>
  <si>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</si>
  <si>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</si>
  <si>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</si>
  <si>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</si>
  <si>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</si>
  <si>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</si>
  <si>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</si>
  <si>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</si>
  <si>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</si>
  <si>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</si>
  <si>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</si>
  <si>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</si>
  <si>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</si>
  <si>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</si>
  <si>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</si>
  <si>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</si>
  <si>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</si>
  <si>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</si>
  <si>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</si>
  <si>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</si>
  <si>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</si>
  <si>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</si>
  <si>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</si>
  <si>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</si>
  <si>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</si>
  <si>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</si>
  <si>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</si>
  <si>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</si>
  <si>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</si>
  <si>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</si>
  <si>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</si>
  <si>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</si>
  <si>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</si>
  <si>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</si>
  <si>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</si>
  <si>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</si>
  <si>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</si>
  <si>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</si>
  <si>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</si>
  <si>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</si>
  <si>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</si>
  <si>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</si>
  <si>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</si>
  <si>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</si>
  <si>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</si>
  <si>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</si>
  <si>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</si>
  <si>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</si>
  <si>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</si>
  <si>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</si>
  <si>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</si>
  <si>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</si>
  <si>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</si>
  <si>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</si>
  <si>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</si>
  <si>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</si>
  <si>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</si>
  <si>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</si>
  <si>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</si>
  <si>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</si>
  <si>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</si>
  <si>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</si>
  <si>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</si>
  <si>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</si>
  <si>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</si>
  <si>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</si>
  <si>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</si>
  <si>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</si>
  <si>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</si>
  <si>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</si>
  <si>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</si>
  <si>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</si>
  <si>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</si>
  <si>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</si>
  <si>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</si>
  <si>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</si>
  <si>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</si>
  <si>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</si>
  <si>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</si>
  <si>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</si>
  <si>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</si>
  <si>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</si>
  <si>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</si>
  <si>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</si>
  <si>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</si>
  <si>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</si>
  <si>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</si>
  <si>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</si>
  <si>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</si>
  <si>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</si>
  <si>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</si>
  <si>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</si>
  <si>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</si>
  <si>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</si>
  <si>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</si>
  <si>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</si>
  <si>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</si>
  <si>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</si>
  <si>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</si>
  <si>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</si>
  <si>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</si>
  <si>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</si>
  <si>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</si>
  <si>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</si>
  <si>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</si>
  <si>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</si>
  <si>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</si>
  <si>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</si>
  <si>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</si>
  <si>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</si>
  <si>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</si>
  <si>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</si>
  <si>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</si>
  <si>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</si>
  <si>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</si>
  <si>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</si>
  <si>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</si>
  <si>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</si>
  <si>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</si>
  <si>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</si>
  <si>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</si>
  <si>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</si>
  <si>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</si>
  <si>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</si>
  <si>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</si>
  <si>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</si>
  <si>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</si>
  <si>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</si>
  <si>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</si>
  <si>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</si>
  <si>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</si>
  <si>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</si>
  <si>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</si>
  <si>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</si>
  <si>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</si>
  <si>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</si>
  <si>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</si>
  <si>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</si>
  <si>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</si>
  <si>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</si>
  <si>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</si>
  <si>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</si>
  <si>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</si>
  <si>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</si>
  <si>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</si>
  <si>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</si>
  <si>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</si>
  <si>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</si>
  <si>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</si>
  <si>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</si>
  <si>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</si>
  <si>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</si>
  <si>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</si>
  <si>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</si>
  <si>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</si>
  <si>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</si>
  <si>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</si>
  <si>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</si>
  <si>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</si>
  <si>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</si>
  <si>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</si>
  <si>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</si>
  <si>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</si>
  <si>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</si>
  <si>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</si>
  <si>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</si>
  <si>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</si>
  <si>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</si>
  <si>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</si>
  <si>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</si>
  <si>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</si>
  <si>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</si>
  <si>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</si>
  <si>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</si>
  <si>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</si>
  <si>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</si>
  <si>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</si>
  <si>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</si>
  <si>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</si>
  <si>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</si>
  <si>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</si>
  <si>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</si>
  <si>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</si>
  <si>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</si>
  <si>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</si>
  <si>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</si>
  <si>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</si>
  <si>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</si>
  <si>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</si>
  <si>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</si>
  <si>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</si>
  <si>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</si>
  <si>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</si>
  <si>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</si>
  <si>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</si>
  <si>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</si>
  <si>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</si>
  <si>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</si>
  <si>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</si>
  <si>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</si>
  <si>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</si>
  <si>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</si>
  <si>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</si>
  <si>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</si>
  <si>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</si>
  <si>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</si>
  <si>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</si>
  <si>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</si>
  <si>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</si>
  <si>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</si>
  <si>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</si>
  <si>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</si>
  <si>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</si>
  <si>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</si>
  <si>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</si>
  <si>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</si>
  <si>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</si>
  <si>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</si>
  <si>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</si>
  <si>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</si>
  <si>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</si>
  <si>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</si>
  <si>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</si>
  <si>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</si>
  <si>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</si>
  <si>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</si>
  <si>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</si>
  <si>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</si>
  <si>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</si>
  <si>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</si>
  <si>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</si>
  <si>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</si>
  <si>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</si>
  <si>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</si>
  <si>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</si>
  <si>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</si>
  <si>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</si>
  <si>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</si>
  <si>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</si>
  <si>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</si>
  <si>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</si>
  <si>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</si>
  <si>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</si>
  <si>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</si>
  <si>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</si>
  <si>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</si>
  <si>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</si>
  <si>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</si>
  <si>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</si>
  <si>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</si>
  <si>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</si>
  <si>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</si>
  <si>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</si>
  <si>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</si>
  <si>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</si>
  <si>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</si>
  <si>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</si>
  <si>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</si>
  <si>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</si>
  <si>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</si>
  <si>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</si>
  <si>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</si>
  <si>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</si>
  <si>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</si>
  <si>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</si>
  <si>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</si>
  <si>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</si>
  <si>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</si>
  <si>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</si>
  <si>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</si>
  <si>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</si>
  <si>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</si>
  <si>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</si>
  <si>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</si>
  <si>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</si>
  <si>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</si>
  <si>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</si>
  <si>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</si>
  <si>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</si>
  <si>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</si>
  <si>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</si>
  <si>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</si>
  <si>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</si>
  <si>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</si>
  <si>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</si>
  <si>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</si>
  <si>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</si>
  <si>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</si>
  <si>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</si>
  <si>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</si>
  <si>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</si>
  <si>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</si>
  <si>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</si>
  <si>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</si>
  <si>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</si>
  <si>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</si>
  <si>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</si>
  <si>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</si>
  <si>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</si>
  <si>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</si>
  <si>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</si>
  <si>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</si>
  <si>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</si>
  <si>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</si>
  <si>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</si>
  <si>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</si>
  <si>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</si>
  <si>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</si>
  <si>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</si>
  <si>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</si>
  <si>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</si>
  <si>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</si>
  <si>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</si>
  <si>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</si>
  <si>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</si>
  <si>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</si>
  <si>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</si>
  <si>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</si>
  <si>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</si>
  <si>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</si>
  <si>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</si>
  <si>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</si>
  <si>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</si>
  <si>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</si>
  <si>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</si>
  <si>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</si>
  <si>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</si>
  <si>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</si>
  <si>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</si>
  <si>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</si>
  <si>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</si>
  <si>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</si>
  <si>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</si>
  <si>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</si>
  <si>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</si>
  <si>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</si>
  <si>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</si>
  <si>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</si>
  <si>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</si>
  <si>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</si>
  <si>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</si>
  <si>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</si>
  <si>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</si>
  <si>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</si>
  <si>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</si>
  <si>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</si>
  <si>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</si>
  <si>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</si>
  <si>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</si>
  <si>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</si>
  <si>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</si>
  <si>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</si>
  <si>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</si>
  <si>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</si>
  <si>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</si>
  <si>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</si>
  <si>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</si>
  <si>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</si>
  <si>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</si>
  <si>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</si>
  <si>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</si>
  <si>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</si>
  <si>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</si>
  <si>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</si>
  <si>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</si>
  <si>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</si>
  <si>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</si>
  <si>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</si>
  <si>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</si>
  <si>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</si>
  <si>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</si>
  <si>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</si>
  <si>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</si>
  <si>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</si>
  <si>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</si>
  <si>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</si>
  <si>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</si>
  <si>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</si>
  <si>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</si>
  <si>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</si>
  <si>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</si>
  <si>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</si>
  <si>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</si>
  <si>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</si>
  <si>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</si>
  <si>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</si>
  <si>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</si>
  <si>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</si>
  <si>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</si>
  <si>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</si>
  <si>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</si>
  <si>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</si>
  <si>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</si>
  <si>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</si>
  <si>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</si>
  <si>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</si>
  <si>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</si>
  <si>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</si>
  <si>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</si>
  <si>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</si>
  <si>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</si>
  <si>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</si>
  <si>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</si>
  <si>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</si>
  <si>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</si>
  <si>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</si>
  <si>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</si>
  <si>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</si>
  <si>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</si>
  <si>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</si>
  <si>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</si>
  <si>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</si>
  <si>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</si>
  <si>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</si>
  <si>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</si>
  <si>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</si>
  <si>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</si>
  <si>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</si>
  <si>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</si>
  <si>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</si>
  <si>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</si>
  <si>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</si>
  <si>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</si>
  <si>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</si>
  <si>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</si>
  <si>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</si>
  <si>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</si>
  <si>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</si>
  <si>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</si>
  <si>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</si>
  <si>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</si>
  <si>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</si>
  <si>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</si>
  <si>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</si>
  <si>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</si>
  <si>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</si>
  <si>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</si>
  <si>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</si>
  <si>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</si>
  <si>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</si>
  <si>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</si>
  <si>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</si>
  <si>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</si>
  <si>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</si>
  <si>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</si>
  <si>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</si>
  <si>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</si>
  <si>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</si>
  <si>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</si>
  <si>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</si>
  <si>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</si>
  <si>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</si>
  <si>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</si>
  <si>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</si>
  <si>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</si>
  <si>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</si>
  <si>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</si>
  <si>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</si>
  <si>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</si>
  <si>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</si>
  <si>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</si>
  <si>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</si>
  <si>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</si>
  <si>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</si>
  <si>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</si>
  <si>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</si>
  <si>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</si>
  <si>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</si>
  <si>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</si>
  <si>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</si>
  <si>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</si>
  <si>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</si>
  <si>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</si>
  <si>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</si>
  <si>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</si>
  <si>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</si>
  <si>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</si>
  <si>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</si>
  <si>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</si>
  <si>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</si>
  <si>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</si>
  <si>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</si>
  <si>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</si>
  <si>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</si>
  <si>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</si>
  <si>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</si>
  <si>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</si>
  <si>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</si>
  <si>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</si>
  <si>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</si>
  <si>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</si>
  <si>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</si>
  <si>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</si>
  <si>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</si>
  <si>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</si>
  <si>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</si>
  <si>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</si>
  <si>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</si>
  <si>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</si>
  <si>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</si>
  <si>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</si>
  <si>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</si>
  <si>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</si>
  <si>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</si>
  <si>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</si>
  <si>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</si>
  <si>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</si>
  <si>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</si>
  <si>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</si>
  <si>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</si>
  <si>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</si>
  <si>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</si>
  <si>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</si>
  <si>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</si>
  <si>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</si>
  <si>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</si>
  <si>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</si>
  <si>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</si>
  <si>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</si>
  <si>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</si>
  <si>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</si>
  <si>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</si>
  <si>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</si>
  <si>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</si>
  <si>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</si>
  <si>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</si>
  <si>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</si>
  <si>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</si>
  <si>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</si>
  <si>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</si>
  <si>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</si>
  <si>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</si>
  <si>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</si>
  <si>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</si>
  <si>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</si>
  <si>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</si>
  <si>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</si>
  <si>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</si>
  <si>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</si>
  <si>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</si>
  <si>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</si>
  <si>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</si>
  <si>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</si>
  <si>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</si>
  <si>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</si>
  <si>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</si>
  <si>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</si>
  <si>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</si>
  <si>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</si>
  <si>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</si>
  <si>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</si>
  <si>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</si>
  <si>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</si>
  <si>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</si>
  <si>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</si>
  <si>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</si>
  <si>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</si>
  <si>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</si>
  <si>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</si>
  <si>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</si>
  <si>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</si>
  <si>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</si>
  <si>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</si>
  <si>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</si>
  <si>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</si>
  <si>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</si>
  <si>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</si>
  <si>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</si>
  <si>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</si>
  <si>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</si>
  <si>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</si>
  <si>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</si>
  <si>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</si>
  <si>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</si>
  <si>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</si>
  <si>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</si>
  <si>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</si>
  <si>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</si>
  <si>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</si>
  <si>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</si>
  <si>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</si>
  <si>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</si>
  <si>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</si>
  <si>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</si>
  <si>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</si>
  <si>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</si>
  <si>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</si>
  <si>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</si>
  <si>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</si>
  <si>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</si>
  <si>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</si>
  <si>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</si>
  <si>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</si>
  <si>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</si>
  <si>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</si>
  <si>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</si>
  <si>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</si>
  <si>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</si>
  <si>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</si>
  <si>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</si>
  <si>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</si>
  <si>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</si>
  <si>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</si>
  <si>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</si>
  <si>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</si>
  <si>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</si>
  <si>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</si>
  <si>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</si>
  <si>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</si>
  <si>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</si>
  <si>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</si>
  <si>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</si>
  <si>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</si>
  <si>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</si>
  <si>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</si>
  <si>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</si>
  <si>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</si>
  <si>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</si>
  <si>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</si>
  <si>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</si>
  <si>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</si>
  <si>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</si>
  <si>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</si>
  <si>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</si>
  <si>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</si>
  <si>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</si>
  <si>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</si>
  <si>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</si>
  <si>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</si>
  <si>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</si>
  <si>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</si>
  <si>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</si>
  <si>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</si>
  <si>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</si>
  <si>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</si>
  <si>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</si>
  <si>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</si>
  <si>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</si>
  <si>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</si>
  <si>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</si>
  <si>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</si>
  <si>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</si>
  <si>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</si>
  <si>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</si>
  <si>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</si>
  <si>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</si>
  <si>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</si>
  <si>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</si>
  <si>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</si>
  <si>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</si>
  <si>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</si>
  <si>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</si>
  <si>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</si>
  <si>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</si>
  <si>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</si>
  <si>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</si>
  <si>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</si>
  <si>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</si>
  <si>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</si>
  <si>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</si>
  <si>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</si>
  <si>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</si>
  <si>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</si>
  <si>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</si>
  <si>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</si>
  <si>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</si>
  <si>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</si>
  <si>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</si>
  <si>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</si>
  <si>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</si>
  <si>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</si>
  <si>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</si>
  <si>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</si>
  <si>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</si>
  <si>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</si>
  <si>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</si>
  <si>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</si>
  <si>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</si>
  <si>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</si>
  <si>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</si>
  <si>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</si>
  <si>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</si>
  <si>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</si>
  <si>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</si>
  <si>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</si>
  <si>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</si>
  <si>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</si>
  <si>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</si>
  <si>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</si>
  <si>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</si>
  <si>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</si>
  <si>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</si>
  <si>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</si>
  <si>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</si>
  <si>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</si>
  <si>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</si>
  <si>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</si>
  <si>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</si>
  <si>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</si>
  <si>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</si>
  <si>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</si>
  <si>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</si>
  <si>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</si>
  <si>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</si>
  <si>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</si>
  <si>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</si>
  <si>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</si>
  <si>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</si>
  <si>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</si>
  <si>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</si>
  <si>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</si>
  <si>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</si>
  <si>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</si>
  <si>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</si>
  <si>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</si>
  <si>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</si>
  <si>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</si>
  <si>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</si>
  <si>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</si>
  <si>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</si>
  <si>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</si>
  <si>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</si>
  <si>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</si>
  <si>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</si>
  <si>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</si>
  <si>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</si>
  <si>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</si>
  <si>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</si>
  <si>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</si>
  <si>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</si>
  <si>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</si>
  <si>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</si>
  <si>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</si>
  <si>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</si>
  <si>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</si>
  <si>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</si>
  <si>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</si>
  <si>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</si>
  <si>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</si>
  <si>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</si>
  <si>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</si>
  <si>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</si>
  <si>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</si>
  <si>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</si>
  <si>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</si>
  <si>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</si>
  <si>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</si>
  <si>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</si>
  <si>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</si>
  <si>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</si>
  <si>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</si>
  <si>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</si>
  <si>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</si>
  <si>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</si>
  <si>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</si>
  <si>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</si>
  <si>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</si>
  <si>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</si>
  <si>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</si>
  <si>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</si>
  <si>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</si>
  <si>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</si>
  <si>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</si>
  <si>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</si>
  <si>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</si>
  <si>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</si>
  <si>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</si>
  <si>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</si>
  <si>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</si>
  <si>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</si>
  <si>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</si>
  <si>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</si>
  <si>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</si>
  <si>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</si>
  <si>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</si>
  <si>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</si>
  <si>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</si>
  <si>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</si>
  <si>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</si>
  <si>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</si>
  <si>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</si>
  <si>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</si>
  <si>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</si>
  <si>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</si>
  <si>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</si>
  <si>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</si>
  <si>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</si>
  <si>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</si>
  <si>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</si>
  <si>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</si>
  <si>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</si>
  <si>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</si>
  <si>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</si>
  <si>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</si>
  <si>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</si>
  <si>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</si>
  <si>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</si>
  <si>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</si>
  <si>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</si>
  <si>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</si>
  <si>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</si>
  <si>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</si>
  <si>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</si>
  <si>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</si>
  <si>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</si>
  <si>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</si>
  <si>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</si>
  <si>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</si>
  <si>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</si>
  <si>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</si>
  <si>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</si>
  <si>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</si>
  <si>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</si>
  <si>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</si>
  <si>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</si>
  <si>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</si>
  <si>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</si>
  <si>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</si>
  <si>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</si>
  <si>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</si>
  <si>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</si>
  <si>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</si>
  <si>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</si>
  <si>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</si>
  <si>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</si>
  <si>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</si>
  <si>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</si>
  <si>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</si>
  <si>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</si>
  <si>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</si>
  <si>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</si>
  <si>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</si>
  <si>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</si>
  <si>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</si>
  <si>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</si>
  <si>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</si>
  <si>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</si>
  <si>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</si>
  <si>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</si>
  <si>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</si>
  <si>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</si>
  <si>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</si>
  <si>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</si>
  <si>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</si>
  <si>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</si>
  <si>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</si>
  <si>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</si>
  <si>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</si>
  <si>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</si>
  <si>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</si>
  <si>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</si>
  <si>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</si>
  <si>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</si>
  <si>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</si>
  <si>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</si>
  <si>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</si>
  <si>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</si>
  <si>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</si>
  <si>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</si>
  <si>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</si>
  <si>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</si>
  <si>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</si>
  <si>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</si>
  <si>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</si>
  <si>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</si>
  <si>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</si>
  <si>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</si>
  <si>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</si>
  <si>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</si>
  <si>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</si>
  <si>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</si>
  <si>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</si>
  <si>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</si>
  <si>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</si>
  <si>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</si>
  <si>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</si>
  <si>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</si>
  <si>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</si>
  <si>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</si>
  <si>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</si>
  <si>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</si>
  <si>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</si>
  <si>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</si>
  <si>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</si>
  <si>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</si>
  <si>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</si>
  <si>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</si>
  <si>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</si>
  <si>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</si>
  <si>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</si>
  <si>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</si>
  <si>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</si>
  <si>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</si>
  <si>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</si>
  <si>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</si>
  <si>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</si>
  <si>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</si>
  <si>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</si>
  <si>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</si>
  <si>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</si>
  <si>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</si>
  <si>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</si>
  <si>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</si>
  <si>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</si>
  <si>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</si>
  <si>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</si>
  <si>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</si>
  <si>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</si>
  <si>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</si>
  <si>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</si>
  <si>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</si>
  <si>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</si>
  <si>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</si>
  <si>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</si>
  <si>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</si>
  <si>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</si>
  <si>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</si>
  <si>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</si>
  <si>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</si>
  <si>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</si>
  <si>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</si>
  <si>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</si>
  <si>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</si>
  <si>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</si>
  <si>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</si>
  <si>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</si>
  <si>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</si>
  <si>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</si>
  <si>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</si>
  <si>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</si>
  <si>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</si>
  <si>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</si>
  <si>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</si>
  <si>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</si>
  <si>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</si>
  <si>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</si>
  <si>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</si>
  <si>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</si>
  <si>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</si>
  <si>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</si>
  <si>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</si>
  <si>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</si>
  <si>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</si>
  <si>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</si>
  <si>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</si>
  <si>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</si>
  <si>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</si>
  <si>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</si>
  <si>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</si>
  <si>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</si>
  <si>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</si>
  <si>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</si>
  <si>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</si>
  <si>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</si>
  <si>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</si>
  <si>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</si>
  <si>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</si>
  <si>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</si>
  <si>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</si>
  <si>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</si>
  <si>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</si>
  <si>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</si>
  <si>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</si>
  <si>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</si>
  <si>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</si>
  <si>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</si>
  <si>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</si>
  <si>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</si>
  <si>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</si>
  <si>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</si>
  <si>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</si>
  <si>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</si>
  <si>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</si>
  <si>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</si>
  <si>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</si>
  <si>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</si>
  <si>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</si>
  <si>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</si>
  <si>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</si>
  <si>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</si>
  <si>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</si>
  <si>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</si>
  <si>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</si>
  <si>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</si>
  <si>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</si>
  <si>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</si>
  <si>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</si>
  <si>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</si>
  <si>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</si>
  <si>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</si>
  <si>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</si>
  <si>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</si>
  <si>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</si>
  <si>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</si>
  <si>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</si>
  <si>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</si>
  <si>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</si>
  <si>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</si>
  <si>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</si>
  <si>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</si>
  <si>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</si>
  <si>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</si>
  <si>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</si>
  <si>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</si>
  <si>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</si>
  <si>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</si>
  <si>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</si>
  <si>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</si>
  <si>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</si>
  <si>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</si>
  <si>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</si>
  <si>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</si>
  <si>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</si>
  <si>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</si>
  <si>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</si>
  <si>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</si>
  <si>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</si>
  <si>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</si>
  <si>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</si>
  <si>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</si>
  <si>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</si>
  <si>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</si>
  <si>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</si>
  <si>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</si>
  <si>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</si>
  <si>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</si>
  <si>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</si>
  <si>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</si>
  <si>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</si>
  <si>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</si>
  <si>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</si>
  <si>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</si>
  <si>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</si>
  <si>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</si>
  <si>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</si>
  <si>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</si>
  <si>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</si>
  <si>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</si>
  <si>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</si>
  <si>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</si>
  <si>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</si>
  <si>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</si>
  <si>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</si>
  <si>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</si>
  <si>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</si>
  <si>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</si>
  <si>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</si>
  <si>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</si>
  <si>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</si>
  <si>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</si>
  <si>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</si>
  <si>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</si>
  <si>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</si>
  <si>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</si>
  <si>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</si>
  <si>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</si>
  <si>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</si>
  <si>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</si>
  <si>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</si>
  <si>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</si>
  <si>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</si>
  <si>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</si>
  <si>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</si>
  <si>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</si>
  <si>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</si>
  <si>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</si>
  <si>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</si>
  <si>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</si>
  <si>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</si>
  <si>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</si>
  <si>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</si>
  <si>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</si>
  <si>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</si>
  <si>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</si>
  <si>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</si>
  <si>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</si>
  <si>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</si>
  <si>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</si>
  <si>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</si>
  <si>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</si>
  <si>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</si>
  <si>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</si>
  <si>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</si>
  <si>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</si>
  <si>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</si>
  <si>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</si>
  <si>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</si>
  <si>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</si>
  <si>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</si>
  <si>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</si>
  <si>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</si>
  <si>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</si>
  <si>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</si>
  <si>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</si>
  <si>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</si>
  <si>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</si>
  <si>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</si>
  <si>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</si>
  <si>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</si>
  <si>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</si>
  <si>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</si>
  <si>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</si>
  <si>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</si>
  <si>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</si>
  <si>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</si>
  <si>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</si>
  <si>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</si>
  <si>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</si>
  <si>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</si>
  <si>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</si>
  <si>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</si>
  <si>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</si>
  <si>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</si>
  <si>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</si>
  <si>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</si>
  <si>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</si>
  <si>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</si>
  <si>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</si>
  <si>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</si>
  <si>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</si>
  <si>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</si>
  <si>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</si>
  <si>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</si>
  <si>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</si>
  <si>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</si>
  <si>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</si>
  <si>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</si>
  <si>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</si>
  <si>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</si>
  <si>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</si>
  <si>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</si>
  <si>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</si>
  <si>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</si>
  <si>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</si>
  <si>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</si>
  <si>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</si>
  <si>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</si>
  <si>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</si>
  <si>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</si>
  <si>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</si>
  <si>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</si>
  <si>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</si>
  <si>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</si>
  <si>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</si>
  <si>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</si>
  <si>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</si>
  <si>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</si>
  <si>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</si>
  <si>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</si>
  <si>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</si>
  <si>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</si>
  <si>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</si>
  <si>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</si>
  <si>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</si>
  <si>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</si>
  <si>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</si>
  <si>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</si>
  <si>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</si>
  <si>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</si>
  <si>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</si>
  <si>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</si>
  <si>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</si>
  <si>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</si>
  <si>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</si>
  <si>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</si>
  <si>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</si>
  <si>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</si>
  <si>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</si>
  <si>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</si>
  <si>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</si>
  <si>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</si>
  <si>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</si>
  <si>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</si>
  <si>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</si>
  <si>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</si>
  <si>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</si>
  <si>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</si>
  <si>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</si>
  <si>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</si>
  <si>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</si>
  <si>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</si>
  <si>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</si>
  <si>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</si>
  <si>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</si>
  <si>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</si>
  <si>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</si>
  <si>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</si>
  <si>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</si>
  <si>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</si>
  <si>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</si>
  <si>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</si>
  <si>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</si>
  <si>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</si>
  <si>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</si>
  <si>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</si>
  <si>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</si>
  <si>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</si>
  <si>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</si>
  <si>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</si>
  <si>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</si>
  <si>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</si>
  <si>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</si>
  <si>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</si>
  <si>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</si>
  <si>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</si>
  <si>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</si>
  <si>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</si>
  <si>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</si>
  <si>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</si>
  <si>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</si>
  <si>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</si>
  <si>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</si>
  <si>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</si>
  <si>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</si>
  <si>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</si>
  <si>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</si>
  <si>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</si>
  <si>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</si>
  <si>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</si>
  <si>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</si>
  <si>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</si>
  <si>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</si>
  <si>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</si>
  <si>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</si>
  <si>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</si>
  <si>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</si>
  <si>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</si>
  <si>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</si>
  <si>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</si>
  <si>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</si>
  <si>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</si>
  <si>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</si>
  <si>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</si>
  <si>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</si>
  <si>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</si>
  <si>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</si>
  <si>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</si>
  <si>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</si>
  <si>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</si>
  <si>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</si>
  <si>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</si>
  <si>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</si>
  <si>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</si>
  <si>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</si>
  <si>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</si>
  <si>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</si>
  <si>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</si>
  <si>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</si>
  <si>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</si>
  <si>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</si>
  <si>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</si>
  <si>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</si>
  <si>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</si>
  <si>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</si>
  <si>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</si>
  <si>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</si>
  <si>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</si>
  <si>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</si>
  <si>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</si>
  <si>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</si>
  <si>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</si>
  <si>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</si>
  <si>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</si>
  <si>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</si>
  <si>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</si>
  <si>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</si>
  <si>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</si>
  <si>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</si>
  <si>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</si>
  <si>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</si>
  <si>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</si>
  <si>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</si>
  <si>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</si>
  <si>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</si>
  <si>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</si>
  <si>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</si>
  <si>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</si>
  <si>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</si>
  <si>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</si>
  <si>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</si>
  <si>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</si>
  <si>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</si>
  <si>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</si>
  <si>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</si>
  <si>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</si>
  <si>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</si>
  <si>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</si>
  <si>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</si>
  <si>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</si>
  <si>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</si>
  <si>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</si>
  <si>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</si>
  <si>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</si>
  <si>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</si>
  <si>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</si>
  <si>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</si>
  <si>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</si>
  <si>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</si>
  <si>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</si>
  <si>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</si>
  <si>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</si>
  <si>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</si>
  <si>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</si>
  <si>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</si>
  <si>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</si>
  <si>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</si>
  <si>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</si>
  <si>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</si>
  <si>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</si>
  <si>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</si>
  <si>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</si>
  <si>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</si>
  <si>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</si>
  <si>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</si>
  <si>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</si>
  <si>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</si>
  <si>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</si>
  <si>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</si>
  <si>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</si>
  <si>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</si>
  <si>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</si>
  <si>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</si>
  <si>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</si>
  <si>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</si>
  <si>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</si>
  <si>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</si>
  <si>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</si>
  <si>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</si>
  <si>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</si>
  <si>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</si>
  <si>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</si>
  <si>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</si>
  <si>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</si>
  <si>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</si>
  <si>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</si>
  <si>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</si>
  <si>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</si>
  <si>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</si>
  <si>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</si>
  <si>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</si>
  <si>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</si>
  <si>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</si>
  <si>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</si>
  <si>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</si>
  <si>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</si>
  <si>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</si>
  <si>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</si>
  <si>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</si>
  <si>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</si>
  <si>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</si>
  <si>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</si>
  <si>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</si>
  <si>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</si>
  <si>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</si>
  <si>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</si>
  <si>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</si>
  <si>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</si>
  <si>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</si>
  <si>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</si>
  <si>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</si>
  <si>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</si>
  <si>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</si>
  <si>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</si>
  <si>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</si>
  <si>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</si>
  <si>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</si>
  <si>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</si>
  <si>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</si>
  <si>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</si>
  <si>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</si>
  <si>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</si>
  <si>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</si>
  <si>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</si>
  <si>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</si>
  <si>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</si>
  <si>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</si>
  <si>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</si>
  <si>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</si>
  <si>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</si>
  <si>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</si>
  <si>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</si>
  <si>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</si>
  <si>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</si>
  <si>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</si>
  <si>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</si>
  <si>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</si>
  <si>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</si>
  <si>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</si>
  <si>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</si>
  <si>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</si>
  <si>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</si>
  <si>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</si>
  <si>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</si>
  <si>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</si>
  <si>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</si>
  <si>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</si>
  <si>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</si>
  <si>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</si>
  <si>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</si>
  <si>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</si>
  <si>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</si>
  <si>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</si>
  <si>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</si>
  <si>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</si>
  <si>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</si>
  <si>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</si>
  <si>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</si>
  <si>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</si>
  <si>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</si>
  <si>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</si>
  <si>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</si>
  <si>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</si>
  <si>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</si>
  <si>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</si>
  <si>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</si>
  <si>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</si>
  <si>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</si>
  <si>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</si>
  <si>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</si>
  <si>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</si>
  <si>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</si>
  <si>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</si>
  <si>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</si>
  <si>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</si>
  <si>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</si>
  <si>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</si>
  <si>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</si>
  <si>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</si>
  <si>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</si>
  <si>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</si>
  <si>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</si>
  <si>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</si>
  <si>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</si>
  <si>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</si>
  <si>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</si>
  <si>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</si>
  <si>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</si>
  <si>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</si>
  <si>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</si>
  <si>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</si>
  <si>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</si>
  <si>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</si>
  <si>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</si>
  <si>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</si>
  <si>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</si>
  <si>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</si>
  <si>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</si>
  <si>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</si>
  <si>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</si>
  <si>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</si>
  <si>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</si>
  <si>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</si>
  <si>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</si>
  <si>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</si>
  <si>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</si>
  <si>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</si>
  <si>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</si>
  <si>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</si>
  <si>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</si>
  <si>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</si>
  <si>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</si>
  <si>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</si>
  <si>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</si>
  <si>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</si>
  <si>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</si>
  <si>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</si>
  <si>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</si>
  <si>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</si>
  <si>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</si>
  <si>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</si>
  <si>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</si>
  <si>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</si>
  <si>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</si>
  <si>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</si>
  <si>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</si>
  <si>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</si>
  <si>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</si>
  <si>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</si>
  <si>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</si>
  <si>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</si>
  <si>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</si>
  <si>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</si>
  <si>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</si>
  <si>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</si>
  <si>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</si>
  <si>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</si>
  <si>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</si>
  <si>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</si>
  <si>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</si>
  <si>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</si>
  <si>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</si>
  <si>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</si>
  <si>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</si>
  <si>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</si>
  <si>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</si>
  <si>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</si>
  <si>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</si>
  <si>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</si>
  <si>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</si>
  <si>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</si>
  <si>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</si>
  <si>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</si>
  <si>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</si>
  <si>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</si>
  <si>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</si>
  <si>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</si>
  <si>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</si>
  <si>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</si>
  <si>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</si>
  <si>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</si>
  <si>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</si>
  <si>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</si>
  <si>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</si>
  <si>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</si>
  <si>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</si>
  <si>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</si>
  <si>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</si>
  <si>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</si>
  <si>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</si>
  <si>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</si>
  <si>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</si>
  <si>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</si>
  <si>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</si>
  <si>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</si>
  <si>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</si>
  <si>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</si>
  <si>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</si>
  <si>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</si>
  <si>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</si>
  <si>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</si>
  <si>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</si>
  <si>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</si>
  <si>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</si>
  <si>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</si>
  <si>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</si>
  <si>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</si>
  <si>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</si>
  <si>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</si>
  <si>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</si>
  <si>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</si>
  <si>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企业</t>
  </si>
  <si>
    <t>是</t>
  </si>
  <si>
    <t>商业项目</t>
  </si>
  <si>
    <t>现房</t>
  </si>
  <si>
    <t>地上</t>
  </si>
  <si>
    <r>
      <t>58</t>
    </r>
    <r>
      <rPr>
        <sz val="10"/>
        <color indexed="8"/>
        <rFont val="宋体"/>
        <family val="3"/>
        <charset val="134"/>
      </rPr>
      <t>号</t>
    </r>
    <r>
      <rPr>
        <sz val="10"/>
        <color indexed="8"/>
        <rFont val="Arial"/>
        <family val="2"/>
      </rPr>
      <t>1</t>
    </r>
    <r>
      <rPr>
        <sz val="10"/>
        <color indexed="8"/>
        <rFont val="宋体"/>
        <family val="3"/>
        <charset val="134"/>
      </rPr>
      <t>层</t>
    </r>
    <phoneticPr fontId="4" type="noConversion"/>
  </si>
  <si>
    <t>58号1层</t>
  </si>
  <si>
    <t>58号1层</t>
    <phoneticPr fontId="8" type="noConversion"/>
  </si>
  <si>
    <t>成新度</t>
  </si>
  <si>
    <t>建成年代</t>
    <phoneticPr fontId="4" type="noConversion"/>
  </si>
  <si>
    <t>根据土地年期推算</t>
    <phoneticPr fontId="4" type="noConversion"/>
  </si>
  <si>
    <t>东华门街道</t>
    <phoneticPr fontId="4" type="noConversion"/>
  </si>
  <si>
    <t>收益法 (元)</t>
  </si>
  <si>
    <t>Ⅰ—01</t>
  </si>
  <si>
    <t>否</t>
  </si>
  <si>
    <t>不临65条商业街</t>
  </si>
  <si>
    <t>宗地容积率</t>
  </si>
  <si>
    <t>与级别开发程度一致</t>
  </si>
  <si>
    <t>楼层修正</t>
  </si>
  <si>
    <t>未包含在土地购买价格中</t>
  </si>
  <si>
    <t>已包含在土地取得成本中</t>
  </si>
  <si>
    <t>押一</t>
  </si>
  <si>
    <t>钢混</t>
  </si>
  <si>
    <t>非生产用房</t>
  </si>
  <si>
    <t>建筑面积</t>
    <phoneticPr fontId="135" type="noConversion"/>
  </si>
  <si>
    <t>使用面积</t>
    <phoneticPr fontId="135" type="noConversion"/>
  </si>
  <si>
    <r>
      <t>6</t>
    </r>
    <r>
      <rPr>
        <sz val="11"/>
        <color theme="1"/>
        <rFont val="宋体"/>
        <family val="3"/>
        <charset val="134"/>
        <scheme val="minor"/>
      </rPr>
      <t>0多平</t>
    </r>
    <phoneticPr fontId="135" type="noConversion"/>
  </si>
  <si>
    <t>年租金</t>
    <phoneticPr fontId="135" type="noConversion"/>
  </si>
  <si>
    <t>日租金</t>
    <phoneticPr fontId="135" type="noConversion"/>
  </si>
  <si>
    <t>一层</t>
    <phoneticPr fontId="135" type="noConversion"/>
  </si>
  <si>
    <t>单套模式</t>
  </si>
  <si>
    <t>售价</t>
  </si>
  <si>
    <t>正常</t>
  </si>
  <si>
    <t>挂牌价</t>
  </si>
  <si>
    <t>挂牌价</t>
    <phoneticPr fontId="31" type="noConversion"/>
  </si>
  <si>
    <t>商业</t>
    <phoneticPr fontId="31" type="noConversion"/>
  </si>
  <si>
    <t>双面临街</t>
    <phoneticPr fontId="31" type="noConversion"/>
  </si>
  <si>
    <t>单面临街</t>
  </si>
  <si>
    <t>单面临街</t>
    <phoneticPr fontId="31" type="noConversion"/>
  </si>
  <si>
    <t>较好</t>
    <phoneticPr fontId="31" type="noConversion"/>
  </si>
  <si>
    <t>大</t>
  </si>
  <si>
    <t>大</t>
    <phoneticPr fontId="31" type="noConversion"/>
  </si>
  <si>
    <t>较大</t>
  </si>
  <si>
    <t>较大</t>
    <phoneticPr fontId="31" type="noConversion"/>
  </si>
  <si>
    <t>一般</t>
  </si>
  <si>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</si>
  <si>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</si>
  <si>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</si>
  <si>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</si>
  <si>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</si>
  <si>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</si>
  <si>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t>周边无销售案例</t>
    <phoneticPr fontId="135" type="noConversion"/>
  </si>
  <si>
    <t>东华门大街一层商铺租金都在27左右</t>
    <phoneticPr fontId="135" type="noConversion"/>
  </si>
  <si>
    <t>1层</t>
  </si>
  <si>
    <t>好</t>
  </si>
  <si>
    <t>国瑞城东区</t>
    <phoneticPr fontId="4" type="noConversion"/>
  </si>
  <si>
    <t>鼓楼东大街</t>
    <phoneticPr fontId="4" type="noConversion"/>
  </si>
  <si>
    <t>东华门大街</t>
    <phoneticPr fontId="4" type="noConversion"/>
  </si>
  <si>
    <t>住宅底商</t>
  </si>
  <si>
    <t>住宅底商</t>
    <phoneticPr fontId="31" type="noConversion"/>
  </si>
  <si>
    <t>临街商业</t>
  </si>
  <si>
    <t>临街商业</t>
    <phoneticPr fontId="31" type="noConversion"/>
  </si>
  <si>
    <r>
      <t>20-30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</si>
  <si>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</si>
  <si>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</si>
  <si>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</si>
  <si>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</si>
  <si>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10-20</t>
    </r>
    <r>
      <rPr>
        <sz val="11"/>
        <color indexed="8"/>
        <rFont val="宋体"/>
        <family val="3"/>
        <charset val="134"/>
      </rPr>
      <t>（含）</t>
    </r>
    <phoneticPr fontId="31" type="noConversion"/>
  </si>
  <si>
    <r>
      <t>20-30</t>
    </r>
    <r>
      <rPr>
        <sz val="11"/>
        <color rgb="FFFF0000"/>
        <rFont val="宋体"/>
        <family val="3"/>
        <charset val="134"/>
      </rPr>
      <t>（含）</t>
    </r>
    <phoneticPr fontId="31" type="noConversion"/>
  </si>
  <si>
    <t>比较法-商业</t>
  </si>
  <si>
    <t>楼面单价</t>
  </si>
  <si>
    <t>自定义</t>
  </si>
  <si>
    <t>分值</t>
    <phoneticPr fontId="9" type="noConversion"/>
  </si>
  <si>
    <r>
      <t>1</t>
    </r>
    <r>
      <rPr>
        <sz val="10"/>
        <color indexed="8"/>
        <rFont val="宋体"/>
        <family val="3"/>
        <charset val="134"/>
      </rPr>
      <t>层</t>
    </r>
    <phoneticPr fontId="4" type="noConversion"/>
  </si>
  <si>
    <t>价值汇总</t>
    <phoneticPr fontId="135" type="noConversion"/>
  </si>
  <si>
    <t>58号1层</t>
    <phoneticPr fontId="135" type="noConversion"/>
  </si>
  <si>
    <t>56号1,2层</t>
    <phoneticPr fontId="135" type="noConversion"/>
  </si>
  <si>
    <t>总价</t>
    <phoneticPr fontId="135" type="noConversion"/>
  </si>
  <si>
    <t>单价</t>
    <phoneticPr fontId="135" type="noConversion"/>
  </si>
  <si>
    <t>建筑面积</t>
    <phoneticPr fontId="135" type="noConversion"/>
  </si>
  <si>
    <t>土地面积</t>
    <phoneticPr fontId="135" type="noConversion"/>
  </si>
  <si>
    <t>合计</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</si>
</sst>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0" fontId="114" fillId="5" borderId="32" xfId="0" applyFont="1" applyFill="1" applyBorder="1" applyAlignment="1" applyProtection="1">
      <alignment horizontal="right" vertical="center" wrapText="1"/>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176" fontId="101" fillId="0" borderId="23" xfId="0" applyNumberFormat="1"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78" fillId="6" borderId="0" xfId="0"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6350</xdr:rowOff>
    </xdr:from>
    <xdr:to>
      <xdr:col>12</xdr:col>
      <xdr:colOff>3513</xdr:colOff>
      <xdr:row>75</xdr:row>
      <xdr:rowOff>49443</xdr:rowOff>
    </xdr:to>
    <xdr:pic>
      <xdr:nvPicPr>
        <xdr:cNvPr id="2" name="图片 1">
          <a:extLst>
            <a:ext uri="{FF2B5EF4-FFF2-40B4-BE49-F238E27FC236}">
              <a16:creationId xmlns:a16="http://schemas.microsoft.com/office/drawing/2014/main" id="{2AC16C05-2ED5-27EA-87AF-A9C92FEC2281}"/>
            </a:ext>
          </a:extLst>
        </xdr:cNvPr>
        <xdr:cNvPicPr>
          <a:picLocks noChangeAspect="1"/>
        </xdr:cNvPicPr>
      </xdr:nvPicPr>
      <xdr:blipFill>
        <a:blip xmlns:r="http://schemas.openxmlformats.org/officeDocument/2006/relationships" r:embed="rId1"/>
        <a:stretch>
          <a:fillRect/>
        </a:stretch>
      </xdr:blipFill>
      <xdr:spPr>
        <a:xfrm>
          <a:off x="0" y="6762750"/>
          <a:ext cx="7318713" cy="6621693"/>
        </a:xfrm>
        <a:prstGeom prst="rect">
          <a:avLst/>
        </a:prstGeom>
      </xdr:spPr>
    </xdr:pic>
    <xdr:clientData/>
  </xdr:twoCellAnchor>
  <xdr:twoCellAnchor editAs="oneCell">
    <xdr:from>
      <xdr:col>0</xdr:col>
      <xdr:colOff>0</xdr:colOff>
      <xdr:row>0</xdr:row>
      <xdr:rowOff>0</xdr:rowOff>
    </xdr:from>
    <xdr:to>
      <xdr:col>11</xdr:col>
      <xdr:colOff>519295</xdr:colOff>
      <xdr:row>36</xdr:row>
      <xdr:rowOff>62117</xdr:rowOff>
    </xdr:to>
    <xdr:pic>
      <xdr:nvPicPr>
        <xdr:cNvPr id="3" name="图片 2">
          <a:extLst>
            <a:ext uri="{FF2B5EF4-FFF2-40B4-BE49-F238E27FC236}">
              <a16:creationId xmlns:a16="http://schemas.microsoft.com/office/drawing/2014/main" id="{C9C22583-7F13-91AB-B301-F29E27146451}"/>
            </a:ext>
          </a:extLst>
        </xdr:cNvPr>
        <xdr:cNvPicPr>
          <a:picLocks noChangeAspect="1"/>
        </xdr:cNvPicPr>
      </xdr:nvPicPr>
      <xdr:blipFill>
        <a:blip xmlns:r="http://schemas.openxmlformats.org/officeDocument/2006/relationships" r:embed="rId2"/>
        <a:stretch>
          <a:fillRect/>
        </a:stretch>
      </xdr:blipFill>
      <xdr:spPr>
        <a:xfrm>
          <a:off x="0" y="0"/>
          <a:ext cx="7224895" cy="6462917"/>
        </a:xfrm>
        <a:prstGeom prst="rect">
          <a:avLst/>
        </a:prstGeom>
      </xdr:spPr>
    </xdr:pic>
    <xdr:clientData/>
  </xdr:twoCellAnchor>
  <xdr:twoCellAnchor editAs="oneCell">
    <xdr:from>
      <xdr:col>0</xdr:col>
      <xdr:colOff>38101</xdr:colOff>
      <xdr:row>76</xdr:row>
      <xdr:rowOff>19050</xdr:rowOff>
    </xdr:from>
    <xdr:to>
      <xdr:col>11</xdr:col>
      <xdr:colOff>353037</xdr:colOff>
      <xdr:row>107</xdr:row>
      <xdr:rowOff>116221</xdr:rowOff>
    </xdr:to>
    <xdr:pic>
      <xdr:nvPicPr>
        <xdr:cNvPr id="4" name="图片 3">
          <a:extLst>
            <a:ext uri="{FF2B5EF4-FFF2-40B4-BE49-F238E27FC236}">
              <a16:creationId xmlns:a16="http://schemas.microsoft.com/office/drawing/2014/main" id="{DF196D8E-0313-4C48-BD62-0A9DB6004CFA}"/>
            </a:ext>
          </a:extLst>
        </xdr:cNvPr>
        <xdr:cNvPicPr>
          <a:picLocks noChangeAspect="1"/>
        </xdr:cNvPicPr>
      </xdr:nvPicPr>
      <xdr:blipFill>
        <a:blip xmlns:r="http://schemas.openxmlformats.org/officeDocument/2006/relationships" r:embed="rId3"/>
        <a:stretch>
          <a:fillRect/>
        </a:stretch>
      </xdr:blipFill>
      <xdr:spPr>
        <a:xfrm>
          <a:off x="38101" y="13531850"/>
          <a:ext cx="7020536" cy="5608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53561</xdr:colOff>
      <xdr:row>32</xdr:row>
      <xdr:rowOff>160643</xdr:rowOff>
    </xdr:to>
    <xdr:pic>
      <xdr:nvPicPr>
        <xdr:cNvPr id="2" name="图片 1">
          <a:extLst>
            <a:ext uri="{FF2B5EF4-FFF2-40B4-BE49-F238E27FC236}">
              <a16:creationId xmlns:a16="http://schemas.microsoft.com/office/drawing/2014/main" id="{133C4A53-FB24-47DA-96AF-1F42766EB191}"/>
            </a:ext>
          </a:extLst>
        </xdr:cNvPr>
        <xdr:cNvPicPr>
          <a:picLocks noChangeAspect="1"/>
        </xdr:cNvPicPr>
      </xdr:nvPicPr>
      <xdr:blipFill>
        <a:blip xmlns:r="http://schemas.openxmlformats.org/officeDocument/2006/relationships" r:embed="rId1"/>
        <a:stretch>
          <a:fillRect/>
        </a:stretch>
      </xdr:blipFill>
      <xdr:spPr>
        <a:xfrm>
          <a:off x="0" y="0"/>
          <a:ext cx="8587961" cy="58502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53271</xdr:colOff>
      <xdr:row>34</xdr:row>
      <xdr:rowOff>71745</xdr:rowOff>
    </xdr:to>
    <xdr:pic>
      <xdr:nvPicPr>
        <xdr:cNvPr id="2" name="图片 1">
          <a:extLst>
            <a:ext uri="{FF2B5EF4-FFF2-40B4-BE49-F238E27FC236}">
              <a16:creationId xmlns:a16="http://schemas.microsoft.com/office/drawing/2014/main" id="{994E466D-56CA-8A6B-0A5B-90E6DEBDC246}"/>
            </a:ext>
          </a:extLst>
        </xdr:cNvPr>
        <xdr:cNvPicPr>
          <a:picLocks noChangeAspect="1"/>
        </xdr:cNvPicPr>
      </xdr:nvPicPr>
      <xdr:blipFill>
        <a:blip xmlns:r="http://schemas.openxmlformats.org/officeDocument/2006/relationships" r:embed="rId1"/>
        <a:stretch>
          <a:fillRect/>
        </a:stretch>
      </xdr:blipFill>
      <xdr:spPr>
        <a:xfrm>
          <a:off x="0" y="0"/>
          <a:ext cx="12245271" cy="6116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19996;&#21326;&#38376;&#22823;&#34903;&#21830;&#19994;-&#21556;&#29756;\&#19996;&#21326;&#38376;&#22823;&#34903;56&#21495;1-2&#23618;&#21830;&#19994;&#27979;&#31639;&#34920;.xlsx" TargetMode="External"/><Relationship Id="rId1" Type="http://schemas.openxmlformats.org/officeDocument/2006/relationships/externalLinkPath" Target="/Users/a/Desktop/&#19996;&#21326;&#38376;&#22823;&#34903;&#21830;&#19994;-&#21556;&#29756;/&#19996;&#21326;&#38376;&#22823;&#34903;56&#21495;1-2&#23618;&#21830;&#19994;&#27979;&#31639;&#3492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esktop\2025-1-E000369-&#19996;&#21326;&#38376;&#22823;&#34903;&#21830;&#19994;-&#21556;&#29756;\2.&#19996;&#21326;&#38376;&#22823;&#34903;56&#21495;1-2&#23618;&#21830;&#19994;&#27979;&#31639;&#34920;.xlsx" TargetMode="External"/><Relationship Id="rId1" Type="http://schemas.openxmlformats.org/officeDocument/2006/relationships/externalLinkPath" Target="2.&#19996;&#21326;&#38376;&#22823;&#34903;56&#21495;1-2&#23618;&#21830;&#19994;&#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售价"/>
      <sheetName val="租金"/>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3">
          <cell r="C93">
            <v>100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售价"/>
      <sheetName val="租金"/>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636.54999999999995</v>
          </cell>
          <cell r="C118">
            <v>220.05</v>
          </cell>
          <cell r="H118">
            <v>8048</v>
          </cell>
          <cell r="I118">
            <v>126433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估价对象为北京市房地产，为所有。根据《国有土地使用证》[]，估价对象（分摊）出让国有建设用地使用权面积为20.48平方米，建筑面积为59.23平方米。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估价对象为北京市房地产,属开发建设的商业项目，该项目尚在开发建设中。根据《国有土地使用证》[]，估价对象（分摊）出让国有建设用地使用权面积为20.48平方米，规划建筑面积为59.23平方米。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2025年8月27日</v>
      </c>
    </row>
    <row r="13" spans="1:2">
      <c r="A13" s="1119" t="s">
        <v>529</v>
      </c>
      <c r="B13" s="1120" t="str">
        <f>'预评函-1'!A18</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937</v>
      </c>
    </row>
    <row r="21" spans="1:2">
      <c r="A21" s="1119" t="s">
        <v>537</v>
      </c>
      <c r="B21" s="1120">
        <f ca="1">'预评函-2'!D7</f>
        <v>158159</v>
      </c>
    </row>
    <row r="22" spans="1:2">
      <c r="A22" s="1119" t="s">
        <v>538</v>
      </c>
      <c r="B22" s="1120" t="str">
        <f ca="1">'预评函-2'!D6</f>
        <v>玖佰叁拾柒万元整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937</v>
      </c>
    </row>
    <row r="31" spans="1:2">
      <c r="A31" s="1119" t="s">
        <v>576</v>
      </c>
      <c r="B31" s="1120">
        <f ca="1">'预评函-2'!D15</f>
        <v>158159</v>
      </c>
    </row>
    <row r="32" spans="1:2">
      <c r="A32" s="1119" t="s">
        <v>543</v>
      </c>
      <c r="B32" s="1120" t="str">
        <f ca="1">'预评函-2'!D14</f>
        <v>玖佰叁拾柒万元整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59.23</v>
      </c>
    </row>
    <row r="44" spans="1:2" ht="30">
      <c r="A44" s="1119" t="s">
        <v>575</v>
      </c>
      <c r="B44" s="1120" t="str">
        <f>'预评函-3'!C2</f>
        <v>(分摊)土地面积</v>
      </c>
    </row>
    <row r="45" spans="1:2">
      <c r="A45" s="1119" t="s">
        <v>547</v>
      </c>
      <c r="B45" s="1120">
        <f>'预评函-3'!C4</f>
        <v>20.48</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0" t="s">
        <v>2580</v>
      </c>
      <c r="J2" s="3220"/>
      <c r="K2" s="3220"/>
      <c r="L2" s="3220"/>
      <c r="M2" s="3220"/>
      <c r="N2" s="3220"/>
      <c r="O2" s="3220"/>
      <c r="P2" s="3220"/>
      <c r="Q2" s="3220"/>
      <c r="R2" s="3220"/>
    </row>
    <row r="3" spans="1:18">
      <c r="A3" s="2762" t="s">
        <v>2501</v>
      </c>
      <c r="B3" s="2763">
        <f>项目基本情况!D3</f>
        <v>45896</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1.31</v>
      </c>
      <c r="D5" s="2767">
        <f>IF(ISERROR(ROUND(POWER(1+E5,A5-C5)*(POWER(1+E5,C5)-1)/(POWER(1+E5,A5)-1),3)),0,ROUND(POWER(1+E5,A5-C5)*(POWER(1+E5,C5)-1)/(POWER(1+E5,A5)-1),4))</f>
        <v>6.3299999999999995E-2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11.32</v>
      </c>
      <c r="D6" s="2767">
        <f>IF(ISERROR(ROUND(POWER(1+E6,A6-C6)*(POWER(1+E6,C6)-1)/(POWER(1+E6,A6)-1),3)),0,ROUND(POWER(1+E6,A6-C6)*(POWER(1+E6,C6)-1)/(POWER(1+E6,A6)-1),4))</f>
        <v>0.41720000000000002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31.33</v>
      </c>
      <c r="D7" s="2767">
        <f>IF(ISERROR(ROUND(POWER(1+E7,A7-C7)*(POWER(1+E7,C7)-1)/(POWER(1+E7,A7)-1),3)),0,ROUND(POWER(1+E7,A7-C7)*(POWER(1+E7,C7)-1)/(POWER(1+E7,A7)-1),4))</f>
        <v>0.75590000000000002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3386</v>
      </c>
    </row>
    <row r="50" spans="1:4">
      <c r="A50" s="3144" t="s">
        <v>3387</v>
      </c>
      <c r="B50" s="3144" t="s">
        <v>3388</v>
      </c>
      <c r="C50" s="3144" t="s">
        <v>3389</v>
      </c>
      <c r="D50" s="3144" t="s">
        <v>3390</v>
      </c>
    </row>
    <row r="51" spans="1:4">
      <c r="A51" s="3144" t="s">
        <v>3391</v>
      </c>
      <c r="B51" s="2764">
        <f>B52+B53</f>
        <v>15000</v>
      </c>
      <c r="C51" s="3145">
        <f>D51/B51</f>
        <v>2666.6666666666665</v>
      </c>
      <c r="D51" s="2764">
        <f>D52+D53</f>
        <v>40000000</v>
      </c>
    </row>
    <row r="52" spans="1:4">
      <c r="A52" s="3146" t="s">
        <v>3392</v>
      </c>
      <c r="B52" s="3147">
        <v>10000</v>
      </c>
      <c r="C52" s="3147">
        <v>1500</v>
      </c>
      <c r="D52" s="3148">
        <f>C52*B52</f>
        <v>15000000</v>
      </c>
    </row>
    <row r="53" spans="1:4">
      <c r="A53" s="3146" t="s">
        <v>3393</v>
      </c>
      <c r="B53" s="3147">
        <v>5000</v>
      </c>
      <c r="C53" s="3147">
        <v>5000</v>
      </c>
      <c r="D53" s="3148">
        <f>C53*B53</f>
        <v>25000000</v>
      </c>
    </row>
    <row r="54" spans="1:4">
      <c r="A54" s="3144" t="s">
        <v>3394</v>
      </c>
      <c r="B54" s="2764">
        <f>B51</f>
        <v>15000</v>
      </c>
      <c r="C54" s="2770">
        <v>700</v>
      </c>
      <c r="D54" s="2764">
        <f t="shared" ref="D54:D55" si="5">C54*B54</f>
        <v>10500000</v>
      </c>
    </row>
    <row r="55" spans="1:4">
      <c r="A55" s="3144" t="s">
        <v>3395</v>
      </c>
      <c r="B55" s="2764">
        <f>B51</f>
        <v>15000</v>
      </c>
      <c r="C55" s="2770">
        <v>1500</v>
      </c>
      <c r="D55" s="2764">
        <f t="shared" si="5"/>
        <v>22500000</v>
      </c>
    </row>
    <row r="56" spans="1:4">
      <c r="A56" s="3144" t="s">
        <v>3396</v>
      </c>
      <c r="B56" s="2764">
        <f>B51</f>
        <v>15000</v>
      </c>
      <c r="C56" s="3149">
        <f>C51+C54+C55</f>
        <v>4866.6666666666661</v>
      </c>
      <c r="D56" s="2764">
        <f>D51+D54+D55</f>
        <v>73000000</v>
      </c>
    </row>
    <row r="58" spans="1:4">
      <c r="A58" s="3144" t="s">
        <v>3397</v>
      </c>
      <c r="B58" s="3150">
        <v>0.05</v>
      </c>
      <c r="C58" s="2764">
        <f>C56*(1+B58)</f>
        <v>5110</v>
      </c>
      <c r="D58" s="2764">
        <f>D56*B58</f>
        <v>3650000</v>
      </c>
    </row>
    <row r="60" spans="1:4">
      <c r="A60" s="3144" t="s">
        <v>3398</v>
      </c>
      <c r="B60" s="2770">
        <v>3500</v>
      </c>
      <c r="C60" s="2770">
        <f>C53</f>
        <v>5000</v>
      </c>
      <c r="D60" s="2764">
        <f>C60*B60</f>
        <v>17500000</v>
      </c>
    </row>
    <row r="62" spans="1:4">
      <c r="A62" s="3144" t="s">
        <v>3399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9" sqref="C19"/>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4"/>
      <c r="C3" s="2185" t="s">
        <v>2171</v>
      </c>
      <c r="D3" s="2184">
        <v>45896</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ht="13">
      <c r="A7" s="2193" t="s">
        <v>2175</v>
      </c>
      <c r="B7" s="2197"/>
      <c r="C7" s="2195"/>
      <c r="D7" s="2196"/>
      <c r="E7" s="2440"/>
      <c r="F7" s="2441"/>
      <c r="G7" s="2441"/>
      <c r="H7" s="2441"/>
      <c r="I7" s="2441"/>
      <c r="J7" s="2244"/>
      <c r="K7" s="2401"/>
      <c r="L7" s="2398"/>
      <c r="M7" s="2398"/>
      <c r="N7" s="2244"/>
      <c r="O7" s="1670"/>
      <c r="P7" s="2244"/>
      <c r="Q7" s="2244"/>
      <c r="R7" s="2244"/>
    </row>
    <row r="8" spans="1:30" ht="13">
      <c r="A8" s="2198" t="s">
        <v>2176</v>
      </c>
      <c r="B8" s="2199" t="s">
        <v>3418</v>
      </c>
      <c r="C8" s="2200"/>
      <c r="D8" s="3231" t="s">
        <v>2177</v>
      </c>
      <c r="E8" s="2201" t="s">
        <v>3419</v>
      </c>
      <c r="F8" s="2202"/>
      <c r="G8" s="2441"/>
      <c r="H8" s="2441"/>
      <c r="I8" s="2441"/>
      <c r="J8" s="2244"/>
      <c r="K8" s="2399"/>
      <c r="L8" s="2398"/>
      <c r="M8" s="2398"/>
      <c r="N8" s="2244"/>
      <c r="O8" s="1670"/>
      <c r="P8" s="2244"/>
      <c r="Q8" s="2244"/>
      <c r="R8" s="2244"/>
    </row>
    <row r="9" spans="1:30" ht="13.5" thickBot="1">
      <c r="A9" s="2203" t="s">
        <v>2178</v>
      </c>
      <c r="B9" s="2204" t="s">
        <v>3419</v>
      </c>
      <c r="C9" s="2205"/>
      <c r="D9" s="3232"/>
      <c r="E9" s="2204"/>
      <c r="F9" s="2206"/>
      <c r="G9" s="2442"/>
      <c r="H9" s="2442"/>
      <c r="I9" s="2442"/>
      <c r="J9" s="2244"/>
      <c r="K9" s="2401"/>
      <c r="L9" s="2398"/>
      <c r="M9" s="2398"/>
      <c r="N9" s="2244"/>
      <c r="O9" s="1670"/>
      <c r="P9" s="2244"/>
      <c r="Q9" s="2244"/>
      <c r="R9" s="2244"/>
    </row>
    <row r="10" spans="1:30" ht="13.5" thickTop="1">
      <c r="A10" s="2207" t="s">
        <v>2179</v>
      </c>
      <c r="B10" s="2208" t="s">
        <v>3420</v>
      </c>
      <c r="C10" s="2209"/>
      <c r="D10" s="2192"/>
      <c r="E10" s="2210" t="s">
        <v>2180</v>
      </c>
      <c r="F10" s="2443"/>
      <c r="G10" s="2444"/>
      <c r="H10" s="2445"/>
      <c r="I10" s="2446"/>
      <c r="J10" s="2244"/>
      <c r="K10" s="2401"/>
      <c r="L10" s="2398"/>
      <c r="M10" s="2398"/>
      <c r="N10" s="2244"/>
      <c r="O10" s="1670"/>
      <c r="P10" s="2244"/>
      <c r="Q10" s="2244"/>
      <c r="R10" s="2244"/>
    </row>
    <row r="11" spans="1:30" ht="13">
      <c r="A11" s="2211" t="s">
        <v>2181</v>
      </c>
      <c r="B11" s="2212" t="s">
        <v>3421</v>
      </c>
      <c r="C11" s="2213"/>
      <c r="D11" s="2214"/>
      <c r="E11" s="2181"/>
      <c r="F11" s="2181"/>
      <c r="G11" s="2181"/>
      <c r="H11" s="2181"/>
      <c r="I11" s="2181"/>
      <c r="J11" s="2801"/>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ht="13">
      <c r="A13" s="3121" t="s">
        <v>3332</v>
      </c>
      <c r="B13" s="2217" t="s">
        <v>2190</v>
      </c>
      <c r="C13" s="803"/>
      <c r="D13" s="803">
        <v>56247</v>
      </c>
      <c r="E13" s="803"/>
      <c r="F13" s="803"/>
      <c r="G13" s="803"/>
      <c r="H13" s="803"/>
      <c r="I13" s="803"/>
      <c r="J13" s="2802"/>
      <c r="K13" s="2398"/>
      <c r="L13" s="2398"/>
      <c r="M13" s="2244"/>
      <c r="N13" s="1670"/>
      <c r="O13" s="2244"/>
      <c r="P13" s="2244"/>
      <c r="Q13" s="2244"/>
      <c r="AD13" s="1618"/>
    </row>
    <row r="14" spans="1:30" ht="13">
      <c r="A14" s="1018"/>
      <c r="B14" s="2217" t="s">
        <v>2191</v>
      </c>
      <c r="C14" s="2218"/>
      <c r="D14" s="2218">
        <v>40</v>
      </c>
      <c r="E14" s="2218"/>
      <c r="F14" s="2218"/>
      <c r="G14" s="2218"/>
      <c r="H14" s="2218"/>
      <c r="I14" s="2218"/>
      <c r="J14" s="2803"/>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28.35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ht="13">
      <c r="A16" s="2210" t="s">
        <v>2193</v>
      </c>
      <c r="B16" s="3238"/>
      <c r="C16" s="3239"/>
      <c r="D16" s="3240"/>
      <c r="E16" s="2221" t="s">
        <v>2194</v>
      </c>
      <c r="F16" s="3241"/>
      <c r="G16" s="3242"/>
      <c r="H16" s="3242"/>
      <c r="I16" s="3243"/>
      <c r="J16" s="2244"/>
      <c r="K16" s="2402"/>
      <c r="L16" s="1670"/>
      <c r="M16" s="1670"/>
      <c r="N16" s="2244"/>
      <c r="O16" s="1670"/>
      <c r="P16" s="2244"/>
      <c r="Q16" s="2244"/>
      <c r="R16" s="2244"/>
    </row>
    <row r="17" spans="1:28" ht="13">
      <c r="A17" s="305" t="s">
        <v>2195</v>
      </c>
      <c r="B17" s="294" t="s">
        <v>2196</v>
      </c>
      <c r="C17" s="8">
        <f>'数据-汇总表'!E3</f>
        <v>59.23</v>
      </c>
      <c r="D17" s="1256" t="s">
        <v>2197</v>
      </c>
      <c r="E17" s="3244" t="s">
        <v>2198</v>
      </c>
      <c r="F17" s="3245"/>
      <c r="G17" s="3245"/>
      <c r="H17" s="3245"/>
      <c r="I17" s="3246"/>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20.48</v>
      </c>
      <c r="D18" s="1029" t="s">
        <v>2201</v>
      </c>
      <c r="E18" s="3247" t="s">
        <v>2202</v>
      </c>
      <c r="F18" s="3248"/>
      <c r="G18" s="3248"/>
      <c r="H18" s="3248"/>
      <c r="I18" s="3249"/>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3435</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4" t="s">
        <v>2206</v>
      </c>
      <c r="C20" s="3235"/>
      <c r="D20" s="3236" t="s">
        <v>2207</v>
      </c>
      <c r="E20" s="3237"/>
      <c r="F20" s="2429" t="s">
        <v>1056</v>
      </c>
      <c r="G20" s="2441"/>
      <c r="H20" s="2441"/>
      <c r="I20" s="2441"/>
      <c r="J20" s="2244"/>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2"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ht="13">
      <c r="A36" s="2182"/>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t="s">
        <v>144</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3434</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ht="13">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v>20.48</v>
      </c>
      <c r="B3" s="11">
        <f>IF(C3="否",G5-AT5,G5)</f>
        <v>59.23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59.23</v>
      </c>
      <c r="H5" s="13">
        <f t="shared" ref="H5:AT5" si="0">SUM(H13:H656)</f>
        <v>59.23</v>
      </c>
      <c r="I5" s="13">
        <f t="shared" si="0"/>
        <v>59.23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59.23</v>
      </c>
      <c r="BA5" s="15">
        <f t="shared" si="1"/>
        <v>59.23</v>
      </c>
      <c r="BB5" s="15">
        <f t="shared" si="1"/>
        <v>59.23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20.48</v>
      </c>
      <c r="F6" s="13" t="s">
        <v>0</v>
      </c>
      <c r="G6" s="13" t="s">
        <v>1</v>
      </c>
      <c r="H6" s="17">
        <f>SUMIF(I$12:AB$12,"总值",I6:AB6)</f>
        <v>20.48</v>
      </c>
      <c r="I6" s="13">
        <f t="shared" ref="I6:AB6" si="2">ROUND($A$3*I5/$B$3,2)</f>
        <v>20.48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20.48</v>
      </c>
      <c r="AZ6" s="13" t="s">
        <v>2</v>
      </c>
      <c r="BA6" s="13">
        <f>ROUND($AY$6*BA5/$AZ$5,2)</f>
        <v>20.48</v>
      </c>
      <c r="BB6" s="13">
        <f>ROUND($AY$6*BB5/$AZ$5,2)</f>
        <v>20.48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3426</v>
      </c>
      <c r="D13" s="1513" t="s">
        <v>3422</v>
      </c>
      <c r="E13" s="13">
        <f>IF($C$3="是",ROUND($A$3*G13/$B$3,2),ROUND($A$3*(G13-AT13)/$B$3,2))</f>
        <v>20.48</v>
      </c>
      <c r="F13" s="29"/>
      <c r="G13" s="30">
        <f>H13+AC13+AT13</f>
        <v>59.23</v>
      </c>
      <c r="H13" s="17">
        <f>SUMIF(I$12:AB$12,"总值",I13:AB13)</f>
        <v>59.23</v>
      </c>
      <c r="I13" s="1514">
        <v>59.23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58号1层</v>
      </c>
      <c r="AY13" s="1260">
        <f>ROUND($AY$6*AZ13/$AZ$5,2)</f>
        <v>20.48</v>
      </c>
      <c r="AZ13" s="13">
        <f>BA13+BL13</f>
        <v>59.23</v>
      </c>
      <c r="BA13" s="13">
        <f>SUM(BB13:BK13)</f>
        <v>59.23</v>
      </c>
      <c r="BB13" s="13">
        <f>IF($D13="是",I13-J13,0)</f>
        <v>59.23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8"/>
      <c r="G2" s="2431"/>
      <c r="H2" s="2432"/>
      <c r="I2" s="2145" t="s">
        <v>1132</v>
      </c>
      <c r="J2" s="2438"/>
      <c r="K2" s="2438"/>
      <c r="L2" s="2438"/>
      <c r="M2" s="2438"/>
      <c r="N2" s="2439"/>
      <c r="O2" s="2438"/>
      <c r="P2" s="2438"/>
    </row>
    <row r="3" spans="1:16" ht="14.5" thickBot="1">
      <c r="A3" s="3260" t="s">
        <v>1105</v>
      </c>
      <c r="B3" s="3260"/>
      <c r="C3" s="3260"/>
      <c r="D3" s="41">
        <f>'数据-基础表'!AY6</f>
        <v>20.48</v>
      </c>
      <c r="E3" s="41">
        <f>'数据-基础表'!AZ5</f>
        <v>59.23</v>
      </c>
      <c r="F3" s="2438"/>
      <c r="G3" s="42"/>
      <c r="H3" s="43" t="s">
        <v>1106</v>
      </c>
      <c r="I3" s="802">
        <f>ROUND('数据-基础表'!B3/'数据-基础表'!A3,2)</f>
        <v>2.89</v>
      </c>
      <c r="J3" s="2438"/>
      <c r="K3" s="2438"/>
      <c r="L3" s="2438"/>
      <c r="M3" s="2438"/>
      <c r="N3" s="2439"/>
      <c r="O3" s="2438"/>
      <c r="P3" s="2438"/>
    </row>
    <row r="4" spans="1:16">
      <c r="A4" s="3261"/>
      <c r="B4" s="3262"/>
      <c r="C4" s="3263"/>
      <c r="D4" s="1524" t="s">
        <v>1107</v>
      </c>
      <c r="E4" s="1525" t="s">
        <v>1108</v>
      </c>
      <c r="F4" s="2438"/>
      <c r="G4" s="2433" t="s">
        <v>1133</v>
      </c>
      <c r="H4" s="43" t="s">
        <v>1113</v>
      </c>
      <c r="I4" s="802">
        <f>ROUND(SUMIF('数据-基础表'!I9:AS9,"地上",'数据-基础表'!I5:AS5)/'数据-基础表'!A3,2)</f>
        <v>2.89</v>
      </c>
      <c r="J4" s="2438"/>
      <c r="K4" s="2438"/>
      <c r="L4" s="2438"/>
      <c r="M4" s="2438"/>
      <c r="N4" s="2439"/>
      <c r="O4" s="2438"/>
      <c r="P4" s="2438"/>
    </row>
    <row r="5" spans="1:16">
      <c r="A5" s="42" t="s">
        <v>1109</v>
      </c>
      <c r="B5" s="3264" t="s">
        <v>1110</v>
      </c>
      <c r="C5" s="3264"/>
      <c r="D5" s="43">
        <f>ROUND($D$3*E5/$E$3,2)</f>
        <v>0</v>
      </c>
      <c r="E5" s="44">
        <f>SUMIF('数据-基础表'!$11:$11,"住宅",'数据-基础表'!$5:$5)</f>
        <v>0</v>
      </c>
      <c r="F5" s="2438"/>
      <c r="G5" s="42"/>
      <c r="H5" s="43" t="s">
        <v>1106</v>
      </c>
      <c r="I5" s="802">
        <f>ROUND(E31/D31,2)</f>
        <v>2.89</v>
      </c>
      <c r="J5" s="2438"/>
      <c r="K5" s="2438"/>
      <c r="L5" s="2438"/>
      <c r="M5" s="2438"/>
      <c r="N5" s="2438"/>
      <c r="O5" s="2438"/>
      <c r="P5" s="2438"/>
    </row>
    <row r="6" spans="1:16" ht="14.5" thickBot="1">
      <c r="A6" s="1527"/>
      <c r="B6" s="3264" t="s">
        <v>1111</v>
      </c>
      <c r="C6" s="3264"/>
      <c r="D6" s="43">
        <f>ROUND($D$3*E6/$E$3,2)</f>
        <v>20.48</v>
      </c>
      <c r="E6" s="44">
        <f>E3-E5</f>
        <v>59.23</v>
      </c>
      <c r="F6" s="2438"/>
      <c r="G6" s="1529" t="s">
        <v>1112</v>
      </c>
      <c r="H6" s="45" t="s">
        <v>1113</v>
      </c>
      <c r="I6" s="2434">
        <f>ROUND(F31/D31,2)</f>
        <v>2.89</v>
      </c>
      <c r="J6" s="2438"/>
      <c r="K6" s="2438"/>
      <c r="L6" s="2438"/>
      <c r="M6" s="2438"/>
      <c r="N6" s="2438"/>
      <c r="O6" s="2438"/>
      <c r="P6" s="2438"/>
    </row>
    <row r="7" spans="1:16" ht="14.5" thickBot="1">
      <c r="A7" s="3256"/>
      <c r="B7" s="3257"/>
      <c r="C7" s="3258"/>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20.48</v>
      </c>
      <c r="E8" s="46">
        <f>SUMIF('数据-基础表'!BB10:BK10,"地上",'数据-基础表'!BB5:BK5)</f>
        <v>59.23</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20.48</v>
      </c>
      <c r="E16" s="48">
        <f>SUM(E8:E15)</f>
        <v>59.23</v>
      </c>
      <c r="F16" s="2438"/>
      <c r="G16" s="2438"/>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3428</v>
      </c>
      <c r="D19" s="43">
        <f>ROUND($D$3*E19/$E$3,2)</f>
        <v>20.48</v>
      </c>
      <c r="E19" s="51">
        <f t="shared" ref="E19:E26" si="1">SUM(F19:G19)</f>
        <v>59.23</v>
      </c>
      <c r="F19" s="2557">
        <f>'数据-基础表'!G13</f>
        <v>59.23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20.48</v>
      </c>
      <c r="S19" s="51">
        <f t="shared" si="5"/>
        <v>59.23</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20.48</v>
      </c>
      <c r="E27" s="1073">
        <f>IF(SUM(E19:E26)='数据-基础表'!BA5,SUM(E19:E26),IF(F27="地上面积有误","面积有误","地下面积有误"))</f>
        <v>59.23</v>
      </c>
      <c r="F27" s="1072">
        <f>IF(SUM(F19:F26)=E8,SUM(F19:F26),"地上面积有误")</f>
        <v>59.23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20.48</v>
      </c>
      <c r="S27" s="43">
        <f>IF(SUM(S19:S26)=$E$3,SUM(S19:S26),SUM(S19:S26)&amp;"误差"&amp;ROUND(SUM(S19:S26)-E3,2))</f>
        <v>59.23</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20.48</v>
      </c>
      <c r="E31" s="643">
        <f>E27+E30</f>
        <v>59.23</v>
      </c>
      <c r="F31" s="644">
        <f>F27+F30</f>
        <v>59.23</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20" sqref="U19:W20"/>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58号1层</v>
      </c>
      <c r="B6" s="1587" t="str">
        <f>IF(A6=0,"","经营性")</f>
        <v>经营性</v>
      </c>
      <c r="C6" s="1588" t="s">
        <v>673</v>
      </c>
      <c r="D6" s="805">
        <f>SUMIF(项目基本情况!C$12:I$12,C6,项目基本情况!C$14:I$14)</f>
        <v>40</v>
      </c>
      <c r="E6" s="804">
        <f>IF(B6="","",SUMIF(项目基本情况!C$12:I$12,C6,项目基本情况!C$13:I$13))</f>
        <v>56247</v>
      </c>
      <c r="F6" s="61">
        <f>SUMIF(项目基本情况!C$12:I$12,C6,项目基本情况!C$15:I$15)</f>
        <v>28.35</v>
      </c>
      <c r="G6" s="62">
        <f>IF(ISERROR(ROUND(POWER(1+H6,D6-F6)*(POWER(1+H6,F6)-1)/(POWER(1+H6,D6)-1),3)),0,ROUND(POWER(1+H6,D6-F6)*(POWER(1+H6,F6)-1)/(POWER(1+H6,D6)-1),3))</f>
        <v>0.873</v>
      </c>
      <c r="H6" s="691">
        <v>0.05</v>
      </c>
      <c r="I6" s="691">
        <v>5.5E-2</v>
      </c>
      <c r="J6" s="63">
        <v>7.0000000000000007E-2</v>
      </c>
      <c r="K6" s="970">
        <f>SUMIF('数据-汇总表'!C$19:C$33,A6,'数据-汇总表'!E$19:E$33)</f>
        <v>59.23</v>
      </c>
      <c r="L6" s="692">
        <v>2500</v>
      </c>
      <c r="M6" s="64">
        <f t="shared" ref="M6:M14" si="0">ROUND(K6*L6/10000,0)</f>
        <v>15</v>
      </c>
      <c r="N6" s="690">
        <f>N19</f>
        <v>0.82</v>
      </c>
      <c r="O6" s="64" t="str">
        <f>IF($N$5="成新度","——",ROUND(M6*N6,0))</f>
        <v>——</v>
      </c>
      <c r="P6" s="65" t="str">
        <f>IF($N$5="成新度","——",M6-O6)</f>
        <v>——</v>
      </c>
      <c r="Q6" s="693">
        <v>0.1</v>
      </c>
      <c r="R6" s="66">
        <f ca="1">SUMIF('数据-汇总表'!C$19:C$33,A6,'数据-汇总表'!R$19:R$27)</f>
        <v>20.48</v>
      </c>
      <c r="S6" s="49">
        <f>IF('数据-汇总表'!$I$17="按面积比例",SUMIF('数据-汇总表'!C$19:C$33,A6,'数据-汇总表'!K$19:K$33),SUMIF('数据-汇总表'!C$19:C$33,A6,'数据-汇总表'!N$19:N$33))</f>
        <v>0</v>
      </c>
      <c r="T6" s="1092">
        <f>ROUND($L$14*S6/10000,0)</f>
        <v>0</v>
      </c>
      <c r="U6" s="3126">
        <f>V18</f>
        <v>25</v>
      </c>
      <c r="V6" s="67">
        <v>0.02</v>
      </c>
      <c r="W6" s="67">
        <v>0.1</v>
      </c>
      <c r="X6" s="979"/>
      <c r="Y6" s="68">
        <f>N6</f>
        <v>0.82</v>
      </c>
      <c r="Z6" s="69"/>
      <c r="AA6" s="63"/>
      <c r="AB6" s="63"/>
      <c r="AC6" s="979"/>
      <c r="AD6" s="70"/>
      <c r="AE6" s="980">
        <f ca="1">IF(AN6="",0,SUMIF(INDIRECT("'"&amp;AN6&amp;"'"&amp;"!E:E"),$AE$5,INDIRECT("'"&amp;AN6&amp;"'"&amp;"!F:F")))</f>
        <v>28.35</v>
      </c>
      <c r="AF6" s="74"/>
      <c r="AG6" s="130">
        <f>IF(AF6="",0,AE6-AF6)</f>
        <v>0</v>
      </c>
      <c r="AH6" s="71"/>
      <c r="AI6" s="73">
        <v>365</v>
      </c>
      <c r="AJ6" s="74"/>
      <c r="AK6" s="75">
        <v>5.0000000000000001E-3</v>
      </c>
      <c r="AL6" s="76">
        <v>1E-3</v>
      </c>
      <c r="AM6" s="77">
        <v>5.0000000000000001E-3</v>
      </c>
      <c r="AN6" s="1589" t="s">
        <v>3433</v>
      </c>
      <c r="AO6" s="50">
        <f ca="1">SUMIF(INDIRECT("'"&amp;AN6&amp;"'"&amp;"!A:A"),"总价",INDIRECT("'"&amp;AN6&amp;"'"&amp;"!B:B"))</f>
        <v>706.96299999999997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0.873</v>
      </c>
      <c r="H16" s="84">
        <f>ROUND(SUMPRODUCT(H6:H13,K6:K13)/SUMPRODUCT((H6:H13&gt;0)*(K6:K13)),3)</f>
        <v>0.05</v>
      </c>
      <c r="I16" s="85"/>
      <c r="J16" s="85"/>
      <c r="K16" s="86">
        <f>SUM(K6:K15)</f>
        <v>59.23</v>
      </c>
      <c r="L16" s="87">
        <f>ROUND(M16*10000/SUM(K6:K14),0)</f>
        <v>2533</v>
      </c>
      <c r="M16" s="87">
        <f>SUM(M6:M14)</f>
        <v>15</v>
      </c>
      <c r="N16" s="88">
        <f>ROUND(SUMPRODUCT(M6:M14,N6:N14)/M16,3)</f>
        <v>0.82</v>
      </c>
      <c r="O16" s="87">
        <f>SUM(O6:O14)</f>
        <v>0</v>
      </c>
      <c r="P16" s="87">
        <f>SUM(P6:P14)</f>
        <v>0</v>
      </c>
      <c r="Q16" s="89">
        <f>ROUND(SUMPRODUCT(Q6:Q13,K6:K13)/SUMPRODUCT((Q6:Q13&gt;0)*(K6:K13)),2)</f>
        <v>0.1</v>
      </c>
      <c r="R16" s="974">
        <f ca="1">SUM(R6:R13)</f>
        <v>20.48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8"/>
      <c r="D18" s="2451"/>
      <c r="E18" s="2438"/>
      <c r="F18" s="2438"/>
      <c r="G18" s="2438"/>
      <c r="H18" s="2438"/>
      <c r="I18" s="2438"/>
      <c r="J18" s="2438"/>
      <c r="K18" s="2449"/>
      <c r="L18" s="2449"/>
      <c r="M18" s="3169" t="s">
        <v>3430</v>
      </c>
      <c r="N18" s="2448">
        <v>2014</v>
      </c>
      <c r="O18" s="3169" t="s">
        <v>3431</v>
      </c>
      <c r="P18" s="2448"/>
      <c r="Q18" s="2448"/>
      <c r="R18" s="2448"/>
      <c r="S18" s="2448"/>
      <c r="T18" s="2448"/>
      <c r="U18" s="2448" t="s">
        <v>3494</v>
      </c>
      <c r="V18" s="2448">
        <v>25</v>
      </c>
      <c r="W18" s="2448">
        <f>'[2]比较法-商业'!C93</f>
        <v>100</v>
      </c>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8"/>
      <c r="F19" s="2438"/>
      <c r="G19" s="2438"/>
      <c r="H19" s="2438"/>
      <c r="I19" s="2438"/>
      <c r="J19" s="2438"/>
      <c r="K19" s="2449"/>
      <c r="L19" s="2449"/>
      <c r="M19" s="2448"/>
      <c r="N19" s="2448">
        <f>ROUND(1-(1-0)*(2025-N18)/60,2)</f>
        <v>0.82</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3400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3170" t="s">
        <v>3432</v>
      </c>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30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144</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f>C54</f>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E14" sqref="E14"/>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695.78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45896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8985</v>
      </c>
      <c r="C5" s="2299">
        <f ca="1">IF(B5=D14,结果表!H102,ROUND(B5*10000/$B$1,0))</f>
        <v>158159</v>
      </c>
      <c r="D5" s="2299" t="e">
        <f ca="1">ROUND(B5*10000/$B$2,0)</f>
        <v>#DIV/0!</v>
      </c>
      <c r="E5" s="2461" t="s">
        <v>3495</v>
      </c>
      <c r="F5" s="3518" t="s">
        <v>3498</v>
      </c>
      <c r="G5" s="3518" t="s">
        <v>3499</v>
      </c>
      <c r="H5" s="3518" t="s">
        <v>3500</v>
      </c>
      <c r="I5" s="3518" t="s">
        <v>3501</v>
      </c>
      <c r="J5" s="2462"/>
      <c r="K5" s="2462"/>
    </row>
    <row r="6" spans="1:11" ht="16.5">
      <c r="A6" s="2299" t="s">
        <v>656</v>
      </c>
      <c r="B6" s="2299">
        <f ca="1">SUM(G14:G23)</f>
        <v>8985</v>
      </c>
      <c r="C6" s="2299">
        <f ca="1">IF(B6=G14,结果表!H108,ROUND(B6*10000/$B$1,0))</f>
        <v>158159</v>
      </c>
      <c r="D6" s="2299" t="e">
        <f ca="1">ROUND(B6*10000/$B$2,0)</f>
        <v>#DIV/0!</v>
      </c>
      <c r="E6" s="2461" t="s">
        <v>3496</v>
      </c>
      <c r="F6" s="2462">
        <f ca="1">结果表!H118</f>
        <v>937</v>
      </c>
      <c r="G6" s="2462">
        <f ca="1">结果表!I118</f>
        <v>158159</v>
      </c>
      <c r="H6" s="2462">
        <f>结果表!B118</f>
        <v>59.23</v>
      </c>
      <c r="I6" s="2462">
        <f>结果表!C118</f>
        <v>20.48</v>
      </c>
      <c r="J6" s="2462"/>
      <c r="K6" s="2462"/>
    </row>
    <row r="7" spans="1:11" ht="16.5">
      <c r="A7" s="2299" t="s">
        <v>664</v>
      </c>
      <c r="B7" s="2299">
        <f>SUM(H14:H23)</f>
        <v>0</v>
      </c>
      <c r="C7" s="2299" t="str">
        <f>IF(B7=H14,结果表!H110,ROUND(B7*10000/$B$1,0))</f>
        <v>——</v>
      </c>
      <c r="D7" s="2299" t="e">
        <f>ROUND(B7*10000/$B$2,0)</f>
        <v>#DIV/0!</v>
      </c>
      <c r="E7" s="2461" t="s">
        <v>3497</v>
      </c>
      <c r="F7" s="2462">
        <f ca="1">[3]结果表!$H$118</f>
        <v>8048</v>
      </c>
      <c r="G7" s="2462">
        <f ca="1">[3]结果表!$I$118</f>
        <v>126433</v>
      </c>
      <c r="H7" s="2462">
        <f>[3]结果表!$B$118</f>
        <v>636.54999999999995</v>
      </c>
      <c r="I7" s="2462">
        <f>[3]结果表!$C$118</f>
        <v>220.05</v>
      </c>
      <c r="J7" s="2462"/>
      <c r="K7" s="2462"/>
    </row>
    <row r="8" spans="1:11" ht="16.5">
      <c r="A8" s="2299" t="s">
        <v>587</v>
      </c>
      <c r="B8" s="2299">
        <f>SUM(I14:I23)</f>
        <v>0</v>
      </c>
      <c r="C8" s="2299" t="str">
        <f>IF(B8=I14,结果表!H112,ROUND(B8*10000/$B$1,0))</f>
        <v>——</v>
      </c>
      <c r="D8" s="2299" t="e">
        <f>ROUND(B8*10000/$B$2,0)</f>
        <v>#DIV/0!</v>
      </c>
      <c r="E8" s="2461" t="s">
        <v>3502</v>
      </c>
      <c r="F8" s="2462">
        <f ca="1">SUM(F6:F7)</f>
        <v>8985</v>
      </c>
      <c r="G8" s="2462">
        <f ca="1">ROUND(F8*10000/H8,0)</f>
        <v>129136</v>
      </c>
      <c r="H8" s="2462">
        <f>SUM(H6:H7)</f>
        <v>695.78</v>
      </c>
      <c r="I8" s="2462">
        <f>SUM(I6:I7)</f>
        <v>240.53</v>
      </c>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3355</v>
      </c>
      <c r="D10" s="2299" t="s">
        <v>3356</v>
      </c>
      <c r="E10" s="3136"/>
      <c r="F10" s="3140" t="s">
        <v>3357</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H8</f>
        <v>695.78</v>
      </c>
      <c r="C14" s="2305"/>
      <c r="D14" s="2305">
        <f ca="1">F8</f>
        <v>8985</v>
      </c>
      <c r="E14" s="2305">
        <f ca="1">ROUND(D14*10000/B14,0)</f>
        <v>129136</v>
      </c>
      <c r="F14" s="2305" t="e">
        <f ca="1">ROUND(D14*10000/C14,0)</f>
        <v>#DIV/0!</v>
      </c>
      <c r="G14" s="2305">
        <f ca="1">D14</f>
        <v>8985</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6" zoomScale="70" zoomScaleNormal="100" zoomScaleSheetLayoutView="70" zoomScalePageLayoutView="80" workbookViewId="0">
      <selection activeCell="G26" sqref="G2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3427</v>
      </c>
      <c r="D1" s="646"/>
      <c r="E1" s="646"/>
      <c r="F1" s="1621" t="s">
        <v>1263</v>
      </c>
      <c r="G1" s="1453" t="s">
        <v>3424</v>
      </c>
      <c r="H1" s="1621" t="str">
        <f>IF(G1="现房","——","估价对象范围")</f>
        <v>——</v>
      </c>
      <c r="I1" s="1622"/>
    </row>
    <row r="2" spans="1:12" ht="21.75" customHeight="1" thickBot="1">
      <c r="A2" s="3301" t="str">
        <f>项目基本情况!S2</f>
        <v>北京市房地产</v>
      </c>
      <c r="B2" s="3302"/>
      <c r="C2" s="3302"/>
      <c r="D2" s="3302"/>
      <c r="E2" s="3302"/>
      <c r="F2" s="3302"/>
      <c r="G2" s="3302"/>
      <c r="H2" s="3302"/>
      <c r="I2" s="3303"/>
    </row>
    <row r="3" spans="1:12" ht="13">
      <c r="A3" s="3305" t="s">
        <v>1264</v>
      </c>
      <c r="B3" s="3306"/>
      <c r="C3" s="3306"/>
      <c r="D3" s="3306"/>
      <c r="E3" s="3306"/>
      <c r="F3" s="3306"/>
      <c r="G3" s="3306"/>
      <c r="H3" s="3306"/>
      <c r="I3" s="3306"/>
    </row>
    <row r="4" spans="1:12" ht="14">
      <c r="A4" s="1624" t="s">
        <v>1265</v>
      </c>
      <c r="B4" s="1625" t="s">
        <v>1266</v>
      </c>
      <c r="C4" s="1626" t="s">
        <v>3490</v>
      </c>
      <c r="D4" s="1626" t="s">
        <v>3433</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268">
        <v>25</v>
      </c>
      <c r="C5" s="3284"/>
      <c r="D5" s="3304"/>
      <c r="E5" s="123" t="s">
        <v>1269</v>
      </c>
      <c r="F5" s="1627"/>
      <c r="G5" s="1627"/>
      <c r="H5" s="1627"/>
      <c r="I5" s="1281"/>
    </row>
    <row r="6" spans="1:12" ht="13">
      <c r="A6" s="3281"/>
      <c r="B6" s="3268"/>
      <c r="C6" s="3285"/>
      <c r="D6" s="3304"/>
      <c r="E6" s="123" t="s">
        <v>1270</v>
      </c>
      <c r="F6" s="1627"/>
      <c r="G6" s="1627"/>
      <c r="H6" s="1627"/>
      <c r="I6" s="1281"/>
    </row>
    <row r="7" spans="1:12" ht="13">
      <c r="A7" s="3281"/>
      <c r="B7" s="3268"/>
      <c r="C7" s="3286"/>
      <c r="D7" s="3304"/>
      <c r="E7" s="123" t="s">
        <v>1271</v>
      </c>
      <c r="F7" s="1627"/>
      <c r="G7" s="1627"/>
      <c r="H7" s="1627"/>
      <c r="I7" s="1281"/>
    </row>
    <row r="8" spans="1:12" ht="13">
      <c r="A8" s="3281" t="s">
        <v>1272</v>
      </c>
      <c r="B8" s="3268">
        <v>15</v>
      </c>
      <c r="C8" s="3284"/>
      <c r="D8" s="3304"/>
      <c r="E8" s="123" t="s">
        <v>1273</v>
      </c>
      <c r="F8" s="1627"/>
      <c r="G8" s="1627"/>
      <c r="H8" s="1627"/>
      <c r="I8" s="1281"/>
    </row>
    <row r="9" spans="1:12" ht="13">
      <c r="A9" s="3281"/>
      <c r="B9" s="3268"/>
      <c r="C9" s="3286"/>
      <c r="D9" s="3304"/>
      <c r="E9" s="123" t="s">
        <v>1274</v>
      </c>
      <c r="F9" s="1627"/>
      <c r="G9" s="1627"/>
      <c r="H9" s="1627"/>
      <c r="I9" s="1281"/>
    </row>
    <row r="10" spans="1:12" ht="13">
      <c r="A10" s="3281" t="s">
        <v>1275</v>
      </c>
      <c r="B10" s="3268">
        <v>15</v>
      </c>
      <c r="C10" s="3284"/>
      <c r="D10" s="3304"/>
      <c r="E10" s="123" t="s">
        <v>1276</v>
      </c>
      <c r="F10" s="1627"/>
      <c r="G10" s="1627"/>
      <c r="H10" s="1627"/>
      <c r="I10" s="1281"/>
    </row>
    <row r="11" spans="1:12" ht="13">
      <c r="A11" s="3281"/>
      <c r="B11" s="3268"/>
      <c r="C11" s="3286"/>
      <c r="D11" s="3304"/>
      <c r="E11" s="123" t="s">
        <v>1277</v>
      </c>
      <c r="F11" s="1627"/>
      <c r="G11" s="1627"/>
      <c r="H11" s="1627"/>
      <c r="I11" s="1281"/>
    </row>
    <row r="12" spans="1:12" ht="13">
      <c r="A12" s="3281" t="s">
        <v>1278</v>
      </c>
      <c r="B12" s="3268">
        <v>15</v>
      </c>
      <c r="C12" s="3284"/>
      <c r="D12" s="3304"/>
      <c r="E12" s="123" t="s">
        <v>1279</v>
      </c>
      <c r="F12" s="1627"/>
      <c r="G12" s="1627"/>
      <c r="H12" s="1627"/>
      <c r="I12" s="1281"/>
    </row>
    <row r="13" spans="1:12" ht="13">
      <c r="A13" s="3281"/>
      <c r="B13" s="3268"/>
      <c r="C13" s="3286"/>
      <c r="D13" s="3304"/>
      <c r="E13" s="123" t="s">
        <v>1280</v>
      </c>
      <c r="F13" s="1627"/>
      <c r="G13" s="1627"/>
      <c r="H13" s="1627"/>
      <c r="I13" s="1281"/>
    </row>
    <row r="14" spans="1:12" ht="13">
      <c r="A14" s="3281" t="s">
        <v>1281</v>
      </c>
      <c r="B14" s="3268">
        <v>30</v>
      </c>
      <c r="C14" s="3284">
        <v>6</v>
      </c>
      <c r="D14" s="3304">
        <v>4</v>
      </c>
      <c r="E14" s="123" t="s">
        <v>1282</v>
      </c>
      <c r="F14" s="1627"/>
      <c r="G14" s="1627"/>
      <c r="H14" s="1627"/>
      <c r="I14" s="1281"/>
    </row>
    <row r="15" spans="1:12" ht="13">
      <c r="A15" s="3281"/>
      <c r="B15" s="3268"/>
      <c r="C15" s="3285"/>
      <c r="D15" s="3304"/>
      <c r="E15" s="123" t="s">
        <v>1283</v>
      </c>
      <c r="F15" s="1627"/>
      <c r="G15" s="1627"/>
      <c r="H15" s="1627"/>
      <c r="I15" s="1281"/>
    </row>
    <row r="16" spans="1:12" ht="13">
      <c r="A16" s="3281"/>
      <c r="B16" s="3268"/>
      <c r="C16" s="3286"/>
      <c r="D16" s="3304"/>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91" t="s">
        <v>2131</v>
      </c>
      <c r="F18" s="3292"/>
      <c r="G18" s="3292"/>
      <c r="H18" s="3292"/>
      <c r="I18" s="3292"/>
      <c r="K18" s="294" t="s">
        <v>1289</v>
      </c>
      <c r="L18" s="294">
        <f>IF(C1="",'数据-汇总表'!E3,SUMIF(项目类型,C1,'数据-汇总表'!E17:E26)+SUMIF(项目类型,C1,'数据-汇总表'!I17:I26))</f>
        <v>59.23</v>
      </c>
      <c r="M18" s="294">
        <f>IF(C1="",'数据-汇总表'!E3,SUMIF(项目类型,C1,'数据-汇总表'!E17:E26))</f>
        <v>59.23</v>
      </c>
    </row>
    <row r="19" spans="1:36" ht="14">
      <c r="A19" s="1630" t="s">
        <v>1290</v>
      </c>
      <c r="B19" s="1631" t="s">
        <v>1291</v>
      </c>
      <c r="C19" s="126">
        <f ca="1">SUMIF(INDIRECT("'"&amp;C4&amp;"'"&amp;"!A:A"),结果表!B19,INDIRECT("'"&amp;C4&amp;"'"&amp;"!B:B"))</f>
        <v>1089.9860000000001</v>
      </c>
      <c r="D19" s="127">
        <f ca="1">SUMIF(INDIRECT("'"&amp;D4&amp;"'"&amp;"!A:A"),结果表!B19,INDIRECT("'"&amp;D4&amp;"'"&amp;"!B:B"))</f>
        <v>706.96299999999997</v>
      </c>
      <c r="E19" s="1630" t="s">
        <v>1292</v>
      </c>
      <c r="F19" s="1631" t="s">
        <v>1291</v>
      </c>
      <c r="G19" s="128">
        <f ca="1">ROUND(C19*$C$18+D19*$D$18,0)</f>
        <v>937</v>
      </c>
      <c r="H19" s="1632" t="s">
        <v>1293</v>
      </c>
      <c r="I19" s="121"/>
      <c r="K19" s="294" t="s">
        <v>1294</v>
      </c>
      <c r="L19" s="294">
        <f>IF(C1="",'数据-汇总表'!D3,SUMIF(项目类型,C1,'数据-汇总表'!D17:D26)+SUMIF(项目类型,C1,'数据-汇总表'!H17:H27))</f>
        <v>20.48</v>
      </c>
      <c r="M19" s="294">
        <f>IF(C1="",'数据-汇总表'!D3,SUMIF(项目类型,C1,'数据-汇总表'!D17:D26))</f>
        <v>20.48</v>
      </c>
    </row>
    <row r="20" spans="1:36" ht="14">
      <c r="A20" s="1633"/>
      <c r="B20" s="43" t="s">
        <v>1295</v>
      </c>
      <c r="C20" s="129">
        <f ca="1">SUMIF(INDIRECT("'"&amp;C4&amp;"'"&amp;"!A:A"),结果表!B20,INDIRECT("'"&amp;C4&amp;"'"&amp;"!B:B"))</f>
        <v>184026</v>
      </c>
      <c r="D20" s="130">
        <f ca="1">SUMIF(INDIRECT("'"&amp;D4&amp;"'"&amp;"!A:A"),结果表!B20,INDIRECT("'"&amp;D4&amp;"'"&amp;"!B:B"))</f>
        <v>119359</v>
      </c>
      <c r="E20" s="1633"/>
      <c r="F20" s="43" t="s">
        <v>1295</v>
      </c>
      <c r="G20" s="131">
        <f ca="1">ROUND(C20*$C$18+D20*$D$18,0)</f>
        <v>158159</v>
      </c>
      <c r="H20" s="760" t="s">
        <v>1296</v>
      </c>
      <c r="I20" s="121"/>
    </row>
    <row r="21" spans="1:36" ht="15" customHeight="1" thickBot="1">
      <c r="A21" s="449"/>
      <c r="B21" s="93" t="s">
        <v>1297</v>
      </c>
      <c r="C21" s="678">
        <f ca="1">ROUND(C19*10000/L19,0)</f>
        <v>532220</v>
      </c>
      <c r="D21" s="679">
        <f ca="1">ROUND(D19*10000/L19,0)</f>
        <v>345197</v>
      </c>
      <c r="E21" s="449"/>
      <c r="F21" s="93" t="s">
        <v>1297</v>
      </c>
      <c r="G21" s="132">
        <f ca="1">ROUND(G19*10000/L19,0)</f>
        <v>457520</v>
      </c>
      <c r="H21" s="1634" t="s">
        <v>1296</v>
      </c>
      <c r="I21" s="121"/>
    </row>
    <row r="22" spans="1:36" ht="14.5" thickBot="1">
      <c r="A22" s="1564" t="s">
        <v>1298</v>
      </c>
      <c r="B22" s="1635"/>
      <c r="C22" s="1636"/>
      <c r="D22" s="680">
        <f ca="1">IF(C19&lt;D19,D19/C19-1,C19/D19-1)</f>
        <v>0.54178648670439644</v>
      </c>
      <c r="E22" s="121"/>
      <c r="F22" s="121"/>
      <c r="G22" s="121"/>
      <c r="H22" s="121"/>
      <c r="I22" s="121"/>
    </row>
    <row r="23" spans="1:36" ht="13" thickBot="1">
      <c r="A23" s="646"/>
      <c r="B23" s="646"/>
      <c r="C23" s="646"/>
      <c r="D23" s="646"/>
      <c r="E23" s="121"/>
      <c r="F23" s="121" t="str">
        <f>C4</f>
        <v>比较法-商业</v>
      </c>
      <c r="G23" s="121" t="str">
        <f>D4</f>
        <v>收益法 (元)</v>
      </c>
      <c r="H23" s="121"/>
      <c r="I23" s="121"/>
    </row>
    <row r="24" spans="1:36" ht="14">
      <c r="A24" s="3275" t="s">
        <v>1299</v>
      </c>
      <c r="B24" s="1631" t="s">
        <v>1291</v>
      </c>
      <c r="C24" s="128">
        <f>IF(B30=0,0,D30)</f>
        <v>0</v>
      </c>
      <c r="D24" s="1637"/>
      <c r="E24" s="121"/>
      <c r="F24" s="121">
        <f ca="1">C20</f>
        <v>184026</v>
      </c>
      <c r="G24" s="121">
        <f ca="1">D20</f>
        <v>119359</v>
      </c>
      <c r="H24" s="121"/>
      <c r="I24" s="121"/>
    </row>
    <row r="25" spans="1:36" ht="14">
      <c r="A25" s="3276"/>
      <c r="B25" s="43" t="s">
        <v>1295</v>
      </c>
      <c r="C25" s="133">
        <f>IF(B30=0,0,C30)</f>
        <v>0</v>
      </c>
      <c r="D25" s="1638"/>
      <c r="E25" s="3178" t="s">
        <v>3493</v>
      </c>
      <c r="F25" s="121">
        <v>0.4</v>
      </c>
      <c r="G25" s="121">
        <v>0.6</v>
      </c>
      <c r="H25" s="121">
        <f ca="1">ROUND(F24*F25+G24*G25,0)</f>
        <v>145226</v>
      </c>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158159</v>
      </c>
      <c r="D32" s="1641" t="s">
        <v>3491</v>
      </c>
      <c r="E32" s="121"/>
      <c r="F32" s="121"/>
      <c r="G32" s="121"/>
      <c r="H32" s="121"/>
      <c r="I32" s="121"/>
    </row>
    <row r="33" spans="1:15" ht="14">
      <c r="A33" s="740" t="s">
        <v>1306</v>
      </c>
      <c r="B33" s="123"/>
      <c r="C33" s="1642" t="s">
        <v>3492</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5" t="s">
        <v>1312</v>
      </c>
      <c r="B36" s="1652" t="s">
        <v>1313</v>
      </c>
      <c r="C36" s="137"/>
      <c r="D36" s="1653"/>
      <c r="E36" s="1567"/>
      <c r="F36" s="1654"/>
      <c r="G36" s="121"/>
      <c r="H36" s="121"/>
      <c r="I36" s="121"/>
    </row>
    <row r="37" spans="1:15" ht="14.5" thickBot="1">
      <c r="A37" s="3296"/>
      <c r="B37" s="1555" t="s">
        <v>1314</v>
      </c>
      <c r="C37" s="139"/>
      <c r="D37" s="1071"/>
      <c r="E37" s="1071"/>
      <c r="F37" s="1654"/>
      <c r="G37" s="121"/>
      <c r="H37" s="121"/>
      <c r="I37" s="121"/>
    </row>
    <row r="38" spans="1:15" ht="14.5" thickBot="1">
      <c r="A38" s="329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f ca="1">ROUND(H101*F45,0)</f>
        <v>937</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09">
        <v>1</v>
      </c>
      <c r="K46" s="3331" t="s">
        <v>1331</v>
      </c>
      <c r="L46" s="3331"/>
      <c r="M46" s="3351"/>
      <c r="N46" s="3351"/>
      <c r="O46" s="3351"/>
    </row>
    <row r="47" spans="1:15" ht="12" customHeight="1">
      <c r="A47" s="152" t="s">
        <v>1332</v>
      </c>
      <c r="B47" s="153"/>
      <c r="C47" s="154"/>
      <c r="D47" s="1024" t="s">
        <v>1333</v>
      </c>
      <c r="E47" s="294" t="s">
        <v>1334</v>
      </c>
      <c r="F47" s="155" t="s">
        <v>1335</v>
      </c>
      <c r="G47" s="2332" t="s">
        <v>1336</v>
      </c>
      <c r="H47" s="2333"/>
      <c r="I47" s="151"/>
      <c r="J47" s="2309">
        <v>2</v>
      </c>
      <c r="K47" s="3331" t="s">
        <v>1337</v>
      </c>
      <c r="L47" s="3331"/>
      <c r="M47" s="3352">
        <f>'数据-取费表'!B2</f>
        <v>45896</v>
      </c>
      <c r="N47" s="3352"/>
      <c r="O47" s="3352"/>
    </row>
    <row r="48" spans="1:15" ht="26">
      <c r="A48" s="3300" t="s">
        <v>1338</v>
      </c>
      <c r="B48" s="3283"/>
      <c r="C48" s="328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31" t="s">
        <v>1340</v>
      </c>
      <c r="L48" s="3331"/>
      <c r="M48" s="3353">
        <f ca="1">H101</f>
        <v>937</v>
      </c>
      <c r="N48" s="3353"/>
      <c r="O48" s="3353"/>
    </row>
    <row r="49" spans="1:35" ht="25.5" customHeight="1">
      <c r="A49" s="2151" t="s">
        <v>1341</v>
      </c>
      <c r="B49" s="3267" t="s">
        <v>1342</v>
      </c>
      <c r="C49" s="3267"/>
      <c r="D49" s="1478">
        <v>0</v>
      </c>
      <c r="E49" s="316" t="s">
        <v>1343</v>
      </c>
      <c r="F49" s="2232" t="s">
        <v>28</v>
      </c>
      <c r="G49" s="3337"/>
      <c r="H49" s="2133" t="s">
        <v>2134</v>
      </c>
      <c r="I49" s="2134"/>
      <c r="J49" s="2309">
        <v>4</v>
      </c>
      <c r="K49" s="3331" t="str">
        <f>IF(项目基本情况!E8="房地产抵押价值","房地产抵押价值","抵押担保权已注销时的房地产抵押价值")</f>
        <v>房地产抵押价值</v>
      </c>
      <c r="L49" s="3331"/>
      <c r="M49" s="3353">
        <f ca="1">IF(项目基本情况!E8="房地产抵押价值",H107,H109)</f>
        <v>937</v>
      </c>
      <c r="N49" s="3353"/>
      <c r="O49" s="3353"/>
    </row>
    <row r="50" spans="1:35" ht="25.5" customHeight="1">
      <c r="A50" s="2337"/>
      <c r="B50" s="3267" t="s">
        <v>1344</v>
      </c>
      <c r="C50" s="3267"/>
      <c r="D50" s="2188"/>
      <c r="E50" s="323"/>
      <c r="F50" s="2232"/>
      <c r="G50" s="3338"/>
      <c r="H50" s="2135" t="s">
        <v>2135</v>
      </c>
      <c r="I50" s="2134"/>
      <c r="J50" s="3350" t="s">
        <v>1345</v>
      </c>
      <c r="K50" s="3350"/>
      <c r="L50" s="3350"/>
      <c r="M50" s="3350"/>
      <c r="N50" s="3350"/>
      <c r="O50" s="3350"/>
    </row>
    <row r="51" spans="1:35" ht="20.5" customHeight="1">
      <c r="A51" s="2338"/>
      <c r="B51" s="3267" t="s">
        <v>1346</v>
      </c>
      <c r="C51" s="3267"/>
      <c r="D51" s="1024"/>
      <c r="E51" s="319"/>
      <c r="F51" s="2232"/>
      <c r="G51" s="3339"/>
      <c r="H51" s="2135" t="s">
        <v>2136</v>
      </c>
      <c r="I51" s="2134"/>
      <c r="J51" s="2310" t="s">
        <v>1347</v>
      </c>
      <c r="K51" s="3331" t="s">
        <v>1348</v>
      </c>
      <c r="L51" s="3331"/>
      <c r="M51" s="2310" t="s">
        <v>1349</v>
      </c>
      <c r="N51" s="2310" t="s">
        <v>1350</v>
      </c>
      <c r="O51" s="2310" t="s">
        <v>1351</v>
      </c>
    </row>
    <row r="52" spans="1:35" ht="24" customHeight="1">
      <c r="A52" s="2152" t="s">
        <v>1352</v>
      </c>
      <c r="B52" s="3267" t="s">
        <v>1353</v>
      </c>
      <c r="C52" s="3267"/>
      <c r="D52" s="1024">
        <f ca="1">ROUND(D45*'数据-取费表'!B41/(1+'数据-取费表'!C42),0)</f>
        <v>50</v>
      </c>
      <c r="E52" s="1256" t="s">
        <v>1354</v>
      </c>
      <c r="F52" s="2339">
        <f>'数据-取费表'!B41</f>
        <v>5.6000000000000001E-2</v>
      </c>
      <c r="G52" s="2340"/>
      <c r="H52" s="2330"/>
      <c r="I52" s="1669"/>
      <c r="J52" s="2309">
        <v>1</v>
      </c>
      <c r="K52" s="3332" t="s">
        <v>1355</v>
      </c>
      <c r="L52" s="3332"/>
      <c r="M52" s="2311" t="b">
        <f>D48</f>
        <v>0</v>
      </c>
      <c r="N52" s="2309" t="str">
        <f>E48</f>
        <v>销售额×税（费）率</v>
      </c>
      <c r="O52" s="2312">
        <f>F48</f>
        <v>5.6000000000000001E-2</v>
      </c>
    </row>
    <row r="53" spans="1:35" ht="12" customHeight="1">
      <c r="A53" s="2152" t="s">
        <v>1356</v>
      </c>
      <c r="B53" s="3293" t="s">
        <v>2291</v>
      </c>
      <c r="C53" s="3294"/>
      <c r="D53" s="1024">
        <f ca="1">ROUND(D45*'数据-取费表'!B41/(1+'数据-取费表'!C42),0)</f>
        <v>50</v>
      </c>
      <c r="E53" s="1256" t="s">
        <v>1354</v>
      </c>
      <c r="F53" s="2339">
        <f>'数据-取费表'!B41</f>
        <v>5.6000000000000001E-2</v>
      </c>
      <c r="G53" s="2340"/>
      <c r="H53" s="2330"/>
      <c r="I53" s="1669"/>
      <c r="J53" s="2309">
        <v>2</v>
      </c>
      <c r="K53" s="3332" t="s">
        <v>1357</v>
      </c>
      <c r="L53" s="3332"/>
      <c r="M53" s="2311">
        <f t="shared" ref="M53:O54" ca="1" si="0">D55</f>
        <v>0</v>
      </c>
      <c r="N53" s="2309" t="str">
        <f t="shared" si="0"/>
        <v>销售额×税（费）率</v>
      </c>
      <c r="O53" s="2312" t="str">
        <f t="shared" si="0"/>
        <v>免征</v>
      </c>
    </row>
    <row r="54" spans="1:35" ht="12" customHeight="1">
      <c r="A54" s="2152" t="s">
        <v>1358</v>
      </c>
      <c r="B54" s="3293" t="s">
        <v>2292</v>
      </c>
      <c r="C54" s="3294"/>
      <c r="D54" s="1024">
        <f ca="1">C68</f>
        <v>50</v>
      </c>
      <c r="E54" s="319" t="s">
        <v>1359</v>
      </c>
      <c r="F54" s="2339">
        <f>'数据-取费表'!B41</f>
        <v>5.6000000000000001E-2</v>
      </c>
      <c r="G54" s="2340"/>
      <c r="H54" s="2341"/>
      <c r="I54" s="1669"/>
      <c r="J54" s="2309">
        <v>3</v>
      </c>
      <c r="K54" s="3332" t="s">
        <v>1360</v>
      </c>
      <c r="L54" s="3332"/>
      <c r="M54" s="2311">
        <f t="shared" ca="1" si="0"/>
        <v>530</v>
      </c>
      <c r="N54" s="2309" t="str">
        <f t="shared" si="0"/>
        <v>增值额×税（费）率</v>
      </c>
      <c r="O54" s="2313" t="str">
        <f t="shared" si="0"/>
        <v>免征</v>
      </c>
    </row>
    <row r="55" spans="1:35" ht="24" customHeight="1">
      <c r="A55" s="3282" t="s">
        <v>1361</v>
      </c>
      <c r="B55" s="3283"/>
      <c r="C55" s="3283"/>
      <c r="D55" s="12">
        <f ca="1">IF(H55="个人住宅",0,ROUND(D45*I55,0))</f>
        <v>0</v>
      </c>
      <c r="E55" s="1256" t="s">
        <v>1362</v>
      </c>
      <c r="F55" s="2339" t="str">
        <f>IF(H55="正常",I55,"免征")</f>
        <v>免征</v>
      </c>
      <c r="G55" s="2340"/>
      <c r="H55" s="2336"/>
      <c r="I55" s="157">
        <f>'数据-取费表'!B49</f>
        <v>5.0000000000000001E-4</v>
      </c>
      <c r="J55" s="2309">
        <f>IF(H59="非个人房产","",4)</f>
        <v>4</v>
      </c>
      <c r="K55" s="3332" t="str">
        <f>IF(H59="非个人房产","——","个人所得税")</f>
        <v>个人所得税</v>
      </c>
      <c r="L55" s="3332"/>
      <c r="M55" s="2314">
        <f ca="1">D59</f>
        <v>9</v>
      </c>
      <c r="N55" s="1883" t="str">
        <f>E59</f>
        <v>差额计税</v>
      </c>
      <c r="O55" s="2315">
        <f>F59</f>
        <v>0.01</v>
      </c>
    </row>
    <row r="56" spans="1:35" ht="26">
      <c r="A56" s="3282" t="s">
        <v>1363</v>
      </c>
      <c r="B56" s="3283"/>
      <c r="C56" s="3283"/>
      <c r="D56" s="12">
        <f ca="1">IF(H56="个人住宅",D57,D58)</f>
        <v>530</v>
      </c>
      <c r="E56" s="1256" t="s">
        <v>1364</v>
      </c>
      <c r="F56" s="2339" t="str">
        <f>IF(H56="正常",F58,"免征")</f>
        <v>免征</v>
      </c>
      <c r="G56" s="2342" t="s">
        <v>1365</v>
      </c>
      <c r="H56" s="2343"/>
      <c r="I56" s="1670"/>
      <c r="J56" s="2309" t="str">
        <f>IF(项目基本情况!K6="上海银行",IF(J55="",4,J55+1),"")</f>
        <v/>
      </c>
      <c r="K56" s="3355" t="str">
        <f>IF(项目基本情况!K6="上海银行","其他处置费用","")</f>
        <v/>
      </c>
      <c r="L56" s="3356"/>
      <c r="M56" s="2311" t="str">
        <f>IF(项目基本情况!K6="上海银行",M69,"")</f>
        <v/>
      </c>
      <c r="N56" s="3355" t="str">
        <f>IF(项目基本情况!K6="上海银行","包含处置中涉及的律师、诉讼、拍卖、评估等费用","")</f>
        <v/>
      </c>
      <c r="O56" s="3358"/>
    </row>
    <row r="57" spans="1:35" ht="13">
      <c r="A57" s="2152" t="s">
        <v>1341</v>
      </c>
      <c r="B57" s="3293" t="s">
        <v>1366</v>
      </c>
      <c r="C57" s="3294"/>
      <c r="D57" s="1478">
        <v>0</v>
      </c>
      <c r="E57" s="316" t="s">
        <v>1343</v>
      </c>
      <c r="F57" s="294"/>
      <c r="G57" s="2340"/>
      <c r="H57" s="2344"/>
      <c r="I57" s="1670"/>
      <c r="J57" s="3332">
        <f>IF(AND(J55="",J56=""),4,IF(项目基本情况!K6="上海银行",结果表!J56+1,结果表!J55+1))</f>
        <v>5</v>
      </c>
      <c r="K57" s="3332" t="s">
        <v>1367</v>
      </c>
      <c r="L57" s="2316" t="s">
        <v>1368</v>
      </c>
      <c r="M57" s="2317"/>
      <c r="N57" s="2318">
        <f ca="1">SUMIF(M52:M56,"&lt;9e307")</f>
        <v>539</v>
      </c>
      <c r="O57" s="2319"/>
      <c r="P57" s="2464">
        <f ca="1">N57/M49</f>
        <v>0.57524012806830305</v>
      </c>
    </row>
    <row r="58" spans="1:35" ht="26">
      <c r="A58" s="2152" t="s">
        <v>1352</v>
      </c>
      <c r="B58" s="3293" t="s">
        <v>1369</v>
      </c>
      <c r="C58" s="3267"/>
      <c r="D58" s="12">
        <f ca="1">IF(H58="转让取得",C81,C97)</f>
        <v>530</v>
      </c>
      <c r="E58" s="1256" t="s">
        <v>1364</v>
      </c>
      <c r="F58" s="294" t="s">
        <v>28</v>
      </c>
      <c r="G58" s="2340"/>
      <c r="H58" s="2343"/>
      <c r="I58" s="1670"/>
      <c r="J58" s="3332"/>
      <c r="K58" s="3332"/>
      <c r="L58" s="2316" t="s">
        <v>1370</v>
      </c>
      <c r="M58" s="2320"/>
      <c r="N58" s="2321" t="str">
        <f ca="1">NUMBERSTRING(INT(N57*10000),2)&amp;"元整"</f>
        <v>伍佰叁拾玖万元整</v>
      </c>
      <c r="O58" s="2322"/>
    </row>
    <row r="59" spans="1:35" ht="26.5" thickBot="1">
      <c r="A59" s="3335" t="s">
        <v>1371</v>
      </c>
      <c r="B59" s="3336"/>
      <c r="C59" s="3336"/>
      <c r="D59" s="2345">
        <f ca="1">IF(H59="非个人房产","——",IF(H59="个人住宅（满五唯一有凭证）",0,IF(H59="个人其他（无凭证）",ROUND(D45*F59,0),ROUND(C67*F59,0))))</f>
        <v>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3">
        <f>J57+1</f>
        <v>6</v>
      </c>
      <c r="K59" s="3332" t="s">
        <v>1372</v>
      </c>
      <c r="L59" s="2309" t="s">
        <v>1368</v>
      </c>
      <c r="M59" s="2323"/>
      <c r="N59" s="2324">
        <f ca="1">M49-N57</f>
        <v>398</v>
      </c>
      <c r="O59" s="2325"/>
    </row>
    <row r="60" spans="1:35" ht="12" customHeight="1">
      <c r="A60" s="1671"/>
      <c r="B60" s="646"/>
      <c r="C60" s="646"/>
      <c r="D60" s="646"/>
      <c r="E60" s="1466"/>
      <c r="F60" s="1670"/>
      <c r="G60" s="1670"/>
      <c r="H60" s="151"/>
      <c r="I60" s="121"/>
      <c r="J60" s="3334"/>
      <c r="K60" s="3332"/>
      <c r="L60" s="2316" t="s">
        <v>1370</v>
      </c>
      <c r="M60" s="2320"/>
      <c r="N60" s="2321" t="str">
        <f ca="1">NUMBERSTRING(INT(N59*10000),2)&amp;"元整"</f>
        <v>叁佰玖拾捌万元整</v>
      </c>
      <c r="O60" s="2322"/>
    </row>
    <row r="61" spans="1:35" ht="13.5" thickBot="1">
      <c r="A61" s="3280" t="s">
        <v>1373</v>
      </c>
      <c r="B61" s="3280"/>
      <c r="C61" s="3280"/>
      <c r="D61" s="3280"/>
      <c r="E61" s="3280"/>
      <c r="F61" s="1670"/>
      <c r="G61" s="1670"/>
      <c r="H61" s="151"/>
      <c r="I61" s="121"/>
      <c r="J61" s="2309">
        <f>J59+1</f>
        <v>7</v>
      </c>
      <c r="K61" s="3332" t="s">
        <v>1374</v>
      </c>
      <c r="L61" s="3332"/>
      <c r="M61" s="2326"/>
      <c r="N61" s="2327">
        <f ca="1">ROUND(N59*10000/'数据-汇总表'!E3,0)</f>
        <v>67196</v>
      </c>
      <c r="O61" s="2328"/>
    </row>
    <row r="62" spans="1:35" ht="13">
      <c r="A62" s="3298" t="s">
        <v>1375</v>
      </c>
      <c r="B62" s="3299"/>
      <c r="C62" s="1865"/>
      <c r="D62" s="1865" t="s">
        <v>1376</v>
      </c>
      <c r="E62" s="158" t="s">
        <v>1377</v>
      </c>
      <c r="F62" s="1670"/>
      <c r="G62" s="1670"/>
      <c r="H62" s="151"/>
      <c r="I62" s="121"/>
    </row>
    <row r="63" spans="1:35" ht="13">
      <c r="A63" s="165" t="s">
        <v>330</v>
      </c>
      <c r="B63" s="159" t="s">
        <v>1378</v>
      </c>
      <c r="C63" s="2349">
        <f ca="1">ROUND((C64+C65)/(1+'数据-取费表'!C42),0)</f>
        <v>892</v>
      </c>
      <c r="D63" s="159"/>
      <c r="E63" s="160"/>
      <c r="F63" s="1670"/>
      <c r="G63" s="1670"/>
      <c r="H63" s="151"/>
      <c r="I63" s="121"/>
      <c r="J63" s="3357" t="s">
        <v>1379</v>
      </c>
      <c r="K63" s="1245" t="s">
        <v>1380</v>
      </c>
      <c r="L63" s="1245">
        <f ca="1">IF(M49&gt;10000,M49*0.5%,IF(AND(M49&gt;1000,M49&lt;=10000),M49*1%,IF(AND(M49&gt;100,M49&lt;=1000),M49*3%,IF(AND(M49&gt;10,M49&lt;=100),M49*5%,M49*8%))))</f>
        <v>28.11</v>
      </c>
      <c r="M63" s="294">
        <f ca="1">ROUND(L63,1)</f>
        <v>28.1</v>
      </c>
      <c r="N63" s="2329"/>
      <c r="Z63" s="1623"/>
      <c r="AI63" s="1561"/>
    </row>
    <row r="64" spans="1:35" ht="14.25" customHeight="1">
      <c r="A64" s="161" t="s">
        <v>325</v>
      </c>
      <c r="B64" s="162" t="s">
        <v>1381</v>
      </c>
      <c r="C64" s="2350">
        <f ca="1">D45</f>
        <v>937</v>
      </c>
      <c r="D64" s="162" t="s">
        <v>26</v>
      </c>
      <c r="E64" s="164"/>
      <c r="F64" s="1670"/>
      <c r="G64" s="1670"/>
      <c r="H64" s="151"/>
      <c r="I64" s="121"/>
      <c r="J64" s="3357"/>
      <c r="K64" s="1245" t="s">
        <v>1382</v>
      </c>
      <c r="L64" s="1245">
        <f ca="1">IF(M49&gt;2000,M49*0.5%,IF(AND(M49&gt;1000,M49&lt;=2000),M49*0.6%,IF(AND(M49&gt;500,M49&lt;=1000),M49*0.7%,IF(AND(M49&gt;200,M49&lt;=500),M49*0.8%,IF(AND(M49&gt;100,M49&lt;=200),M49*0.9%,IF(AND(M49&gt;50,M49&lt;=100),M49*1%,IF(AND(M49&gt;20,M49&lt;=50),M49*1.5%,IF(AND(M49&gt;10,M49&lt;=20),M49*2%,IF(AND(M49&gt;1,M49&lt;=10),M49*2.5%)))))))))</f>
        <v>6.5589999999999993</v>
      </c>
      <c r="M64" s="294">
        <f t="shared" ref="M64:M65" ca="1" si="1">ROUND(L64,1)</f>
        <v>6.6</v>
      </c>
      <c r="N64" s="2330" t="s">
        <v>1383</v>
      </c>
      <c r="Z64" s="1623"/>
      <c r="AI64" s="1561"/>
    </row>
    <row r="65" spans="1:35" ht="14.25" customHeight="1">
      <c r="A65" s="161" t="s">
        <v>326</v>
      </c>
      <c r="B65" s="162" t="s">
        <v>1384</v>
      </c>
      <c r="C65" s="2351"/>
      <c r="D65" s="162"/>
      <c r="E65" s="164"/>
      <c r="F65" s="1670"/>
      <c r="G65" s="1670"/>
      <c r="H65" s="151"/>
      <c r="I65" s="121"/>
      <c r="J65" s="3357"/>
      <c r="K65" s="1245" t="s">
        <v>1385</v>
      </c>
      <c r="L65" s="1245">
        <f ca="1">IF(M49&gt;1000,M49*0.1%,IF(AND(M49&gt;500,M49&lt;=1000),M49*0.5%,IF(AND(M49&gt;50,M49&lt;=500),M49*1%,IF(AND(M49&gt;1,M49&lt;=50),M49*1.5%))))</f>
        <v>4.6850000000000005</v>
      </c>
      <c r="M65" s="294">
        <f t="shared" ca="1" si="1"/>
        <v>4.7</v>
      </c>
      <c r="N65" s="2330" t="s">
        <v>1383</v>
      </c>
      <c r="Z65" s="1623"/>
      <c r="AI65" s="1561"/>
    </row>
    <row r="66" spans="1:35" ht="14.25" customHeight="1">
      <c r="A66" s="165" t="s">
        <v>327</v>
      </c>
      <c r="B66" s="166" t="s">
        <v>1386</v>
      </c>
      <c r="C66" s="2352"/>
      <c r="D66" s="166" t="s">
        <v>26</v>
      </c>
      <c r="E66" s="1251" t="s">
        <v>671</v>
      </c>
      <c r="F66" s="1670"/>
      <c r="G66" s="1670"/>
      <c r="H66" s="151"/>
      <c r="I66" s="121"/>
      <c r="J66" s="3357"/>
      <c r="K66" s="1245" t="s">
        <v>1387</v>
      </c>
      <c r="L66" s="1245">
        <f ca="1">M49*0.5%</f>
        <v>4.6850000000000005</v>
      </c>
      <c r="M66" s="294">
        <f ca="1">IF(L66&gt;0.5,0.5,ROUND(L66,0))</f>
        <v>0.5</v>
      </c>
      <c r="N66" s="2330" t="s">
        <v>1388</v>
      </c>
      <c r="Z66" s="1623"/>
      <c r="AI66" s="1561"/>
    </row>
    <row r="67" spans="1:35" ht="14.25" customHeight="1">
      <c r="A67" s="165" t="s">
        <v>328</v>
      </c>
      <c r="B67" s="166" t="s">
        <v>1389</v>
      </c>
      <c r="C67" s="2353">
        <f ca="1">C63-C66</f>
        <v>892</v>
      </c>
      <c r="D67" s="162" t="s">
        <v>26</v>
      </c>
      <c r="E67" s="164"/>
      <c r="F67" s="1670"/>
      <c r="G67" s="1670"/>
      <c r="H67" s="151"/>
      <c r="I67" s="121"/>
      <c r="J67" s="3357"/>
      <c r="K67" s="1245" t="s">
        <v>1390</v>
      </c>
      <c r="L67" s="1245">
        <f ca="1">IF(M49&gt;=10000,(8.25+(M49-10000)*0.01%),IF(AND(M49&gt;=8000,M49&lt;10000),(7.85+(M49-8000)*0.02%),IF(AND(M49&gt;=5000,M49&lt;8000),(6.65+(M49-5000)*0.04%),IF(AND(M49&gt;=2000,M49&lt;5000),(4.25+(PM49-2000)*0.08%),IF(AND(M49&gt;=1000,M49&lt;2000),(2.75+(M49-1000)*0.15%),IF(AND(M49&gt;=100,M49&lt;1000),(0.5+(M49-100)*0.25%),IF(AND(M49&gt;0,M49&lt;100),M49*0.5%)))))))</f>
        <v>2.5925000000000002</v>
      </c>
      <c r="M67" s="294">
        <f ca="1">ROUND(L67*0.9,1)</f>
        <v>2.2999999999999998</v>
      </c>
      <c r="N67" s="2329"/>
      <c r="Z67" s="1623"/>
      <c r="AI67" s="1561"/>
    </row>
    <row r="68" spans="1:35" ht="14.25" customHeight="1" thickBot="1">
      <c r="A68" s="168" t="s">
        <v>329</v>
      </c>
      <c r="B68" s="169" t="s">
        <v>1391</v>
      </c>
      <c r="C68" s="2354">
        <f ca="1">IF(C67&lt;=0,0,ROUND(C67*D68,0))</f>
        <v>50</v>
      </c>
      <c r="D68" s="2355">
        <f>'数据-取费表'!B41</f>
        <v>5.6000000000000001E-2</v>
      </c>
      <c r="E68" s="170"/>
      <c r="F68" s="1670"/>
      <c r="G68" s="1670"/>
      <c r="H68" s="151"/>
      <c r="I68" s="121"/>
      <c r="J68" s="3357"/>
      <c r="K68" s="1245" t="s">
        <v>1392</v>
      </c>
      <c r="L68" s="1245">
        <f ca="1">IF(M49&gt;10000,M49*0.5%,IF(AND(M49&gt;5000,M49&lt;=10000),M49*1%,IF(AND(M49&gt;1000,M49&lt;=5000),M49*2%,IF(AND(M49&gt;200,M49&lt;=1000),M49*3%,M49*5%))))</f>
        <v>28.11</v>
      </c>
      <c r="M68" s="294">
        <f ca="1">ROUND(L68,1)</f>
        <v>28.1</v>
      </c>
      <c r="N68" s="2329"/>
      <c r="Z68" s="1623"/>
      <c r="AI68" s="1561"/>
    </row>
    <row r="69" spans="1:35" ht="16.5" customHeight="1">
      <c r="A69" s="1672"/>
      <c r="B69" s="1673"/>
      <c r="C69" s="1674"/>
      <c r="D69" s="1675"/>
      <c r="E69" s="1676"/>
      <c r="F69" s="1466"/>
      <c r="G69" s="1466"/>
      <c r="H69" s="1467"/>
      <c r="I69" s="646"/>
      <c r="J69" s="3357"/>
      <c r="K69" s="1245" t="s">
        <v>1393</v>
      </c>
      <c r="L69" s="1245"/>
      <c r="M69" s="294">
        <f ca="1">ROUND(SUM(M63:M68),0)</f>
        <v>70</v>
      </c>
      <c r="N69" s="2331">
        <f ca="1">M69/M49</f>
        <v>7.4706510138740662E-2</v>
      </c>
      <c r="Z69" s="1623"/>
      <c r="AI69" s="1561"/>
    </row>
    <row r="70" spans="1:35" s="642" customFormat="1" ht="14.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892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5</v>
      </c>
      <c r="D78" s="2362">
        <f>'数据-取费表'!B43</f>
        <v>6.000000000000001E-3</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887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177.4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530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892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7"/>
      <c r="G90" s="3359" t="s">
        <v>2129</v>
      </c>
      <c r="H90" s="336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7" t="s">
        <v>1422</v>
      </c>
      <c r="F92" s="3278"/>
      <c r="G92" s="3278"/>
      <c r="H92" s="328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5</v>
      </c>
      <c r="D93" s="2362">
        <f>'数据-取费表'!B43</f>
        <v>6.000000000000001E-3</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887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177.4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530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0" t="str">
        <f>C4</f>
        <v>比较法-商业</v>
      </c>
      <c r="D101" s="2371" t="str">
        <f>D4</f>
        <v>收益法 (元)</v>
      </c>
      <c r="E101" s="3354" t="s">
        <v>1431</v>
      </c>
      <c r="F101" s="3311"/>
      <c r="G101" s="1687" t="s">
        <v>1432</v>
      </c>
      <c r="H101" s="2380">
        <f ca="1">H118</f>
        <v>937</v>
      </c>
      <c r="I101" s="121"/>
    </row>
    <row r="102" spans="1:35" ht="18.75" customHeight="1">
      <c r="A102" s="3313" t="s">
        <v>1433</v>
      </c>
      <c r="B102" s="2369" t="s">
        <v>1432</v>
      </c>
      <c r="C102" s="2370">
        <f ca="1">IF(D32="楼面单价",ROUND(C19,0),C19)</f>
        <v>1090</v>
      </c>
      <c r="D102" s="2371">
        <f ca="1">IF(D32="楼面单价",ROUND(D19,0),D19)</f>
        <v>707</v>
      </c>
      <c r="E102" s="3354"/>
      <c r="F102" s="3311"/>
      <c r="G102" s="1687" t="s">
        <v>1434</v>
      </c>
      <c r="H102" s="2340">
        <f ca="1">I118</f>
        <v>158159</v>
      </c>
      <c r="I102" s="121"/>
    </row>
    <row r="103" spans="1:35" ht="42.75" customHeight="1">
      <c r="A103" s="3313"/>
      <c r="B103" s="2369" t="s">
        <v>1434</v>
      </c>
      <c r="C103" s="2372">
        <f ca="1">C20</f>
        <v>184026</v>
      </c>
      <c r="D103" s="2373">
        <f ca="1">D20</f>
        <v>119359</v>
      </c>
      <c r="E103" s="3348" t="s">
        <v>1435</v>
      </c>
      <c r="F103" s="3349"/>
      <c r="G103" s="1688" t="s">
        <v>1436</v>
      </c>
      <c r="H103" s="2380">
        <f>IF(D36="正常操作",H104+H105+H106,H105+H106)</f>
        <v>0</v>
      </c>
      <c r="I103" s="121"/>
    </row>
    <row r="104" spans="1:35" ht="18.75" customHeight="1">
      <c r="A104" s="3313" t="s">
        <v>1437</v>
      </c>
      <c r="B104" s="2374" t="s">
        <v>1432</v>
      </c>
      <c r="C104" s="2375">
        <f ca="1">H118</f>
        <v>937</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158159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311"/>
      <c r="G107" s="1687" t="s">
        <v>1432</v>
      </c>
      <c r="H107" s="2380">
        <f ca="1">IF(E107="——","——",H101-H103)</f>
        <v>937</v>
      </c>
      <c r="I107" s="121"/>
    </row>
    <row r="108" spans="1:35" ht="18.75" customHeight="1">
      <c r="A108" s="121"/>
      <c r="B108" s="121"/>
      <c r="C108" s="121"/>
      <c r="D108" s="121"/>
      <c r="E108" s="3310"/>
      <c r="F108" s="3311"/>
      <c r="G108" s="1687" t="s">
        <v>1434</v>
      </c>
      <c r="H108" s="2340">
        <f ca="1">IF(H107=H101,H102,ROUND(H107*10000/'数据-汇总表'!E3,0))</f>
        <v>158159</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3" t="str">
        <f>IF(E109="——","——",H101-H105-H106)</f>
        <v>——</v>
      </c>
      <c r="I109" s="121"/>
    </row>
    <row r="110" spans="1:35" ht="18.75" customHeight="1">
      <c r="A110" s="121"/>
      <c r="B110" s="121"/>
      <c r="C110" s="121"/>
      <c r="D110" s="121"/>
      <c r="E110" s="3310"/>
      <c r="F110" s="3311"/>
      <c r="G110" s="1687" t="s">
        <v>1434</v>
      </c>
      <c r="H110" s="2340"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80" t="str">
        <f>IF(E111="——","——",N59)</f>
        <v>——</v>
      </c>
      <c r="I111" s="121"/>
    </row>
    <row r="112" spans="1:35" ht="18.75" customHeight="1" thickBot="1">
      <c r="A112" s="121"/>
      <c r="B112" s="121"/>
      <c r="C112" s="121"/>
      <c r="D112" s="121"/>
      <c r="E112" s="3343"/>
      <c r="F112" s="3344"/>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59.23</v>
      </c>
      <c r="C118" s="2149">
        <f>M19</f>
        <v>20.48</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937</v>
      </c>
      <c r="I118" s="2149">
        <f ca="1">ROUND(IF(D32="楼面单价",C32,H118*10000/B118),0)</f>
        <v>158159</v>
      </c>
    </row>
    <row r="119" spans="1:27" ht="18.75" customHeight="1">
      <c r="A119" s="3281" t="s">
        <v>1452</v>
      </c>
      <c r="B119" s="3281"/>
      <c r="C119" s="3281"/>
      <c r="D119" s="3321" t="str">
        <f>NUMBERSTRING(INT(D118*10000),2)&amp;"元整"</f>
        <v>零元整</v>
      </c>
      <c r="E119" s="3323"/>
      <c r="F119" s="3321" t="str">
        <f>NUMBERSTRING(INT(F118*10000),2)&amp;"元整"</f>
        <v>零元整</v>
      </c>
      <c r="G119" s="3323"/>
      <c r="H119" s="3321" t="str">
        <f ca="1">NUMBERSTRING(INT(H118*10000),2)&amp;"元整"</f>
        <v>玖佰叁拾柒万元整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f ca="1">H107</f>
        <v>937</v>
      </c>
      <c r="E122" s="3346"/>
      <c r="F122" s="3346"/>
      <c r="G122" s="3346"/>
      <c r="H122" s="3346"/>
      <c r="I122" s="3347"/>
      <c r="AA122" s="684"/>
    </row>
    <row r="123" spans="1:27" ht="18.75" customHeight="1">
      <c r="A123" s="3281" t="s">
        <v>1452</v>
      </c>
      <c r="B123" s="3281"/>
      <c r="C123" s="3281"/>
      <c r="D123" s="3321" t="str">
        <f ca="1">NUMBERSTRING(INT(D122*10000),2)&amp;"元整"</f>
        <v>玖佰叁拾柒万元整</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3039</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59.23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59.23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59.23</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2.9999999999999997E-4</v>
      </c>
      <c r="D44" s="230"/>
      <c r="E44" s="230"/>
      <c r="F44" s="231"/>
      <c r="G44" s="3363"/>
    </row>
    <row r="45" spans="1:7" s="206" customFormat="1" ht="13.5" customHeight="1">
      <c r="A45" s="247" t="s">
        <v>1547</v>
      </c>
      <c r="B45" s="236" t="s">
        <v>1513</v>
      </c>
      <c r="C45" s="237">
        <f ca="1">C46</f>
        <v>2</v>
      </c>
      <c r="D45" s="227">
        <f ca="1">C47</f>
        <v>2E-3</v>
      </c>
      <c r="E45" s="228" t="s">
        <v>1539</v>
      </c>
      <c r="F45" s="238">
        <f ca="1">F27</f>
        <v>0.1</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21</v>
      </c>
      <c r="D49" s="224"/>
      <c r="E49" s="224"/>
      <c r="F49" s="256"/>
      <c r="G49" s="226" t="s">
        <v>1554</v>
      </c>
    </row>
    <row r="50" spans="1:7" s="250" customFormat="1" ht="26">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18</v>
      </c>
      <c r="D52" s="258"/>
      <c r="E52" s="258"/>
      <c r="F52" s="258"/>
      <c r="G52" s="260"/>
    </row>
    <row r="55" spans="1:7" ht="15.5">
      <c r="B55" s="262" t="s">
        <v>1562</v>
      </c>
      <c r="C55" s="263"/>
    </row>
    <row r="56" spans="1:7" ht="13">
      <c r="B56" s="265" t="s">
        <v>802</v>
      </c>
      <c r="C56" s="267">
        <f ca="1">1-C57</f>
        <v>5.600000000000005E-2</v>
      </c>
    </row>
    <row r="57" spans="1:7" ht="13">
      <c r="B57" s="265" t="s">
        <v>803</v>
      </c>
      <c r="C57" s="266">
        <f ca="1">ROUND(C51/C52,3)</f>
        <v>0.94399999999999995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-169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59.23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59.23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59.23</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62" zoomScale="60" zoomScaleNormal="70" workbookViewId="0">
      <selection activeCell="E103" sqref="E103:H103"/>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6.81640625" style="347" customWidth="1"/>
    <col min="6" max="6" width="12.26953125" style="347" customWidth="1"/>
    <col min="7" max="7" width="16.453125" style="347" customWidth="1"/>
    <col min="8" max="8" width="12.26953125" style="347" customWidth="1"/>
    <col min="9" max="9" width="17.816406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3427</v>
      </c>
      <c r="E1" s="3124" t="s">
        <v>3451</v>
      </c>
      <c r="F1" s="1735" t="s">
        <v>3452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1089.9860000000001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184026</v>
      </c>
      <c r="C3" s="344" t="s">
        <v>1768</v>
      </c>
      <c r="D3" s="343">
        <f>IF(D1="",'数据-汇总表'!E3,SUMIF('数据-汇总表'!$C19:$C33,D1,'数据-汇总表'!$E19:$E33))</f>
        <v>59.23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0" t="s">
        <v>1773</v>
      </c>
      <c r="W4" s="3370"/>
      <c r="X4" s="1265"/>
      <c r="Y4" s="3397" t="s">
        <v>1775</v>
      </c>
      <c r="Z4" s="3398"/>
      <c r="AA4" s="3384" t="s">
        <v>1771</v>
      </c>
      <c r="AB4" s="3370" t="s">
        <v>1772</v>
      </c>
      <c r="AC4" s="3384" t="s">
        <v>1773</v>
      </c>
    </row>
    <row r="5" spans="1:29">
      <c r="A5" s="348"/>
      <c r="B5" s="349"/>
      <c r="C5" s="3405" t="s">
        <v>3478</v>
      </c>
      <c r="D5" s="3406"/>
      <c r="E5" s="3412" t="s">
        <v>3477</v>
      </c>
      <c r="F5" s="3413"/>
      <c r="G5" s="3405" t="s">
        <v>2666</v>
      </c>
      <c r="H5" s="3406"/>
      <c r="I5" s="3405" t="s">
        <v>3476</v>
      </c>
      <c r="J5" s="3406"/>
      <c r="K5" s="537"/>
      <c r="L5" s="2486"/>
      <c r="M5" s="2487"/>
      <c r="N5" s="2487"/>
      <c r="O5" s="2487"/>
      <c r="P5" s="3393"/>
      <c r="Q5" s="3394"/>
      <c r="R5" s="3399"/>
      <c r="S5" s="3400"/>
      <c r="T5" s="3399"/>
      <c r="U5" s="3400"/>
      <c r="V5" s="3370"/>
      <c r="W5" s="3370"/>
      <c r="X5" s="1265"/>
      <c r="Y5" s="3399"/>
      <c r="Z5" s="3400"/>
      <c r="AA5" s="3385"/>
      <c r="AB5" s="3370"/>
      <c r="AC5" s="3385"/>
    </row>
    <row r="6" spans="1:29" ht="15" thickBot="1">
      <c r="A6" s="350"/>
      <c r="B6" s="351"/>
      <c r="C6" s="3403" t="s">
        <v>1677</v>
      </c>
      <c r="D6" s="3404"/>
      <c r="E6" s="3410" t="s">
        <v>1677</v>
      </c>
      <c r="F6" s="3411"/>
      <c r="G6" s="3403" t="s">
        <v>1677</v>
      </c>
      <c r="H6" s="3404"/>
      <c r="I6" s="3403" t="s">
        <v>1677</v>
      </c>
      <c r="J6" s="3404"/>
      <c r="K6" s="537" t="s">
        <v>1678</v>
      </c>
      <c r="L6" s="2486"/>
      <c r="M6" s="2487"/>
      <c r="N6" s="2487"/>
      <c r="O6" s="2487"/>
      <c r="P6" s="3395"/>
      <c r="Q6" s="3396"/>
      <c r="R6" s="3399"/>
      <c r="S6" s="3400"/>
      <c r="T6" s="3401"/>
      <c r="U6" s="3402"/>
      <c r="V6" s="3370"/>
      <c r="W6" s="3370"/>
      <c r="X6" s="1265"/>
      <c r="Y6" s="3401"/>
      <c r="Z6" s="3402"/>
      <c r="AA6" s="3386"/>
      <c r="AB6" s="3370"/>
      <c r="AC6" s="3386"/>
    </row>
    <row r="7" spans="1:29" s="102" customFormat="1" ht="14.5" thickBot="1">
      <c r="A7" s="352" t="s">
        <v>1679</v>
      </c>
      <c r="B7" s="353"/>
      <c r="C7" s="354">
        <f>'数据-取费表'!B2</f>
        <v>45896</v>
      </c>
      <c r="D7" s="355">
        <v>100</v>
      </c>
      <c r="E7" s="356">
        <f>C7</f>
        <v>45896</v>
      </c>
      <c r="F7" s="357">
        <f>SUMIF(58:58,YEAR(E7)&amp;"-"&amp;MONTH(E7),59:59)</f>
        <v>100</v>
      </c>
      <c r="G7" s="356">
        <f>C7</f>
        <v>45896</v>
      </c>
      <c r="H7" s="355">
        <f>SUMIF(58:58,YEAR(G7)&amp;"-"&amp;MONTH(G7),59:59)</f>
        <v>100</v>
      </c>
      <c r="I7" s="356">
        <f>C7</f>
        <v>45896</v>
      </c>
      <c r="J7" s="355">
        <f>SUMIF(58:58,YEAR(I7)&amp;"-"&amp;MONTH(I7),59:59)</f>
        <v>100</v>
      </c>
      <c r="K7" s="38"/>
      <c r="L7" s="2488"/>
      <c r="M7" s="2439"/>
      <c r="N7" s="2439"/>
      <c r="O7" s="2439"/>
      <c r="P7" s="3407" t="s">
        <v>1680</v>
      </c>
      <c r="Q7" s="3409"/>
      <c r="R7" s="664" t="s">
        <v>14</v>
      </c>
      <c r="S7" s="665">
        <f t="shared" ref="S7:S15" si="0">F7</f>
        <v>100</v>
      </c>
      <c r="T7" s="664" t="s">
        <v>14</v>
      </c>
      <c r="U7" s="665">
        <f t="shared" ref="U7:U15" si="1">H7</f>
        <v>100</v>
      </c>
      <c r="V7" s="664" t="s">
        <v>14</v>
      </c>
      <c r="W7" s="665">
        <f t="shared" ref="W7:W15" si="2">J7</f>
        <v>100</v>
      </c>
      <c r="X7" s="666"/>
      <c r="Y7" s="3407" t="s">
        <v>1680</v>
      </c>
      <c r="Z7" s="3408"/>
      <c r="AA7" s="50">
        <f>D7/F7</f>
        <v>1</v>
      </c>
      <c r="AB7" s="50">
        <f>D7/H7</f>
        <v>1</v>
      </c>
      <c r="AC7" s="50">
        <f>D7/J7</f>
        <v>1</v>
      </c>
    </row>
    <row r="8" spans="1:29" s="102" customFormat="1" ht="14.5" thickBot="1">
      <c r="A8" s="352" t="s">
        <v>1681</v>
      </c>
      <c r="B8" s="353"/>
      <c r="C8" s="358" t="s">
        <v>3453</v>
      </c>
      <c r="D8" s="355">
        <v>100</v>
      </c>
      <c r="E8" s="358" t="s">
        <v>3454</v>
      </c>
      <c r="F8" s="357">
        <f>SUMIF(61:61,E8,62:62)-SUMIF(61:61,C8,62:62)+100</f>
        <v>105</v>
      </c>
      <c r="G8" s="358" t="s">
        <v>3454</v>
      </c>
      <c r="H8" s="355">
        <f>SUMIF(61:61,G8,62:62)-SUMIF(61:61,C8,62:62)+100</f>
        <v>105</v>
      </c>
      <c r="I8" s="358" t="s">
        <v>3454</v>
      </c>
      <c r="J8" s="355">
        <f>SUMIF(61:61,I8,62:62)-SUMIF(61:61,C8,62:62)+100</f>
        <v>105</v>
      </c>
      <c r="K8" s="38"/>
      <c r="L8" s="2488"/>
      <c r="M8" s="2439"/>
      <c r="N8" s="2439"/>
      <c r="O8" s="2439"/>
      <c r="P8" s="3407" t="s">
        <v>1683</v>
      </c>
      <c r="Q8" s="3408"/>
      <c r="R8" s="664" t="s">
        <v>14</v>
      </c>
      <c r="S8" s="665">
        <f t="shared" si="0"/>
        <v>105</v>
      </c>
      <c r="T8" s="664" t="s">
        <v>14</v>
      </c>
      <c r="U8" s="665">
        <f t="shared" si="1"/>
        <v>105</v>
      </c>
      <c r="V8" s="664" t="s">
        <v>14</v>
      </c>
      <c r="W8" s="665">
        <f t="shared" si="2"/>
        <v>105</v>
      </c>
      <c r="X8" s="666"/>
      <c r="Y8" s="3407" t="s">
        <v>1683</v>
      </c>
      <c r="Z8" s="3408"/>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73" t="s">
        <v>3456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8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2" t="s">
        <v>3483</v>
      </c>
      <c r="D10" s="119">
        <v>100</v>
      </c>
      <c r="E10" s="3176" t="s">
        <v>3489</v>
      </c>
      <c r="F10" s="364">
        <f>SUMIF(65:65,E10,66:66)-SUMIF(65:65,C10,66:66)+100</f>
        <v>100</v>
      </c>
      <c r="G10" s="3176" t="s">
        <v>3489</v>
      </c>
      <c r="H10" s="119">
        <f>SUMIF(65:65,G10,66:66)-SUMIF(65:65,C10,66:66)+100</f>
        <v>100</v>
      </c>
      <c r="I10" s="3132" t="s">
        <v>3488</v>
      </c>
      <c r="J10" s="119">
        <f>SUMIF(65:65,I10,66:66)-SUMIF(65:65,C10,66:66)+100</f>
        <v>95</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95</v>
      </c>
      <c r="X10" s="666"/>
      <c r="Y10" s="3268"/>
      <c r="Z10" s="50" t="str">
        <f t="shared" si="7"/>
        <v>土地使用年限（年）</v>
      </c>
      <c r="AA10" s="50">
        <f t="shared" si="3"/>
        <v>1</v>
      </c>
      <c r="AB10" s="50">
        <f t="shared" si="4"/>
        <v>1</v>
      </c>
      <c r="AC10" s="50">
        <f t="shared" si="5"/>
        <v>1.0526315789473684</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v>2006</v>
      </c>
      <c r="J12" s="119">
        <f>SUMIF(70:70,I12,71:71)-SUMIF(70:70,C12,71:71)+100</f>
        <v>100</v>
      </c>
      <c r="K12" s="539"/>
      <c r="L12" s="2488"/>
      <c r="M12" s="2439"/>
      <c r="N12" s="2439"/>
      <c r="O12" s="2439"/>
      <c r="P12" s="338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f>I12-2+40-2025</f>
        <v>19</v>
      </c>
      <c r="J13" s="374">
        <f>SUMIF(72:72,I13,73:73)-SUMIF(72:72,C13,73:73)+100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374"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5">
      <c r="A16" s="367"/>
      <c r="B16" s="385"/>
      <c r="C16" s="386" t="s">
        <v>3475</v>
      </c>
      <c r="D16" s="387"/>
      <c r="E16" s="386" t="s">
        <v>3475</v>
      </c>
      <c r="F16" s="388"/>
      <c r="G16" s="386" t="s">
        <v>3475</v>
      </c>
      <c r="H16" s="389"/>
      <c r="I16" s="386" t="s">
        <v>3475</v>
      </c>
      <c r="J16" s="387"/>
      <c r="K16" s="541"/>
      <c r="L16" s="2492"/>
      <c r="M16" s="2487"/>
      <c r="N16" s="2487"/>
      <c r="O16" s="2487"/>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t="s">
        <v>3475</v>
      </c>
      <c r="D18" s="389"/>
      <c r="E18" s="1755" t="s">
        <v>3475</v>
      </c>
      <c r="F18" s="392"/>
      <c r="G18" s="1755" t="s">
        <v>3475</v>
      </c>
      <c r="H18" s="387"/>
      <c r="I18" s="1755" t="s">
        <v>3475</v>
      </c>
      <c r="J18" s="387"/>
      <c r="K18" s="541"/>
      <c r="L18" s="2492"/>
      <c r="M18" s="2487"/>
      <c r="N18" s="2487"/>
      <c r="O18" s="2487"/>
      <c r="P18" s="3375"/>
      <c r="Q18" s="1263"/>
      <c r="R18" s="667"/>
      <c r="S18" s="668"/>
      <c r="T18" s="667"/>
      <c r="U18" s="668"/>
      <c r="V18" s="667"/>
      <c r="W18" s="668"/>
      <c r="X18" s="1265"/>
      <c r="Y18" s="337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t="s">
        <v>3475</v>
      </c>
      <c r="D20" s="387"/>
      <c r="E20" s="386" t="s">
        <v>3475</v>
      </c>
      <c r="F20" s="388"/>
      <c r="G20" s="386" t="s">
        <v>3475</v>
      </c>
      <c r="H20" s="387"/>
      <c r="I20" s="386" t="s">
        <v>3475</v>
      </c>
      <c r="J20" s="387"/>
      <c r="K20" s="541"/>
      <c r="L20" s="2492"/>
      <c r="M20" s="2487"/>
      <c r="N20" s="2487"/>
      <c r="O20" s="2487"/>
      <c r="P20" s="3375"/>
      <c r="Q20" s="1263"/>
      <c r="R20" s="667"/>
      <c r="S20" s="668"/>
      <c r="T20" s="667"/>
      <c r="U20" s="668"/>
      <c r="V20" s="667"/>
      <c r="W20" s="668"/>
      <c r="X20" s="1265"/>
      <c r="Y20" s="337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375"/>
      <c r="Q22" s="1263"/>
      <c r="R22" s="667"/>
      <c r="S22" s="668"/>
      <c r="T22" s="667"/>
      <c r="U22" s="668"/>
      <c r="V22" s="667"/>
      <c r="W22" s="668"/>
      <c r="X22" s="1265"/>
      <c r="Y22" s="337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75"/>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5">
      <c r="A24" s="367"/>
      <c r="B24" s="395"/>
      <c r="C24" s="386" t="s">
        <v>3475</v>
      </c>
      <c r="D24" s="387"/>
      <c r="E24" s="386" t="s">
        <v>3475</v>
      </c>
      <c r="F24" s="388"/>
      <c r="G24" s="386" t="s">
        <v>3475</v>
      </c>
      <c r="H24" s="387"/>
      <c r="I24" s="386" t="s">
        <v>3475</v>
      </c>
      <c r="J24" s="387"/>
      <c r="K24" s="541"/>
      <c r="L24" s="2492"/>
      <c r="M24" s="2487"/>
      <c r="N24" s="2487"/>
      <c r="O24" s="2487"/>
      <c r="P24" s="3375"/>
      <c r="Q24" s="1263"/>
      <c r="R24" s="667"/>
      <c r="S24" s="668"/>
      <c r="T24" s="667"/>
      <c r="U24" s="668"/>
      <c r="V24" s="667"/>
      <c r="W24" s="668"/>
      <c r="X24" s="1265"/>
      <c r="Y24" s="3377"/>
      <c r="Z24" s="1264"/>
      <c r="AA24" s="1264">
        <v>1</v>
      </c>
      <c r="AB24" s="1264">
        <v>1</v>
      </c>
      <c r="AC24" s="1264">
        <v>1</v>
      </c>
    </row>
    <row r="25" spans="1:29" ht="15.5">
      <c r="A25" s="367"/>
      <c r="B25" s="364" t="s">
        <v>1780</v>
      </c>
      <c r="C25" s="542" t="s">
        <v>3458</v>
      </c>
      <c r="D25" s="374">
        <v>100</v>
      </c>
      <c r="E25" s="542" t="s">
        <v>3458</v>
      </c>
      <c r="F25" s="400">
        <f>SUMIF(86:86,E25,87:87)-SUMIF(86:86,C25,87:87)+100</f>
        <v>100</v>
      </c>
      <c r="G25" s="542" t="s">
        <v>3458</v>
      </c>
      <c r="H25" s="374">
        <f>SUMIF(86:86,G25,87:87)-SUMIF(86:86,C25,87:87)+100</f>
        <v>100</v>
      </c>
      <c r="I25" s="542" t="s">
        <v>3458</v>
      </c>
      <c r="J25" s="374">
        <f>SUMIF(86:86,I25,87:87)-SUMIF(86:86,C25,87:87)+100</f>
        <v>100</v>
      </c>
      <c r="K25" s="538">
        <v>5</v>
      </c>
      <c r="L25" s="2492"/>
      <c r="M25" s="2487"/>
      <c r="N25" s="2487"/>
      <c r="O25" s="2487"/>
      <c r="P25" s="3375"/>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5">
      <c r="A26" s="367"/>
      <c r="B26" s="1066" t="s">
        <v>1781</v>
      </c>
      <c r="C26" s="3177" t="s">
        <v>3460</v>
      </c>
      <c r="D26" s="374">
        <v>100</v>
      </c>
      <c r="E26" s="3177" t="s">
        <v>3460</v>
      </c>
      <c r="F26" s="400">
        <f>SUMIF(88:88,E26,89:89)-SUMIF(88:88,C26,89:89)+100</f>
        <v>100</v>
      </c>
      <c r="G26" s="3177" t="s">
        <v>3460</v>
      </c>
      <c r="H26" s="374">
        <f>SUMIF(88:88,G26,89:89)-SUMIF(88:88,C26,89:89)+100</f>
        <v>100</v>
      </c>
      <c r="I26" s="3177" t="s">
        <v>3460</v>
      </c>
      <c r="J26" s="374">
        <f>SUMIF(88:88,I26,89:89)-SUMIF(88:88,C26,89:89)+100</f>
        <v>100</v>
      </c>
      <c r="K26" s="539"/>
      <c r="L26" s="2492"/>
      <c r="M26" s="2487"/>
      <c r="N26" s="2487"/>
      <c r="O26" s="2487"/>
      <c r="P26" s="3375"/>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5">
      <c r="A27" s="370"/>
      <c r="B27" s="390" t="s">
        <v>1782</v>
      </c>
      <c r="C27" s="1807" t="s">
        <v>3461</v>
      </c>
      <c r="D27" s="401">
        <v>100</v>
      </c>
      <c r="E27" s="1807" t="s">
        <v>3461</v>
      </c>
      <c r="F27" s="395">
        <f>SUMIF(90:90,E27,91:91)-SUMIF(90:90,C27,91:91)+100</f>
        <v>100</v>
      </c>
      <c r="G27" s="1807" t="s">
        <v>3463</v>
      </c>
      <c r="H27" s="401">
        <f>SUMIF(90:90,G27,91:91)-SUMIF(90:90,C27,91:91)+100</f>
        <v>95</v>
      </c>
      <c r="I27" s="1807" t="s">
        <v>3465</v>
      </c>
      <c r="J27" s="401">
        <f>SUMIF(90:90,I27,91:91)-SUMIF(90:90,C27,91:91)+100</f>
        <v>90</v>
      </c>
      <c r="K27" s="538">
        <v>5</v>
      </c>
      <c r="L27" s="2488"/>
      <c r="M27" s="2439"/>
      <c r="N27" s="2439"/>
      <c r="O27" s="2439"/>
      <c r="P27" s="3375"/>
      <c r="Q27" s="530" t="str">
        <f t="shared" si="11"/>
        <v>人流量</v>
      </c>
      <c r="R27" s="664" t="s">
        <v>14</v>
      </c>
      <c r="S27" s="665">
        <f>F27</f>
        <v>100</v>
      </c>
      <c r="T27" s="664" t="s">
        <v>14</v>
      </c>
      <c r="U27" s="665">
        <f>H27</f>
        <v>95</v>
      </c>
      <c r="V27" s="664" t="s">
        <v>14</v>
      </c>
      <c r="W27" s="665">
        <f>J27</f>
        <v>90</v>
      </c>
      <c r="X27" s="666"/>
      <c r="Y27" s="3377"/>
      <c r="Z27" s="50" t="str">
        <f>Q27</f>
        <v>人流量</v>
      </c>
      <c r="AA27" s="1264">
        <f>D27/F27</f>
        <v>1</v>
      </c>
      <c r="AB27" s="1264">
        <f>D27/H27</f>
        <v>1.0526315789473684</v>
      </c>
      <c r="AC27" s="1264">
        <f>D27/J27</f>
        <v>1.1111111111111112</v>
      </c>
    </row>
    <row r="28" spans="1:29" ht="15.5">
      <c r="A28" s="367"/>
      <c r="B28" s="364" t="s">
        <v>1783</v>
      </c>
      <c r="C28" s="542" t="s">
        <v>3474</v>
      </c>
      <c r="D28" s="374">
        <v>100</v>
      </c>
      <c r="E28" s="542" t="s">
        <v>3474</v>
      </c>
      <c r="F28" s="400">
        <f>SUMIF(92:92,E28,93:93)-SUMIF(92:92,C28,93:93)+100</f>
        <v>100</v>
      </c>
      <c r="G28" s="542" t="s">
        <v>3474</v>
      </c>
      <c r="H28" s="374">
        <f>SUMIF(92:92,G28,93:93)-SUMIF(92:92,C28,93:93)+100</f>
        <v>100</v>
      </c>
      <c r="I28" s="542" t="s">
        <v>3474</v>
      </c>
      <c r="J28" s="374">
        <f>SUMIF(92:92,I28,93:93)-SUMIF(92:92,C28,93:93)+100</f>
        <v>100</v>
      </c>
      <c r="K28" s="539"/>
      <c r="L28" s="2492"/>
      <c r="M28" s="2487"/>
      <c r="N28" s="2487"/>
      <c r="O28" s="2487"/>
      <c r="P28" s="337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5"/>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5">
      <c r="A32" s="379" t="s">
        <v>1694</v>
      </c>
      <c r="B32" s="60" t="s">
        <v>1784</v>
      </c>
      <c r="C32" s="1764" t="s">
        <v>3481</v>
      </c>
      <c r="D32" s="405">
        <v>100</v>
      </c>
      <c r="E32" s="1764" t="s">
        <v>3481</v>
      </c>
      <c r="F32" s="400">
        <f>SUMIF(100:100,E32,101:101)-SUMIF(100:100,C32,101:101)+100</f>
        <v>100</v>
      </c>
      <c r="G32" s="1764" t="s">
        <v>3481</v>
      </c>
      <c r="H32" s="374">
        <f>SUMIF(100:100,G32,101:101)-SUMIF(100:100,C32,101:101)+100</f>
        <v>100</v>
      </c>
      <c r="I32" s="1764" t="s">
        <v>3479</v>
      </c>
      <c r="J32" s="405">
        <f>SUMIF(100:100,I32,101:101)-SUMIF(100:100,C32,101:101)+100</f>
        <v>98</v>
      </c>
      <c r="K32" s="538">
        <v>2</v>
      </c>
      <c r="L32" s="2492"/>
      <c r="M32" s="2487"/>
      <c r="N32" s="2487"/>
      <c r="O32" s="2487"/>
      <c r="P32" s="3378" t="s">
        <v>1696</v>
      </c>
      <c r="Q32" s="1263" t="str">
        <f t="shared" si="11"/>
        <v>商业类型</v>
      </c>
      <c r="R32" s="667" t="s">
        <v>14</v>
      </c>
      <c r="S32" s="668">
        <f t="shared" si="12"/>
        <v>100</v>
      </c>
      <c r="T32" s="667" t="s">
        <v>14</v>
      </c>
      <c r="U32" s="668">
        <f t="shared" si="13"/>
        <v>100</v>
      </c>
      <c r="V32" s="667" t="s">
        <v>14</v>
      </c>
      <c r="W32" s="668">
        <f t="shared" si="14"/>
        <v>98</v>
      </c>
      <c r="X32" s="1265"/>
      <c r="Y32" s="3381" t="s">
        <v>1696</v>
      </c>
      <c r="Z32" s="1264" t="str">
        <f t="shared" si="15"/>
        <v>商业类型</v>
      </c>
      <c r="AA32" s="1264">
        <f t="shared" si="3"/>
        <v>1</v>
      </c>
      <c r="AB32" s="1264">
        <f t="shared" si="4"/>
        <v>1</v>
      </c>
      <c r="AC32" s="1264">
        <f t="shared" si="5"/>
        <v>1.0204081632653061</v>
      </c>
    </row>
    <row r="33" spans="1:29" s="408" customFormat="1" ht="15.5">
      <c r="A33" s="406"/>
      <c r="B33" s="364" t="s">
        <v>1697</v>
      </c>
      <c r="C33" s="407">
        <f>'数据-汇总表'!E19</f>
        <v>59.23</v>
      </c>
      <c r="D33" s="119">
        <v>100</v>
      </c>
      <c r="E33" s="369">
        <v>83</v>
      </c>
      <c r="F33" s="364">
        <f>LOOKUP(E33,103:103,104:104)-LOOKUP(C33,103:103,104:104)+100</f>
        <v>100</v>
      </c>
      <c r="G33" s="368">
        <v>102.9</v>
      </c>
      <c r="H33" s="119">
        <f>LOOKUP(G33,103:103,104:104)-LOOKUP(C33,103:103,104:104)+100</f>
        <v>99</v>
      </c>
      <c r="I33" s="368">
        <v>30.08</v>
      </c>
      <c r="J33" s="119">
        <f>LOOKUP(I33,103:103,104:104)-LOOKUP(C33,103:103,104:104)+100</f>
        <v>101</v>
      </c>
      <c r="K33" s="539"/>
      <c r="L33" s="2491"/>
      <c r="M33" s="2493"/>
      <c r="N33" s="2493"/>
      <c r="O33" s="2493"/>
      <c r="P33" s="3379"/>
      <c r="Q33" s="531" t="str">
        <f t="shared" si="11"/>
        <v>项目建筑规模</v>
      </c>
      <c r="R33" s="669" t="s">
        <v>14</v>
      </c>
      <c r="S33" s="670">
        <f t="shared" si="12"/>
        <v>100</v>
      </c>
      <c r="T33" s="669" t="s">
        <v>14</v>
      </c>
      <c r="U33" s="670">
        <f t="shared" si="13"/>
        <v>99</v>
      </c>
      <c r="V33" s="669" t="s">
        <v>14</v>
      </c>
      <c r="W33" s="670">
        <f t="shared" si="14"/>
        <v>101</v>
      </c>
      <c r="X33" s="671"/>
      <c r="Y33" s="3381"/>
      <c r="Z33" s="672" t="str">
        <f t="shared" si="15"/>
        <v>项目建筑规模</v>
      </c>
      <c r="AA33" s="1264">
        <f t="shared" si="3"/>
        <v>1</v>
      </c>
      <c r="AB33" s="1264">
        <f t="shared" si="4"/>
        <v>1.0101010101010102</v>
      </c>
      <c r="AC33" s="1264">
        <f t="shared" si="5"/>
        <v>0.99009900990099009</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2"/>
      <c r="M34" s="2487"/>
      <c r="N34" s="2487"/>
      <c r="O34" s="2487"/>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5">
      <c r="A36" s="409"/>
      <c r="B36" s="364" t="s">
        <v>1786</v>
      </c>
      <c r="C36" s="411">
        <f>'数据-取费表'!N6</f>
        <v>0.82</v>
      </c>
      <c r="D36" s="374">
        <v>100</v>
      </c>
      <c r="E36" s="411">
        <v>0.7</v>
      </c>
      <c r="F36" s="400">
        <f>LOOKUP(E36,110:110,111:111)-LOOKUP(C36,110:110,111:111)+100</f>
        <v>99</v>
      </c>
      <c r="G36" s="411">
        <v>0.7</v>
      </c>
      <c r="H36" s="400">
        <f>LOOKUP(G36,110:110,111:111)-LOOKUP(C36,110:110,111:111)+100</f>
        <v>99</v>
      </c>
      <c r="I36" s="411">
        <v>0.7</v>
      </c>
      <c r="J36" s="374">
        <f>LOOKUP(I36,110:110,111:111)-LOOKUP(C36,110:110,111:111)+100</f>
        <v>99</v>
      </c>
      <c r="K36" s="538">
        <v>1</v>
      </c>
      <c r="L36" s="2492"/>
      <c r="M36" s="2487"/>
      <c r="N36" s="2487"/>
      <c r="O36" s="2487"/>
      <c r="P36" s="3379"/>
      <c r="Q36" s="1263" t="str">
        <f t="shared" si="11"/>
        <v>成新度</v>
      </c>
      <c r="R36" s="667" t="s">
        <v>14</v>
      </c>
      <c r="S36" s="668">
        <f t="shared" si="12"/>
        <v>99</v>
      </c>
      <c r="T36" s="667" t="s">
        <v>14</v>
      </c>
      <c r="U36" s="668">
        <f t="shared" si="13"/>
        <v>99</v>
      </c>
      <c r="V36" s="667" t="s">
        <v>14</v>
      </c>
      <c r="W36" s="668">
        <f t="shared" si="14"/>
        <v>99</v>
      </c>
      <c r="X36" s="1265"/>
      <c r="Y36" s="3381"/>
      <c r="Z36" s="1264" t="str">
        <f t="shared" si="15"/>
        <v>成新度</v>
      </c>
      <c r="AA36" s="1264">
        <f t="shared" si="3"/>
        <v>1.0101010101010102</v>
      </c>
      <c r="AB36" s="1264">
        <f t="shared" si="4"/>
        <v>1.0101010101010102</v>
      </c>
      <c r="AC36" s="1264">
        <f t="shared" si="5"/>
        <v>1.0101010101010102</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39"/>
      <c r="N37" s="2439"/>
      <c r="O37" s="2439"/>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2"/>
      <c r="M39" s="2487"/>
      <c r="N39" s="2487"/>
      <c r="O39" s="2487"/>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2"/>
      <c r="M42" s="2487"/>
      <c r="N42" s="2487"/>
      <c r="O42" s="2487"/>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2"/>
      <c r="M43" s="2487"/>
      <c r="N43" s="2487"/>
      <c r="O43" s="2487"/>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c r="A47" s="416" t="s">
        <v>1708</v>
      </c>
      <c r="B47" s="417"/>
      <c r="C47" s="1081" t="s">
        <v>0</v>
      </c>
      <c r="D47" s="418"/>
      <c r="E47" s="419">
        <v>191567</v>
      </c>
      <c r="F47" s="420"/>
      <c r="G47" s="421">
        <v>154519</v>
      </c>
      <c r="H47" s="422"/>
      <c r="I47" s="419">
        <v>184508</v>
      </c>
      <c r="J47" s="422"/>
      <c r="K47" s="674"/>
      <c r="L47" s="2494"/>
      <c r="M47" s="2487"/>
      <c r="N47" s="2487"/>
      <c r="O47" s="2487"/>
      <c r="P47" s="3369" t="str">
        <f>A47</f>
        <v>成交单价（元/平方米）</v>
      </c>
      <c r="Q47" s="3369"/>
      <c r="R47" s="3370">
        <f>E47</f>
        <v>191567</v>
      </c>
      <c r="S47" s="3370"/>
      <c r="T47" s="3370">
        <f>G47</f>
        <v>154519</v>
      </c>
      <c r="U47" s="3370"/>
      <c r="V47" s="3370">
        <f>I47</f>
        <v>184508</v>
      </c>
      <c r="W47" s="3370"/>
      <c r="X47" s="385"/>
      <c r="Y47" s="673"/>
      <c r="Z47" s="385"/>
      <c r="AA47" s="385"/>
      <c r="AB47" s="385"/>
      <c r="AC47" s="385"/>
    </row>
    <row r="48" spans="1:29" ht="14.5" thickBot="1">
      <c r="A48" s="423" t="s">
        <v>1793</v>
      </c>
      <c r="B48" s="424"/>
      <c r="C48" s="1082">
        <f>R49</f>
        <v>184026</v>
      </c>
      <c r="D48" s="2140" t="s">
        <v>2138</v>
      </c>
      <c r="E48" s="1083">
        <f>R48</f>
        <v>184288</v>
      </c>
      <c r="F48" s="2141"/>
      <c r="G48" s="1082">
        <f>T48</f>
        <v>158051</v>
      </c>
      <c r="H48" s="2141"/>
      <c r="I48" s="1083">
        <f>V48</f>
        <v>209738</v>
      </c>
      <c r="J48" s="2141"/>
      <c r="K48" s="2143">
        <f>F48+H48+J48</f>
        <v>0</v>
      </c>
      <c r="L48" s="2494"/>
      <c r="M48" s="2487"/>
      <c r="N48" s="2487"/>
      <c r="O48" s="2487"/>
      <c r="P48" s="3369" t="str">
        <f>A48</f>
        <v>比较价值（元/平方米）</v>
      </c>
      <c r="Q48" s="3369"/>
      <c r="R48" s="3370">
        <f>IF(F1="售价",ROUND(PRODUCT(R47,AA7:AA46),0),ROUND(PRODUCT(R47,AA7:AA46),1))</f>
        <v>184288</v>
      </c>
      <c r="S48" s="3370"/>
      <c r="T48" s="3370">
        <f>IF(F1="售价",ROUND(PRODUCT(T47,AB7:AB46),0),ROUND(PRODUCT(T47,AB7:AB46),1))</f>
        <v>158051</v>
      </c>
      <c r="U48" s="3370"/>
      <c r="V48" s="3370">
        <f>IF(F1="售价",ROUND(PRODUCT(V47,AC7:AC46),0),ROUND(PRODUCT(V47,AC7:AC46),1))</f>
        <v>209738</v>
      </c>
      <c r="W48" s="3370"/>
      <c r="X48" s="385"/>
      <c r="Y48" s="385"/>
      <c r="Z48" s="385"/>
      <c r="AA48" s="385"/>
      <c r="AB48" s="385"/>
      <c r="AC48" s="385"/>
    </row>
    <row r="49" spans="1:29" ht="14.5" thickBot="1">
      <c r="A49" s="427" t="s">
        <v>1794</v>
      </c>
      <c r="B49" s="428"/>
      <c r="C49" s="351">
        <f>R49</f>
        <v>184026</v>
      </c>
      <c r="D49" s="351"/>
      <c r="E49" s="351"/>
      <c r="F49" s="351"/>
      <c r="G49" s="351"/>
      <c r="H49" s="351"/>
      <c r="I49" s="351"/>
      <c r="J49" s="351"/>
      <c r="K49" s="675"/>
      <c r="L49" s="2494"/>
      <c r="M49" s="2487"/>
      <c r="N49" s="2487"/>
      <c r="O49" s="2487"/>
      <c r="P49" s="3371" t="str">
        <f>A49</f>
        <v>估价对象XX用房的比较价值（楼面单价，元/平方米）</v>
      </c>
      <c r="Q49" s="3372"/>
      <c r="R49" s="3373">
        <f>IF(F1="售价",ROUND(IF(D48="简单平均",AVERAGE(R48:V48),R48*F48+T48*H48+V48*J48),0),ROUND(IF(D48="简单平均",AVERAGE(R48:V48),R48*F48+T48*H48+V48*J48),1))</f>
        <v>184026</v>
      </c>
      <c r="S49" s="3373"/>
      <c r="T49" s="3373"/>
      <c r="U49" s="3373"/>
      <c r="V49" s="3373"/>
      <c r="W49" s="337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3.9497959715228292E-2</v>
      </c>
      <c r="F52" s="435" t="str">
        <f>IF(OR(E52&gt;=0.3,E52&lt;=-0.3),"超过30%","")</f>
        <v/>
      </c>
      <c r="G52" s="434">
        <f>IF(G47&lt;G48,G48/G47-1,G47/G48-1)</f>
        <v>2.2858030404028007E-2</v>
      </c>
      <c r="H52" s="435" t="str">
        <f>IF(OR(G52&gt;=0.3,G52&lt;=-0.3),"超过30%","")</f>
        <v/>
      </c>
      <c r="I52" s="434">
        <f>IF(I47&lt;I48,I48/I47-1,I47/I48-1)</f>
        <v>0.13674203828560283</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0.16600337865625647</v>
      </c>
      <c r="F53" s="435" t="str">
        <f>IF(OR(E53&gt;=0.2,E53&lt;=-0.2),"超过20%","")</f>
        <v/>
      </c>
      <c r="G53" s="434">
        <f>IF(G48&lt;I48,I48/G48-1,G48/I48-1)</f>
        <v>0.32702735193070587</v>
      </c>
      <c r="H53" s="435" t="str">
        <f>IF(OR(G53&gt;=0.2,G53&lt;=-0.2),"超过20%","")</f>
        <v>超过20%</v>
      </c>
      <c r="I53" s="434">
        <f>IF(I48&lt;E48,E48/I48-1,I48/E48-1)</f>
        <v>0.13809906233721136</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0.23976339479287345</v>
      </c>
      <c r="F54" s="435" t="str">
        <f>IF(OR(E54&gt;=0.3,E54&lt;=-0.3),"超过30%","")</f>
        <v/>
      </c>
      <c r="G54" s="434">
        <f>IF(G47&lt;I47,I47/G47-1,G47/I47-1)</f>
        <v>0.19407969246500434</v>
      </c>
      <c r="H54" s="435" t="str">
        <f>IF(OR(G54&gt;=0.3,G54&lt;=-0.3),"超过30%","")</f>
        <v/>
      </c>
      <c r="I54" s="434">
        <f>IF(I47&lt;E47,E47/I47-1,I47/E47-1)</f>
        <v>3.8258503696316781E-2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c r="A61" s="455" t="s">
        <v>1681</v>
      </c>
      <c r="B61" s="444"/>
      <c r="C61" s="456" t="s">
        <v>1776</v>
      </c>
      <c r="D61" s="3172" t="s">
        <v>3455</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5"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t="s">
        <v>3484</v>
      </c>
      <c r="D65" s="513" t="s">
        <v>3485</v>
      </c>
      <c r="E65" s="513" t="s">
        <v>3486</v>
      </c>
      <c r="F65" s="513" t="s">
        <v>3487</v>
      </c>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3174" t="s">
        <v>3457</v>
      </c>
      <c r="D86" s="3174" t="s">
        <v>3459</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2"/>
      <c r="O87" s="2522"/>
      <c r="P87" s="2513"/>
      <c r="Q87" s="2508"/>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4" t="s">
        <v>3460</v>
      </c>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5" thickBot="1">
      <c r="A89" s="370"/>
      <c r="B89" s="474"/>
      <c r="C89" s="491">
        <v>100</v>
      </c>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5" thickTop="1">
      <c r="A90" s="484"/>
      <c r="B90" s="469" t="str">
        <f>B27</f>
        <v>人流量</v>
      </c>
      <c r="C90" s="3174" t="s">
        <v>3462</v>
      </c>
      <c r="D90" s="3174" t="s">
        <v>3464</v>
      </c>
      <c r="E90" s="3174" t="s">
        <v>3466</v>
      </c>
      <c r="F90" s="3174" t="s">
        <v>3467</v>
      </c>
      <c r="G90" s="3174" t="s">
        <v>3468</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3469</v>
      </c>
      <c r="D92" s="485" t="s">
        <v>3470</v>
      </c>
      <c r="E92" s="485" t="s">
        <v>3471</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v>100</v>
      </c>
      <c r="D93" s="467">
        <v>70</v>
      </c>
      <c r="E93" s="467">
        <f>ROUND((C93+D93)/2,0)</f>
        <v>85</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75" t="s">
        <v>3482</v>
      </c>
      <c r="D100" s="3175" t="s">
        <v>3480</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0(含)-50</v>
      </c>
      <c r="D102" s="509" t="str">
        <f t="shared" ref="D102:L102" si="24">D103&amp;"(含)"&amp;"-"&amp;E103</f>
        <v>50(含)-100</v>
      </c>
      <c r="E102" s="509" t="str">
        <f t="shared" si="24"/>
        <v>100(含)-200</v>
      </c>
      <c r="F102" s="509" t="str">
        <f t="shared" si="24"/>
        <v>200(含)-500</v>
      </c>
      <c r="G102" s="509" t="str">
        <f t="shared" si="24"/>
        <v>500(含)-800</v>
      </c>
      <c r="H102" s="509" t="str">
        <f t="shared" si="24"/>
        <v>800(含)-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200</v>
      </c>
      <c r="G103" s="6">
        <v>500</v>
      </c>
      <c r="H103" s="6">
        <v>800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3427</v>
      </c>
      <c r="D1" s="1271" t="s">
        <v>43</v>
      </c>
      <c r="E1" s="1272" t="s">
        <v>678</v>
      </c>
      <c r="F1" s="999">
        <f ca="1">J53</f>
        <v>28.35</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706.96299999999997</v>
      </c>
      <c r="C2" s="1289" t="s">
        <v>879</v>
      </c>
      <c r="D2" s="1375">
        <f ca="1">C40+J29+L46</f>
        <v>7069630</v>
      </c>
      <c r="E2" s="1295" t="s">
        <v>880</v>
      </c>
      <c r="F2" s="1296"/>
      <c r="G2" s="2478"/>
      <c r="H2" s="2468"/>
      <c r="I2" s="2468"/>
      <c r="J2" s="2468"/>
      <c r="K2" s="2469"/>
      <c r="L2" s="2468"/>
      <c r="M2" s="2468"/>
    </row>
    <row r="3" spans="1:37" ht="18" customHeight="1" thickBot="1">
      <c r="A3" s="1297" t="s">
        <v>881</v>
      </c>
      <c r="B3" s="1298">
        <f ca="1">IF(ISERROR(D2/F43),0,ROUND(D2/F43,0))</f>
        <v>119359</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487034</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486426</v>
      </c>
      <c r="D6" s="147" t="s">
        <v>2106</v>
      </c>
      <c r="E6" s="294" t="s">
        <v>696</v>
      </c>
      <c r="F6" s="295">
        <f ca="1">INDIRECT("'数据-取费表'!u"&amp;$G$1)</f>
        <v>25</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59.23</v>
      </c>
      <c r="G7" s="1292"/>
      <c r="H7" s="296"/>
      <c r="I7" s="3367"/>
      <c r="J7" s="298"/>
      <c r="K7" s="299"/>
      <c r="L7" s="294" t="s">
        <v>697</v>
      </c>
      <c r="M7" s="295">
        <f ca="1">F7</f>
        <v>59.23</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608</v>
      </c>
      <c r="D10" s="150" t="s">
        <v>2116</v>
      </c>
      <c r="E10" s="305" t="s">
        <v>701</v>
      </c>
      <c r="F10" s="1053" t="s">
        <v>3442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171795</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148075</v>
      </c>
      <c r="D14" s="1257" t="s">
        <v>708</v>
      </c>
      <c r="E14" s="1255"/>
      <c r="F14" s="311"/>
      <c r="G14" s="1292"/>
      <c r="H14" s="928" t="s">
        <v>398</v>
      </c>
      <c r="I14" s="294" t="s">
        <v>709</v>
      </c>
      <c r="J14" s="21">
        <f ca="1">C29</f>
        <v>209506</v>
      </c>
      <c r="K14" s="12"/>
      <c r="L14" s="759"/>
      <c r="M14" s="760"/>
    </row>
    <row r="15" spans="1:37" s="1304" customFormat="1" ht="18" customHeight="1" thickBot="1">
      <c r="A15" s="928" t="s">
        <v>399</v>
      </c>
      <c r="B15" s="294" t="s">
        <v>710</v>
      </c>
      <c r="C15" s="21">
        <f ca="1">ROUND(C14*F15,0)</f>
        <v>7404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1662</v>
      </c>
      <c r="K16" s="1024" t="s">
        <v>715</v>
      </c>
      <c r="L16" s="1025"/>
      <c r="M16" s="1009"/>
    </row>
    <row r="17" spans="1:37" s="1304" customFormat="1" ht="18" customHeight="1">
      <c r="A17" s="928" t="s">
        <v>681</v>
      </c>
      <c r="B17" s="294" t="s">
        <v>716</v>
      </c>
      <c r="C17" s="21">
        <f ca="1">ROUND(F17*(F43+INDIRECT("'数据-取费表'!S"&amp;$G$1)),0)</f>
        <v>11846</v>
      </c>
      <c r="D17" s="294" t="s">
        <v>717</v>
      </c>
      <c r="E17" s="294" t="s">
        <v>718</v>
      </c>
      <c r="F17" s="23">
        <f>'数据-取费表'!B35</f>
        <v>200</v>
      </c>
      <c r="G17" s="1303"/>
      <c r="H17" s="928" t="s">
        <v>398</v>
      </c>
      <c r="I17" s="294" t="s">
        <v>719</v>
      </c>
      <c r="J17" s="2139">
        <f ca="1">ROUND(IF(AND(项目基本情况!B11="自然人",项目基本情况!B10="北京市"),J6*M17/(1+'数据-取费表'!C42),J18+J19+J20),0)</f>
        <v>614</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2962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170287</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3406</v>
      </c>
      <c r="D20" s="315" t="s">
        <v>729</v>
      </c>
      <c r="E20" s="294" t="s">
        <v>712</v>
      </c>
      <c r="F20" s="314">
        <f>'数据-取费表'!B37</f>
        <v>0.02</v>
      </c>
      <c r="G20" s="1303"/>
      <c r="H20" s="928" t="s">
        <v>680</v>
      </c>
      <c r="I20" s="147" t="s">
        <v>730</v>
      </c>
      <c r="J20" s="22">
        <f ca="1">ROUND(M20*M21,0)</f>
        <v>614</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20.48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1048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2605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-1662</v>
      </c>
      <c r="K25" s="1032" t="s">
        <v>753</v>
      </c>
      <c r="L25" s="1033"/>
      <c r="M25" s="1034"/>
    </row>
    <row r="26" spans="1:37" ht="18" customHeight="1">
      <c r="A26" s="928" t="s">
        <v>397</v>
      </c>
      <c r="B26" s="294" t="s">
        <v>754</v>
      </c>
      <c r="C26" s="21">
        <f ca="1">ROUND((C19+C20)*F26,0)</f>
        <v>17369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209506</v>
      </c>
      <c r="D29" s="1029"/>
      <c r="E29" s="1027"/>
      <c r="F29" s="1030"/>
      <c r="G29" s="1303"/>
      <c r="H29" s="325" t="s">
        <v>396</v>
      </c>
      <c r="I29" s="326" t="s">
        <v>768</v>
      </c>
      <c r="J29" s="327">
        <f ca="1">ROUND(J26/(1+F40)^F41,0)</f>
        <v>0</v>
      </c>
      <c r="K29" s="328" t="s">
        <v>769</v>
      </c>
      <c r="L29" s="329"/>
      <c r="M29" s="330">
        <f ca="1">INDIRECT("'数据-取费表'!k"&amp;$G$1)</f>
        <v>59.23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85804</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82149</v>
      </c>
      <c r="D31" s="1257" t="s">
        <v>720</v>
      </c>
      <c r="E31" s="1256" t="s">
        <v>770</v>
      </c>
      <c r="F31" s="2138"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25943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55592</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614</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20.48</v>
      </c>
      <c r="G35" s="1292"/>
      <c r="H35" s="2470"/>
      <c r="I35" s="1305"/>
      <c r="J35" s="1306"/>
      <c r="K35" s="2474"/>
      <c r="L35" s="2473"/>
      <c r="M35" s="2473"/>
    </row>
    <row r="36" spans="1:18" ht="18" customHeight="1">
      <c r="A36" s="1039" t="s">
        <v>402</v>
      </c>
      <c r="B36" s="294" t="s">
        <v>738</v>
      </c>
      <c r="C36" s="21">
        <f ca="1">ROUND(C29*F36,0)</f>
        <v>1048</v>
      </c>
      <c r="D36" s="1256" t="s">
        <v>771</v>
      </c>
      <c r="E36" s="294" t="s">
        <v>712</v>
      </c>
      <c r="F36" s="320">
        <f ca="1">INDIRECT("'数据-取费表'!Ak"&amp;$G$1)</f>
        <v>5.0000000000000001E-3</v>
      </c>
      <c r="G36" s="1292"/>
      <c r="H36" s="2473"/>
      <c r="I36" s="1305"/>
      <c r="J36" s="1306"/>
      <c r="K36" s="2330"/>
      <c r="L36" s="2473"/>
      <c r="M36" s="2473"/>
    </row>
    <row r="37" spans="1:18" ht="18" customHeight="1">
      <c r="A37" s="928" t="s">
        <v>437</v>
      </c>
      <c r="B37" s="294" t="s">
        <v>742</v>
      </c>
      <c r="C37" s="21">
        <f ca="1">ROUND(C13*F37,0)</f>
        <v>172</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2435</v>
      </c>
      <c r="D38" s="1029" t="s">
        <v>748</v>
      </c>
      <c r="E38" s="1027" t="s">
        <v>744</v>
      </c>
      <c r="F38" s="1023">
        <f ca="1">INDIRECT("'数据-取费表'!Am"&amp;$G$1)</f>
        <v>5.0000000000000001E-3</v>
      </c>
      <c r="G38" s="1292"/>
      <c r="H38" s="2473"/>
      <c r="I38" s="1305"/>
      <c r="J38" s="1306"/>
      <c r="K38" s="2471"/>
      <c r="L38" s="2473"/>
      <c r="M38" s="2473"/>
    </row>
    <row r="39" spans="1:18" ht="24.65" customHeight="1" thickTop="1">
      <c r="A39" s="1016" t="s">
        <v>394</v>
      </c>
      <c r="B39" s="1031" t="s">
        <v>772</v>
      </c>
      <c r="C39" s="302">
        <f ca="1">C5-C30</f>
        <v>401230</v>
      </c>
      <c r="D39" s="1032" t="s">
        <v>773</v>
      </c>
      <c r="E39" s="1033"/>
      <c r="F39" s="1034"/>
      <c r="G39" s="1292"/>
      <c r="H39" s="2473">
        <f ca="1">C39/C5</f>
        <v>0.82382338810021472</v>
      </c>
      <c r="I39" s="1305"/>
      <c r="J39" s="1306"/>
      <c r="K39" s="2471"/>
      <c r="L39" s="2473"/>
      <c r="M39" s="2473"/>
    </row>
    <row r="40" spans="1:18" ht="18" customHeight="1">
      <c r="A40" s="291" t="s">
        <v>395</v>
      </c>
      <c r="B40" s="292" t="s">
        <v>774</v>
      </c>
      <c r="C40" s="293">
        <f ca="1">ROUND(C39*(1-((1+F42)/(1+F40))^F41)/(F40-F42),0)</f>
        <v>7058845</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28.35</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119177</v>
      </c>
      <c r="D43" s="328" t="s">
        <v>777</v>
      </c>
      <c r="E43" s="329" t="s">
        <v>778</v>
      </c>
      <c r="F43" s="330">
        <f ca="1">INDIRECT("'数据-取费表'!k"&amp;$G$1)</f>
        <v>59.23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-708.48820000000001</v>
      </c>
      <c r="D45" s="3130" t="s">
        <v>3352</v>
      </c>
      <c r="E45" s="1307"/>
      <c r="F45" s="1307"/>
      <c r="O45" s="1310" t="s">
        <v>808</v>
      </c>
      <c r="P45" s="1366"/>
      <c r="Q45" s="1366"/>
      <c r="R45" s="1366"/>
    </row>
    <row r="46" spans="1:18" s="1292" customFormat="1" ht="14" thickBot="1">
      <c r="A46" s="1311" t="s">
        <v>809</v>
      </c>
      <c r="C46" s="1312">
        <f ca="1">ROUND(C45,0)</f>
        <v>-708</v>
      </c>
      <c r="D46" s="1313" t="str">
        <f>C2</f>
        <v>万元</v>
      </c>
      <c r="I46" s="1314" t="s">
        <v>810</v>
      </c>
      <c r="J46" s="1315"/>
      <c r="K46" s="1316"/>
      <c r="L46" s="1317">
        <f ca="1">IF(M47="住宅",0,IF(L48&gt;J51,L60,J60))</f>
        <v>10785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3443</v>
      </c>
      <c r="K47" s="1323" t="s">
        <v>816</v>
      </c>
      <c r="L47" s="1324">
        <f ca="1">INDIRECT("'数据-取费表'!d"&amp;$G$1)</f>
        <v>40</v>
      </c>
      <c r="M47" s="1288" t="str">
        <f>IF(ISNUMBER(FIND("住宅",C1)),"住宅","非住宅")</f>
        <v>非住宅</v>
      </c>
      <c r="O47" s="1325" t="s">
        <v>403</v>
      </c>
      <c r="P47" s="1326" t="s">
        <v>817</v>
      </c>
      <c r="Q47" s="1327">
        <f ca="1">C40+J29</f>
        <v>7058845</v>
      </c>
      <c r="R47" s="1327" t="s">
        <v>818</v>
      </c>
    </row>
    <row r="48" spans="1:18" s="1292" customFormat="1" ht="43.5" thickBot="1">
      <c r="A48" s="1047" t="s">
        <v>438</v>
      </c>
      <c r="B48" s="292" t="s">
        <v>692</v>
      </c>
      <c r="C48" s="1268">
        <f ca="1">C49+C53+C55</f>
        <v>0</v>
      </c>
      <c r="D48" s="1049"/>
      <c r="E48" s="1050"/>
      <c r="F48" s="908"/>
      <c r="G48" s="681"/>
      <c r="H48" s="682"/>
      <c r="I48" s="1328" t="s">
        <v>819</v>
      </c>
      <c r="J48" s="1329" t="s">
        <v>3444</v>
      </c>
      <c r="K48" s="1330" t="s">
        <v>820</v>
      </c>
      <c r="L48" s="1331">
        <f ca="1">INDIRECT("'数据-取费表'!f"&amp;$G$1)</f>
        <v>28.35</v>
      </c>
      <c r="O48" s="1325" t="s">
        <v>404</v>
      </c>
      <c r="P48" s="1326" t="s">
        <v>821</v>
      </c>
      <c r="Q48" s="1327">
        <f ca="1">J60</f>
        <v>10785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2014</v>
      </c>
      <c r="K49" s="1330" t="s">
        <v>824</v>
      </c>
      <c r="L49" s="1333"/>
      <c r="O49" s="1334" t="s">
        <v>405</v>
      </c>
      <c r="P49" s="1326" t="s">
        <v>825</v>
      </c>
      <c r="Q49" s="1327">
        <f ca="1">C29</f>
        <v>209506</v>
      </c>
      <c r="R49" s="1327" t="s">
        <v>818</v>
      </c>
    </row>
    <row r="50" spans="1:18" s="1292" customFormat="1" ht="13.5" thickBot="1">
      <c r="A50" s="922"/>
      <c r="B50" s="925"/>
      <c r="C50" s="926"/>
      <c r="D50" s="899"/>
      <c r="E50" s="993" t="s">
        <v>697</v>
      </c>
      <c r="F50" s="994">
        <f ca="1">F7</f>
        <v>59.23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7071346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28.35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28.35</v>
      </c>
      <c r="K53" s="3364" t="s">
        <v>837</v>
      </c>
      <c r="L53" s="3365"/>
      <c r="O53" s="1325" t="s">
        <v>409</v>
      </c>
      <c r="P53" s="1326" t="s">
        <v>838</v>
      </c>
      <c r="Q53" s="1327">
        <f ca="1">Q47+Q48</f>
        <v>7069630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0.34399999999999997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171795</v>
      </c>
      <c r="D56" s="1352"/>
      <c r="E56" s="1353"/>
      <c r="F56" s="1345"/>
      <c r="I56" s="1354" t="s">
        <v>842</v>
      </c>
      <c r="J56" s="1355" t="s">
        <v>3435</v>
      </c>
      <c r="K56" s="1328" t="s">
        <v>843</v>
      </c>
      <c r="L56" s="1331" t="str">
        <f ca="1">IF(L48&lt;J51,"——",L48-J51)</f>
        <v>——</v>
      </c>
      <c r="O56" s="1325" t="s">
        <v>403</v>
      </c>
      <c r="P56" s="1326" t="s">
        <v>817</v>
      </c>
      <c r="Q56" s="1327">
        <f ca="1">C40+J29</f>
        <v>7058845</v>
      </c>
      <c r="R56" s="1327" t="s">
        <v>818</v>
      </c>
    </row>
    <row r="57" spans="1:18" s="1292" customFormat="1" ht="26.5" thickBot="1">
      <c r="A57" s="1356"/>
      <c r="B57" s="896" t="s">
        <v>767</v>
      </c>
      <c r="C57" s="230">
        <f ca="1">C29</f>
        <v>209506</v>
      </c>
      <c r="D57" s="1357"/>
      <c r="E57" s="1358"/>
      <c r="F57" s="1359"/>
      <c r="I57" s="1360" t="s">
        <v>844</v>
      </c>
      <c r="J57" s="1361">
        <f ca="1">IF(OR(M47="住宅",J51&lt;L48,J56="是"),"——",J51-L48)</f>
        <v>20.65</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1834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614</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83802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10785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614</v>
      </c>
      <c r="D62" s="911" t="s">
        <v>786</v>
      </c>
      <c r="E62" s="896" t="s">
        <v>787</v>
      </c>
      <c r="F62" s="317">
        <f t="shared" si="0"/>
        <v>30</v>
      </c>
      <c r="I62" s="1367" t="s">
        <v>858</v>
      </c>
      <c r="J62" s="610" t="s">
        <v>859</v>
      </c>
      <c r="K62" s="610" t="s">
        <v>860</v>
      </c>
      <c r="L62" s="610" t="s">
        <v>861</v>
      </c>
      <c r="M62" s="1368" t="s">
        <v>862</v>
      </c>
      <c r="O62" s="1325" t="s">
        <v>409</v>
      </c>
      <c r="P62" s="1326" t="s">
        <v>863</v>
      </c>
      <c r="Q62" s="1327">
        <f ca="1">Q56+Q57</f>
        <v>7058845</v>
      </c>
      <c r="R62" s="1327" t="s">
        <v>410</v>
      </c>
    </row>
    <row r="63" spans="1:18" s="1292" customFormat="1" ht="13.5" thickBot="1">
      <c r="A63" s="318"/>
      <c r="B63" s="902"/>
      <c r="C63" s="26"/>
      <c r="D63" s="912"/>
      <c r="E63" s="896" t="s">
        <v>788</v>
      </c>
      <c r="F63" s="295">
        <f t="shared" ca="1" si="0"/>
        <v>20.48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1048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172</v>
      </c>
      <c r="D65" s="910" t="s">
        <v>743</v>
      </c>
      <c r="E65" s="896" t="s">
        <v>744</v>
      </c>
      <c r="F65" s="321">
        <f t="shared" ca="1" si="0"/>
        <v>1E-3</v>
      </c>
      <c r="I65" s="1367" t="s">
        <v>867</v>
      </c>
      <c r="J65" s="610">
        <v>40</v>
      </c>
      <c r="K65" s="610">
        <v>30</v>
      </c>
      <c r="L65" s="610">
        <v>50</v>
      </c>
      <c r="M65" s="1369">
        <v>0.02</v>
      </c>
      <c r="O65" s="1325" t="s">
        <v>403</v>
      </c>
      <c r="P65" s="1326" t="s">
        <v>868</v>
      </c>
      <c r="Q65" s="1327">
        <f ca="1">C40+J29</f>
        <v>7058845</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-1834</v>
      </c>
      <c r="D67" s="909" t="s">
        <v>753</v>
      </c>
      <c r="E67" s="914"/>
      <c r="F67" s="915"/>
      <c r="O67" s="1334" t="s">
        <v>405</v>
      </c>
      <c r="P67" s="1326" t="s">
        <v>850</v>
      </c>
      <c r="Q67" s="1370">
        <f ca="1">L51</f>
        <v>7071346</v>
      </c>
      <c r="R67" s="1327" t="s">
        <v>870</v>
      </c>
    </row>
    <row r="68" spans="1:18" s="1292" customFormat="1" ht="16" thickBot="1">
      <c r="A68" s="893" t="s">
        <v>395</v>
      </c>
      <c r="B68" s="894" t="s">
        <v>774</v>
      </c>
      <c r="C68" s="293">
        <f ca="1">ROUND(C67*(1-((1+F70)/(1+F68))^F69)/(F68-F70),0)</f>
        <v>-26037</v>
      </c>
      <c r="D68" s="911" t="s">
        <v>758</v>
      </c>
      <c r="E68" s="896" t="s">
        <v>759</v>
      </c>
      <c r="F68" s="304">
        <f ca="1">F40</f>
        <v>5.5E-2</v>
      </c>
      <c r="O68" s="1334" t="s">
        <v>406</v>
      </c>
      <c r="P68" s="1371" t="s">
        <v>871</v>
      </c>
      <c r="Q68" s="1327">
        <f ca="1">ROUND(Q69-Q70*Q71,0)</f>
        <v>389204</v>
      </c>
      <c r="R68" s="1327" t="s">
        <v>414</v>
      </c>
    </row>
    <row r="69" spans="1:18" s="1292" customFormat="1" ht="13.5" thickBot="1">
      <c r="A69" s="897"/>
      <c r="B69" s="898"/>
      <c r="C69" s="298"/>
      <c r="D69" s="916" t="s">
        <v>762</v>
      </c>
      <c r="E69" s="896" t="s">
        <v>763</v>
      </c>
      <c r="F69" s="324">
        <f ca="1">F41</f>
        <v>28.35</v>
      </c>
      <c r="O69" s="1334" t="s">
        <v>411</v>
      </c>
      <c r="P69" s="1371" t="s">
        <v>872</v>
      </c>
      <c r="Q69" s="1327">
        <f ca="1">C39</f>
        <v>401230</v>
      </c>
      <c r="R69" s="1327" t="s">
        <v>818</v>
      </c>
    </row>
    <row r="70" spans="1:18" s="1292" customFormat="1" ht="13.5" thickBot="1">
      <c r="A70" s="900"/>
      <c r="B70" s="901"/>
      <c r="C70" s="302"/>
      <c r="D70" s="912"/>
      <c r="E70" s="896" t="s">
        <v>766</v>
      </c>
      <c r="F70" s="991"/>
      <c r="O70" s="1334" t="s">
        <v>412</v>
      </c>
      <c r="P70" s="1371" t="s">
        <v>873</v>
      </c>
      <c r="Q70" s="1327">
        <f ca="1">C13</f>
        <v>171795</v>
      </c>
      <c r="R70" s="1327" t="s">
        <v>818</v>
      </c>
    </row>
    <row r="71" spans="1:18" s="1292" customFormat="1" ht="13.5" thickBot="1">
      <c r="A71" s="917" t="s">
        <v>396</v>
      </c>
      <c r="B71" s="918" t="s">
        <v>776</v>
      </c>
      <c r="C71" s="327">
        <f ca="1">ROUND(C68/F71,0)</f>
        <v>-440</v>
      </c>
      <c r="D71" s="919" t="s">
        <v>777</v>
      </c>
      <c r="E71" s="920" t="s">
        <v>778</v>
      </c>
      <c r="F71" s="330">
        <f ca="1">F43</f>
        <v>59.23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12026</v>
      </c>
      <c r="D75" s="1292"/>
      <c r="E75" s="1292"/>
      <c r="F75" s="1292"/>
      <c r="K75" s="1309"/>
      <c r="L75" s="1292"/>
      <c r="O75" s="1325" t="s">
        <v>409</v>
      </c>
      <c r="P75" s="1326" t="s">
        <v>838</v>
      </c>
      <c r="Q75" s="1327">
        <f ca="1">Q65+Q66</f>
        <v>7058845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0.97</v>
      </c>
    </row>
    <row r="80" spans="1:18" ht="13">
      <c r="B80" s="331" t="s">
        <v>800</v>
      </c>
      <c r="C80" s="266">
        <f ca="1">ROUND(C75/C39,3)</f>
        <v>0.03</v>
      </c>
    </row>
    <row r="81" spans="2:3" ht="13.5">
      <c r="B81" s="262" t="s">
        <v>801</v>
      </c>
      <c r="C81" s="230"/>
    </row>
    <row r="82" spans="2:3" ht="13">
      <c r="B82" s="265" t="s">
        <v>802</v>
      </c>
      <c r="C82" s="267">
        <f ca="1">1-C83</f>
        <v>0.97599999999999998</v>
      </c>
    </row>
    <row r="83" spans="2:3" ht="13">
      <c r="B83" s="265" t="s">
        <v>803</v>
      </c>
      <c r="C83" s="266">
        <f ca="1">ROUND(C13/C40,3)</f>
        <v>2.4E-2</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54109-C34C-42A9-B25F-FA0382305647}">
  <sheetPr>
    <tabColor rgb="FF7030A0"/>
  </sheetPr>
  <dimension ref="A1"/>
  <sheetViews>
    <sheetView workbookViewId="0">
      <selection activeCell="S118" sqref="S118"/>
    </sheetView>
  </sheetViews>
  <sheetFormatPr defaultRowHeight="14"/>
  <sheetData/>
  <phoneticPr fontId="13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096D6-699B-4FFD-8065-12737CB03B88}">
  <sheetPr>
    <tabColor rgb="FF7030A0"/>
  </sheetPr>
  <dimension ref="P3:Q10"/>
  <sheetViews>
    <sheetView workbookViewId="0">
      <selection activeCell="P4" sqref="P4"/>
    </sheetView>
  </sheetViews>
  <sheetFormatPr defaultRowHeight="14"/>
  <sheetData>
    <row r="3" spans="16:17">
      <c r="P3" s="1405" t="s">
        <v>3473</v>
      </c>
    </row>
    <row r="4" spans="16:17">
      <c r="Q4" s="1405" t="s">
        <v>3450</v>
      </c>
    </row>
    <row r="5" spans="16:17">
      <c r="P5" s="1405" t="s">
        <v>3445</v>
      </c>
      <c r="Q5">
        <v>100</v>
      </c>
    </row>
    <row r="6" spans="16:17">
      <c r="P6" s="1405" t="s">
        <v>3446</v>
      </c>
      <c r="Q6" s="1405" t="s">
        <v>3447</v>
      </c>
    </row>
    <row r="7" spans="16:17">
      <c r="P7" s="1405" t="s">
        <v>3448</v>
      </c>
      <c r="Q7">
        <v>1000000</v>
      </c>
    </row>
    <row r="8" spans="16:17">
      <c r="P8" s="1405" t="s">
        <v>3449</v>
      </c>
      <c r="Q8">
        <f>ROUND(Q7/365/Q5,2)</f>
        <v>27.4</v>
      </c>
    </row>
    <row r="10" spans="16:17">
      <c r="P10" s="1405" t="s">
        <v>3472</v>
      </c>
    </row>
  </sheetData>
  <phoneticPr fontId="13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3358</v>
      </c>
      <c r="E2" s="3139"/>
      <c r="F2" s="2597"/>
      <c r="G2" s="2598"/>
      <c r="H2" s="2599"/>
      <c r="I2" s="2600"/>
      <c r="J2" s="3420" t="s">
        <v>2317</v>
      </c>
      <c r="K2" s="3421"/>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22" t="s">
        <v>2327</v>
      </c>
      <c r="K3" s="3423"/>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22" t="s">
        <v>2329</v>
      </c>
      <c r="K4" s="3423"/>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28" t="s">
        <v>2333</v>
      </c>
      <c r="B6" s="3429"/>
      <c r="C6" s="3430"/>
      <c r="D6" s="2621"/>
      <c r="E6" s="2622"/>
      <c r="F6" s="2623"/>
      <c r="G6" s="2624"/>
      <c r="H6" s="2599"/>
      <c r="I6" s="2600"/>
      <c r="J6" s="3414">
        <v>1</v>
      </c>
      <c r="K6" s="341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14"/>
      <c r="K7" s="3416"/>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31" t="s">
        <v>2347</v>
      </c>
      <c r="C8" s="3432"/>
      <c r="D8" s="2640" t="s">
        <v>2348</v>
      </c>
      <c r="E8" s="2641" t="s">
        <v>2349</v>
      </c>
      <c r="F8" s="2642" t="s">
        <v>2350</v>
      </c>
      <c r="G8" s="2643"/>
      <c r="H8" s="2599"/>
      <c r="I8" s="2600"/>
      <c r="J8" s="3414"/>
      <c r="K8" s="3416"/>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31" t="s">
        <v>2353</v>
      </c>
      <c r="C9" s="3432"/>
      <c r="D9" s="2640">
        <f>ROUND(D6*E9,0)</f>
        <v>0</v>
      </c>
      <c r="E9" s="2644"/>
      <c r="F9" s="2645" t="s">
        <v>2354</v>
      </c>
      <c r="G9" s="2624"/>
      <c r="H9" s="2599"/>
      <c r="I9" s="2600"/>
      <c r="J9" s="3414"/>
      <c r="K9" s="3416"/>
      <c r="L9" s="2634" t="s">
        <v>2355</v>
      </c>
      <c r="M9" s="2635"/>
      <c r="N9" s="2611"/>
      <c r="O9" s="2636"/>
      <c r="P9" s="2636"/>
      <c r="Q9" s="2637">
        <v>365</v>
      </c>
      <c r="R9" s="2638">
        <f t="shared" si="0"/>
        <v>0</v>
      </c>
      <c r="S9" s="2592"/>
      <c r="T9" s="2592"/>
      <c r="U9" s="2592"/>
      <c r="V9" s="2600"/>
    </row>
    <row r="10" spans="1:22" s="2604" customFormat="1" ht="13.15" customHeight="1">
      <c r="A10" s="2639">
        <v>2</v>
      </c>
      <c r="B10" s="3431" t="s">
        <v>2356</v>
      </c>
      <c r="C10" s="3432"/>
      <c r="D10" s="2640">
        <f>ROUND(D6*E10,0)</f>
        <v>0</v>
      </c>
      <c r="E10" s="2644"/>
      <c r="F10" s="2645" t="s">
        <v>2357</v>
      </c>
      <c r="G10" s="2624"/>
      <c r="H10" s="2599"/>
      <c r="I10" s="2600"/>
      <c r="J10" s="3414"/>
      <c r="K10" s="3416"/>
      <c r="L10" s="2634" t="s">
        <v>2358</v>
      </c>
      <c r="M10" s="2635"/>
      <c r="N10" s="2611"/>
      <c r="O10" s="2636"/>
      <c r="P10" s="2636"/>
      <c r="Q10" s="2637">
        <v>365</v>
      </c>
      <c r="R10" s="2638">
        <f t="shared" si="0"/>
        <v>0</v>
      </c>
      <c r="S10" s="2592"/>
      <c r="T10" s="2592"/>
      <c r="U10" s="2592"/>
      <c r="V10" s="2600"/>
    </row>
    <row r="11" spans="1:22" s="2604" customFormat="1" ht="13.15" customHeight="1">
      <c r="A11" s="2639">
        <v>3</v>
      </c>
      <c r="B11" s="3431" t="s">
        <v>2359</v>
      </c>
      <c r="C11" s="3432"/>
      <c r="D11" s="2640">
        <f>D12+D14+D15+D16</f>
        <v>0</v>
      </c>
      <c r="E11" s="2646" t="e">
        <f>D11/D6</f>
        <v>#DIV/0!</v>
      </c>
      <c r="F11" s="2642"/>
      <c r="G11" s="2643"/>
      <c r="H11" s="2599"/>
      <c r="I11" s="2600"/>
      <c r="J11" s="3414"/>
      <c r="K11" s="3416"/>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24" t="s">
        <v>2362</v>
      </c>
      <c r="C12" s="3425"/>
      <c r="D12" s="2648">
        <f>ROUND(D13*1.2%*(1-30%),0)</f>
        <v>0</v>
      </c>
      <c r="E12" s="2649">
        <v>1.2E-2</v>
      </c>
      <c r="F12" s="2642" t="s">
        <v>2363</v>
      </c>
      <c r="G12" s="2643"/>
      <c r="H12" s="2599"/>
      <c r="I12" s="2600"/>
      <c r="J12" s="3414"/>
      <c r="K12" s="3416"/>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14"/>
      <c r="K13" s="3416"/>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24" t="s">
        <v>2368</v>
      </c>
      <c r="C14" s="3425"/>
      <c r="D14" s="2648">
        <f>ROUND(E14*B5/10000,0)</f>
        <v>0</v>
      </c>
      <c r="E14" s="2637"/>
      <c r="F14" s="2642" t="s">
        <v>2369</v>
      </c>
      <c r="G14" s="2643"/>
      <c r="H14" s="2599"/>
      <c r="I14" s="2600"/>
      <c r="J14" s="3414"/>
      <c r="K14" s="341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24" t="s">
        <v>2372</v>
      </c>
      <c r="C15" s="3425"/>
      <c r="D15" s="2648">
        <f>ROUND(D6*E15,0)</f>
        <v>0</v>
      </c>
      <c r="E15" s="2649">
        <v>5.5E-2</v>
      </c>
      <c r="F15" s="2642" t="s">
        <v>2373</v>
      </c>
      <c r="G15" s="2624"/>
      <c r="H15" s="2599"/>
      <c r="I15" s="2600"/>
      <c r="J15" s="3414">
        <v>2</v>
      </c>
      <c r="K15" s="341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24" t="s">
        <v>2381</v>
      </c>
      <c r="C16" s="3425"/>
      <c r="D16" s="2659">
        <f>D6*E16</f>
        <v>0</v>
      </c>
      <c r="E16" s="2660"/>
      <c r="F16" s="2645" t="s">
        <v>2382</v>
      </c>
      <c r="G16" s="2624"/>
      <c r="H16" s="2599"/>
      <c r="I16" s="2600"/>
      <c r="J16" s="3414"/>
      <c r="K16" s="3416"/>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26" t="s">
        <v>2384</v>
      </c>
      <c r="C17" s="3427"/>
      <c r="D17" s="2662">
        <f>ROUND(D6*E17,0)</f>
        <v>0</v>
      </c>
      <c r="E17" s="2663"/>
      <c r="F17" s="2664" t="s">
        <v>2385</v>
      </c>
      <c r="G17" s="2624"/>
      <c r="H17" s="2599"/>
      <c r="I17" s="2600"/>
      <c r="J17" s="3414"/>
      <c r="K17" s="3416"/>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14"/>
      <c r="K18" s="3416"/>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14"/>
      <c r="K19" s="341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4">
        <v>3</v>
      </c>
      <c r="K20" s="341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14"/>
      <c r="K21" s="3416"/>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14"/>
      <c r="K22" s="3416"/>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14"/>
      <c r="K23" s="3416"/>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14"/>
      <c r="K24" s="341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18">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1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20" t="s">
        <v>2317</v>
      </c>
      <c r="K32" s="3421"/>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22" t="s">
        <v>2327</v>
      </c>
      <c r="K33" s="3423"/>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22" t="s">
        <v>2329</v>
      </c>
      <c r="K34" s="342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14">
        <v>1</v>
      </c>
      <c r="K36" s="3415"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14"/>
      <c r="K37" s="3416"/>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4"/>
      <c r="K38" s="3416"/>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14"/>
      <c r="K39" s="3416"/>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14"/>
      <c r="K40" s="3417"/>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8">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1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706.96299999999997</v>
      </c>
      <c r="C2" s="1729" t="s">
        <v>1651</v>
      </c>
      <c r="D2" s="1730" t="s">
        <v>1652</v>
      </c>
      <c r="E2" s="2392">
        <f>SUM(E6:E13)</f>
        <v>59.23</v>
      </c>
      <c r="F2" s="2479"/>
      <c r="G2" s="459"/>
      <c r="H2" s="459"/>
      <c r="I2" s="459"/>
      <c r="J2" s="459"/>
      <c r="K2" s="459"/>
      <c r="L2" s="459"/>
      <c r="M2" s="459"/>
      <c r="N2" s="459"/>
      <c r="O2" s="459"/>
      <c r="P2" s="459"/>
      <c r="Q2" s="459"/>
      <c r="R2" s="459"/>
      <c r="S2" s="459"/>
    </row>
    <row r="3" spans="1:22" ht="15.5">
      <c r="A3" s="1728" t="s">
        <v>686</v>
      </c>
      <c r="B3" s="2386">
        <f ca="1">ROUND(B2*10000/E2,0)</f>
        <v>119359</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8" t="s">
        <v>1653</v>
      </c>
      <c r="B5" s="3433" t="s">
        <v>1654</v>
      </c>
      <c r="C5" s="3434"/>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706.96299999999997</v>
      </c>
      <c r="C6" s="1729" t="s">
        <v>1651</v>
      </c>
      <c r="D6" s="2479"/>
      <c r="E6" s="2391">
        <f>IF(OR(A6=0,F6="否"),0,'数据-取费表'!K6+'数据-取费表'!S6)</f>
        <v>59.23</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59.23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387" t="s">
        <v>1667</v>
      </c>
      <c r="D4" s="3388"/>
      <c r="E4" s="3389" t="s">
        <v>1668</v>
      </c>
      <c r="F4" s="3390"/>
      <c r="G4" s="3387" t="s">
        <v>1669</v>
      </c>
      <c r="H4" s="3388"/>
      <c r="I4" s="3387" t="s">
        <v>1670</v>
      </c>
      <c r="J4" s="3388"/>
      <c r="K4" s="1744" t="s">
        <v>1671</v>
      </c>
      <c r="L4" s="2486"/>
      <c r="M4" s="2487"/>
      <c r="N4" s="2487"/>
      <c r="O4" s="2487"/>
      <c r="P4" s="3391" t="s">
        <v>1672</v>
      </c>
      <c r="Q4" s="3392"/>
      <c r="R4" s="3397" t="s">
        <v>1668</v>
      </c>
      <c r="S4" s="3398"/>
      <c r="T4" s="3397" t="s">
        <v>1669</v>
      </c>
      <c r="U4" s="3398"/>
      <c r="V4" s="3370" t="s">
        <v>1670</v>
      </c>
      <c r="W4" s="3370"/>
      <c r="X4" s="1265"/>
      <c r="Y4" s="3397" t="s">
        <v>1672</v>
      </c>
      <c r="Z4" s="3398"/>
      <c r="AA4" s="3384" t="s">
        <v>1668</v>
      </c>
      <c r="AB4" s="3384" t="s">
        <v>1669</v>
      </c>
      <c r="AC4" s="3384" t="s">
        <v>1670</v>
      </c>
    </row>
    <row r="5" spans="1:29">
      <c r="A5" s="348"/>
      <c r="B5" s="349"/>
      <c r="C5" s="3435" t="s">
        <v>1673</v>
      </c>
      <c r="D5" s="3406"/>
      <c r="E5" s="3436" t="s">
        <v>1674</v>
      </c>
      <c r="F5" s="3413"/>
      <c r="G5" s="3435" t="s">
        <v>1675</v>
      </c>
      <c r="H5" s="3406"/>
      <c r="I5" s="3435" t="s">
        <v>1676</v>
      </c>
      <c r="J5" s="3406"/>
      <c r="K5" s="1745"/>
      <c r="L5" s="2486"/>
      <c r="M5" s="2487"/>
      <c r="N5" s="2487"/>
      <c r="O5" s="2487"/>
      <c r="P5" s="3393"/>
      <c r="Q5" s="3394"/>
      <c r="R5" s="3399"/>
      <c r="S5" s="3400"/>
      <c r="T5" s="3399"/>
      <c r="U5" s="3400"/>
      <c r="V5" s="3370"/>
      <c r="W5" s="3370"/>
      <c r="X5" s="1265"/>
      <c r="Y5" s="3399"/>
      <c r="Z5" s="3400"/>
      <c r="AA5" s="3385"/>
      <c r="AB5" s="3385"/>
      <c r="AC5" s="3385"/>
    </row>
    <row r="6" spans="1:29" ht="15" thickBot="1">
      <c r="A6" s="350"/>
      <c r="B6" s="351"/>
      <c r="C6" s="3403" t="s">
        <v>1677</v>
      </c>
      <c r="D6" s="3404"/>
      <c r="E6" s="3410" t="s">
        <v>1677</v>
      </c>
      <c r="F6" s="3411"/>
      <c r="G6" s="3403" t="s">
        <v>1677</v>
      </c>
      <c r="H6" s="3404"/>
      <c r="I6" s="3403" t="s">
        <v>1677</v>
      </c>
      <c r="J6" s="3404"/>
      <c r="K6" s="1745" t="s">
        <v>1678</v>
      </c>
      <c r="L6" s="2486"/>
      <c r="M6" s="2487"/>
      <c r="N6" s="2487"/>
      <c r="O6" s="2487"/>
      <c r="P6" s="3395"/>
      <c r="Q6" s="3396"/>
      <c r="R6" s="3399"/>
      <c r="S6" s="3400"/>
      <c r="T6" s="3401"/>
      <c r="U6" s="3402"/>
      <c r="V6" s="3370"/>
      <c r="W6" s="3370"/>
      <c r="X6" s="1265"/>
      <c r="Y6" s="3401"/>
      <c r="Z6" s="3402"/>
      <c r="AA6" s="3386"/>
      <c r="AB6" s="3386"/>
      <c r="AC6" s="3386"/>
    </row>
    <row r="7" spans="1:29" s="102" customFormat="1" ht="14.5" thickBot="1">
      <c r="A7" s="352" t="s">
        <v>1679</v>
      </c>
      <c r="B7" s="353"/>
      <c r="C7" s="354">
        <f>'数据-取费表'!B2</f>
        <v>45896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07" t="s">
        <v>1680</v>
      </c>
      <c r="Q7" s="3409"/>
      <c r="R7" s="664" t="s">
        <v>20</v>
      </c>
      <c r="S7" s="665">
        <f t="shared" ref="S7:S15" si="0">F7</f>
        <v>0</v>
      </c>
      <c r="T7" s="664" t="s">
        <v>20</v>
      </c>
      <c r="U7" s="665">
        <f t="shared" ref="U7:U15" si="1">H7</f>
        <v>0</v>
      </c>
      <c r="V7" s="664" t="s">
        <v>20</v>
      </c>
      <c r="W7" s="665">
        <f t="shared" ref="W7:W15" si="2">J7</f>
        <v>0</v>
      </c>
      <c r="X7" s="666"/>
      <c r="Y7" s="3407" t="s">
        <v>1680</v>
      </c>
      <c r="Z7" s="340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8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3"/>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3"/>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3"/>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3"/>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4"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5"/>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375"/>
      <c r="Q18" s="1263"/>
      <c r="R18" s="667"/>
      <c r="S18" s="668"/>
      <c r="T18" s="667"/>
      <c r="U18" s="668"/>
      <c r="V18" s="667"/>
      <c r="W18" s="668"/>
      <c r="X18" s="1265"/>
      <c r="Y18" s="337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5"/>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375"/>
      <c r="Q20" s="1263"/>
      <c r="R20" s="667"/>
      <c r="S20" s="668"/>
      <c r="T20" s="667"/>
      <c r="U20" s="668"/>
      <c r="V20" s="667"/>
      <c r="W20" s="668"/>
      <c r="X20" s="1265"/>
      <c r="Y20" s="337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375"/>
      <c r="Q22" s="1263"/>
      <c r="R22" s="667"/>
      <c r="S22" s="668"/>
      <c r="T22" s="667"/>
      <c r="U22" s="668"/>
      <c r="V22" s="667"/>
      <c r="W22" s="668"/>
      <c r="X22" s="1265"/>
      <c r="Y22" s="337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5"/>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375"/>
      <c r="Q24" s="1263"/>
      <c r="R24" s="667"/>
      <c r="S24" s="668"/>
      <c r="T24" s="667"/>
      <c r="U24" s="668"/>
      <c r="V24" s="667"/>
      <c r="W24" s="668"/>
      <c r="X24" s="1265"/>
      <c r="Y24" s="337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5"/>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75"/>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5"/>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5"/>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5"/>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5"/>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59.23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387" t="s">
        <v>1770</v>
      </c>
      <c r="D4" s="3388"/>
      <c r="E4" s="3389" t="s">
        <v>1771</v>
      </c>
      <c r="F4" s="3390"/>
      <c r="G4" s="3387" t="s">
        <v>1772</v>
      </c>
      <c r="H4" s="3388"/>
      <c r="I4" s="3387" t="s">
        <v>1773</v>
      </c>
      <c r="J4" s="3388"/>
      <c r="K4" s="537" t="s">
        <v>1774</v>
      </c>
      <c r="L4" s="2486"/>
      <c r="M4" s="2487"/>
      <c r="N4" s="2487"/>
      <c r="O4" s="2487"/>
      <c r="P4" s="3443" t="s">
        <v>1775</v>
      </c>
      <c r="Q4" s="3444"/>
      <c r="R4" s="3447" t="s">
        <v>1771</v>
      </c>
      <c r="S4" s="3448"/>
      <c r="T4" s="3447" t="s">
        <v>1772</v>
      </c>
      <c r="U4" s="3448"/>
      <c r="V4" s="3449" t="s">
        <v>1773</v>
      </c>
      <c r="W4" s="3449"/>
      <c r="X4" s="1809"/>
      <c r="Y4" s="3447" t="s">
        <v>1775</v>
      </c>
      <c r="Z4" s="3448"/>
      <c r="AA4" s="3451" t="s">
        <v>1771</v>
      </c>
      <c r="AB4" s="3451" t="s">
        <v>1772</v>
      </c>
      <c r="AC4" s="3440" t="s">
        <v>1773</v>
      </c>
    </row>
    <row r="5" spans="1:29">
      <c r="A5" s="348"/>
      <c r="B5" s="349"/>
      <c r="C5" s="3435" t="s">
        <v>1673</v>
      </c>
      <c r="D5" s="3406"/>
      <c r="E5" s="3436" t="s">
        <v>1674</v>
      </c>
      <c r="F5" s="3413"/>
      <c r="G5" s="3435" t="s">
        <v>1675</v>
      </c>
      <c r="H5" s="3406"/>
      <c r="I5" s="3435" t="s">
        <v>1676</v>
      </c>
      <c r="J5" s="3406"/>
      <c r="K5" s="537"/>
      <c r="L5" s="2486"/>
      <c r="M5" s="2487"/>
      <c r="N5" s="2487"/>
      <c r="O5" s="2487"/>
      <c r="P5" s="3445"/>
      <c r="Q5" s="3394"/>
      <c r="R5" s="3399"/>
      <c r="S5" s="3400"/>
      <c r="T5" s="3399"/>
      <c r="U5" s="3400"/>
      <c r="V5" s="3370"/>
      <c r="W5" s="3370"/>
      <c r="X5" s="1265"/>
      <c r="Y5" s="3399"/>
      <c r="Z5" s="3400"/>
      <c r="AA5" s="3385"/>
      <c r="AB5" s="3385"/>
      <c r="AC5" s="3441"/>
    </row>
    <row r="6" spans="1:29" ht="15" thickBot="1">
      <c r="A6" s="350"/>
      <c r="B6" s="351"/>
      <c r="C6" s="3403" t="s">
        <v>1677</v>
      </c>
      <c r="D6" s="3404"/>
      <c r="E6" s="3410" t="s">
        <v>1677</v>
      </c>
      <c r="F6" s="3411"/>
      <c r="G6" s="3403" t="s">
        <v>1677</v>
      </c>
      <c r="H6" s="3404"/>
      <c r="I6" s="3403" t="s">
        <v>1677</v>
      </c>
      <c r="J6" s="3404"/>
      <c r="K6" s="537" t="s">
        <v>1678</v>
      </c>
      <c r="L6" s="2486"/>
      <c r="M6" s="2487"/>
      <c r="N6" s="2487"/>
      <c r="O6" s="2487"/>
      <c r="P6" s="3446"/>
      <c r="Q6" s="3396"/>
      <c r="R6" s="3399"/>
      <c r="S6" s="3400"/>
      <c r="T6" s="3401"/>
      <c r="U6" s="3402"/>
      <c r="V6" s="3370"/>
      <c r="W6" s="3370"/>
      <c r="X6" s="1265"/>
      <c r="Y6" s="3401"/>
      <c r="Z6" s="3402"/>
      <c r="AA6" s="3386"/>
      <c r="AB6" s="3386"/>
      <c r="AC6" s="3442"/>
    </row>
    <row r="7" spans="1:29" s="102" customFormat="1" ht="14.5" thickBot="1">
      <c r="A7" s="352" t="s">
        <v>1679</v>
      </c>
      <c r="B7" s="353"/>
      <c r="C7" s="354">
        <f>'数据-取费表'!B2</f>
        <v>45896</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0"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0" t="s">
        <v>1683</v>
      </c>
      <c r="Q8" s="3408"/>
      <c r="R8" s="664" t="s">
        <v>14</v>
      </c>
      <c r="S8" s="665">
        <f t="shared" si="0"/>
        <v>100</v>
      </c>
      <c r="T8" s="664" t="s">
        <v>14</v>
      </c>
      <c r="U8" s="665">
        <f t="shared" si="1"/>
        <v>100</v>
      </c>
      <c r="V8" s="664" t="s">
        <v>14</v>
      </c>
      <c r="W8" s="665">
        <f t="shared" si="2"/>
        <v>100</v>
      </c>
      <c r="X8" s="666"/>
      <c r="Y8" s="3407" t="s">
        <v>1683</v>
      </c>
      <c r="Z8" s="340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8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4"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375"/>
      <c r="Q16" s="1263"/>
      <c r="R16" s="667"/>
      <c r="S16" s="668"/>
      <c r="T16" s="667"/>
      <c r="U16" s="668"/>
      <c r="V16" s="667"/>
      <c r="W16" s="668"/>
      <c r="X16" s="1265"/>
      <c r="Y16" s="3377"/>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375"/>
      <c r="Q18" s="1263"/>
      <c r="R18" s="667"/>
      <c r="S18" s="668"/>
      <c r="T18" s="667"/>
      <c r="U18" s="668"/>
      <c r="V18" s="667"/>
      <c r="W18" s="668"/>
      <c r="X18" s="1265"/>
      <c r="Y18" s="337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375"/>
      <c r="Q20" s="1263"/>
      <c r="R20" s="667"/>
      <c r="S20" s="668"/>
      <c r="T20" s="667"/>
      <c r="U20" s="668"/>
      <c r="V20" s="667"/>
      <c r="W20" s="668"/>
      <c r="X20" s="1265"/>
      <c r="Y20" s="337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375"/>
      <c r="Q22" s="1263"/>
      <c r="R22" s="667"/>
      <c r="S22" s="668"/>
      <c r="T22" s="667"/>
      <c r="U22" s="668"/>
      <c r="V22" s="667"/>
      <c r="W22" s="668"/>
      <c r="X22" s="1265"/>
      <c r="Y22" s="3377"/>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5"/>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375"/>
      <c r="Q24" s="1263"/>
      <c r="R24" s="667"/>
      <c r="S24" s="668"/>
      <c r="T24" s="667"/>
      <c r="U24" s="668"/>
      <c r="V24" s="667"/>
      <c r="W24" s="668"/>
      <c r="X24" s="1265"/>
      <c r="Y24" s="337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75"/>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375"/>
      <c r="Q26" s="1263"/>
      <c r="R26" s="667"/>
      <c r="S26" s="668"/>
      <c r="T26" s="667"/>
      <c r="U26" s="668"/>
      <c r="V26" s="667"/>
      <c r="W26" s="668"/>
      <c r="X26" s="1265"/>
      <c r="Y26" s="3377"/>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75"/>
      <c r="Q27" s="1263" t="str">
        <f t="shared" ref="Q27:Q47" si="11">B27</f>
        <v>楼层</v>
      </c>
      <c r="R27" s="667" t="s">
        <v>14</v>
      </c>
      <c r="S27" s="668">
        <f>F27</f>
        <v>100</v>
      </c>
      <c r="T27" s="667" t="s">
        <v>14</v>
      </c>
      <c r="U27" s="668">
        <f>H27</f>
        <v>100</v>
      </c>
      <c r="V27" s="667" t="s">
        <v>14</v>
      </c>
      <c r="W27" s="668">
        <f>J27</f>
        <v>100</v>
      </c>
      <c r="X27" s="1265"/>
      <c r="Y27" s="3377"/>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75"/>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5"/>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9"/>
      <c r="Q34" s="531" t="str">
        <f t="shared" si="11"/>
        <v>项目建筑规模</v>
      </c>
      <c r="R34" s="669" t="s">
        <v>14</v>
      </c>
      <c r="S34" s="670" t="e">
        <f t="shared" si="12"/>
        <v>#N/A</v>
      </c>
      <c r="T34" s="669" t="s">
        <v>14</v>
      </c>
      <c r="U34" s="670" t="e">
        <f t="shared" si="13"/>
        <v>#N/A</v>
      </c>
      <c r="V34" s="669" t="s">
        <v>14</v>
      </c>
      <c r="W34" s="670" t="e">
        <f t="shared" si="14"/>
        <v>#N/A</v>
      </c>
      <c r="X34" s="671"/>
      <c r="Y34" s="3381"/>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9"/>
      <c r="Q37" s="1263" t="str">
        <f t="shared" si="11"/>
        <v>成新度</v>
      </c>
      <c r="R37" s="667" t="s">
        <v>14</v>
      </c>
      <c r="S37" s="668" t="e">
        <f t="shared" si="12"/>
        <v>#N/A</v>
      </c>
      <c r="T37" s="667" t="s">
        <v>14</v>
      </c>
      <c r="U37" s="668" t="e">
        <f t="shared" si="13"/>
        <v>#N/A</v>
      </c>
      <c r="V37" s="667" t="s">
        <v>14</v>
      </c>
      <c r="W37" s="668" t="e">
        <f t="shared" si="14"/>
        <v>#N/A</v>
      </c>
      <c r="X37" s="1265"/>
      <c r="Y37" s="3381"/>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383" t="str">
        <f>A48</f>
        <v>成交单价（元/平方米）</v>
      </c>
      <c r="Q48" s="3369"/>
      <c r="R48" s="3370">
        <f>E48</f>
        <v>0</v>
      </c>
      <c r="S48" s="3370"/>
      <c r="T48" s="3370">
        <f>G48</f>
        <v>0</v>
      </c>
      <c r="U48" s="3370"/>
      <c r="V48" s="3370">
        <f>I48</f>
        <v>0</v>
      </c>
      <c r="W48" s="3370"/>
      <c r="X48" s="385"/>
      <c r="Y48" s="673"/>
      <c r="Z48" s="385"/>
      <c r="AA48" s="385"/>
      <c r="AB48" s="385"/>
      <c r="AC48" s="555"/>
    </row>
    <row r="49" spans="1:29" ht="14.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3" t="str">
        <f>A49</f>
        <v>比较价值（元/平方米）</v>
      </c>
      <c r="Q49" s="3369"/>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估价对象为北京市房地产，为所有。根据《国有土地使用证》[]，估价对象（分摊）出让国有建设用地使用权面积为20.48平方米，建筑面积为59.23平方米。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估价对象为北京市房地产,属开发建设的商业项目，该项目尚在开发建设中。根据《国有土地使用证》[]，估价对象（分摊）出让国有建设用地使用权面积为20.48平方米，规划建筑面积为59.23平方米。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2025年8月27日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59.23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860"/>
      <c r="M4" s="861"/>
      <c r="N4" s="861"/>
      <c r="O4" s="861"/>
      <c r="P4" s="3391" t="s">
        <v>1775</v>
      </c>
      <c r="Q4" s="3392"/>
      <c r="R4" s="3397" t="s">
        <v>1771</v>
      </c>
      <c r="S4" s="3398"/>
      <c r="T4" s="3397" t="s">
        <v>1772</v>
      </c>
      <c r="U4" s="3398"/>
      <c r="V4" s="3370" t="s">
        <v>1773</v>
      </c>
      <c r="W4" s="3370"/>
      <c r="X4" s="1265"/>
      <c r="Y4" s="3397" t="s">
        <v>1775</v>
      </c>
      <c r="Z4" s="3398"/>
      <c r="AA4" s="3384" t="s">
        <v>1771</v>
      </c>
      <c r="AB4" s="3385" t="s">
        <v>1772</v>
      </c>
      <c r="AC4" s="3384" t="s">
        <v>1773</v>
      </c>
    </row>
    <row r="5" spans="1:29">
      <c r="A5" s="348"/>
      <c r="B5" s="349"/>
      <c r="C5" s="3435" t="s">
        <v>1673</v>
      </c>
      <c r="D5" s="3406"/>
      <c r="E5" s="3436" t="s">
        <v>1674</v>
      </c>
      <c r="F5" s="3413"/>
      <c r="G5" s="3435" t="s">
        <v>1675</v>
      </c>
      <c r="H5" s="3406"/>
      <c r="I5" s="3435" t="s">
        <v>1676</v>
      </c>
      <c r="J5" s="3406"/>
      <c r="K5" s="537"/>
      <c r="L5" s="860"/>
      <c r="M5" s="861"/>
      <c r="N5" s="861"/>
      <c r="O5" s="861"/>
      <c r="P5" s="3393"/>
      <c r="Q5" s="3394"/>
      <c r="R5" s="3399"/>
      <c r="S5" s="3400"/>
      <c r="T5" s="3399"/>
      <c r="U5" s="3400"/>
      <c r="V5" s="3370"/>
      <c r="W5" s="3370"/>
      <c r="X5" s="1265"/>
      <c r="Y5" s="3399"/>
      <c r="Z5" s="3400"/>
      <c r="AA5" s="3385"/>
      <c r="AB5" s="3385"/>
      <c r="AC5" s="3385"/>
    </row>
    <row r="6" spans="1:29" ht="15" thickBot="1">
      <c r="A6" s="350"/>
      <c r="B6" s="351"/>
      <c r="C6" s="3403" t="s">
        <v>1677</v>
      </c>
      <c r="D6" s="3404"/>
      <c r="E6" s="3410" t="s">
        <v>1677</v>
      </c>
      <c r="F6" s="3411"/>
      <c r="G6" s="3403" t="s">
        <v>1677</v>
      </c>
      <c r="H6" s="3404"/>
      <c r="I6" s="3403" t="s">
        <v>1677</v>
      </c>
      <c r="J6" s="3404"/>
      <c r="K6" s="537" t="s">
        <v>1678</v>
      </c>
      <c r="L6" s="860"/>
      <c r="M6" s="861"/>
      <c r="N6" s="861"/>
      <c r="O6" s="861"/>
      <c r="P6" s="3395"/>
      <c r="Q6" s="3396"/>
      <c r="R6" s="3399"/>
      <c r="S6" s="3400"/>
      <c r="T6" s="3401"/>
      <c r="U6" s="3402"/>
      <c r="V6" s="3370"/>
      <c r="W6" s="3370"/>
      <c r="X6" s="1265"/>
      <c r="Y6" s="3401"/>
      <c r="Z6" s="3402"/>
      <c r="AA6" s="3386"/>
      <c r="AB6" s="3386"/>
      <c r="AC6" s="3386"/>
    </row>
    <row r="7" spans="1:29" s="102" customFormat="1" ht="14.5" thickBot="1">
      <c r="A7" s="352" t="s">
        <v>1679</v>
      </c>
      <c r="B7" s="353"/>
      <c r="C7" s="354">
        <f>'数据-取费表'!B2</f>
        <v>45896</v>
      </c>
      <c r="D7" s="355">
        <v>100</v>
      </c>
      <c r="E7" s="356"/>
      <c r="F7" s="357">
        <f>SUMIF(52:52,YEAR(E7)&amp;"-"&amp;MONTH(E7),53:53)</f>
        <v>0</v>
      </c>
      <c r="G7" s="356"/>
      <c r="H7" s="355">
        <f>SUMIF(52:52,YEAR(G7)&amp;"-"&amp;MONTH(G7),53:53)</f>
        <v>0</v>
      </c>
      <c r="I7" s="356"/>
      <c r="J7" s="355">
        <f>SUMIF(52:52,YEAR(I7)&amp;"-"&amp;MONTH(I7),53:53)</f>
        <v>0</v>
      </c>
      <c r="K7" s="38"/>
      <c r="L7" s="862"/>
      <c r="M7" s="863"/>
      <c r="N7" s="863"/>
      <c r="O7" s="863"/>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4.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0" t="s">
        <v>1773</v>
      </c>
      <c r="W4" s="3370"/>
      <c r="X4" s="1265"/>
      <c r="Y4" s="3397" t="s">
        <v>1775</v>
      </c>
      <c r="Z4" s="3398"/>
      <c r="AA4" s="3384" t="s">
        <v>1771</v>
      </c>
      <c r="AB4" s="3385" t="s">
        <v>1772</v>
      </c>
      <c r="AC4" s="3384" t="s">
        <v>1773</v>
      </c>
    </row>
    <row r="5" spans="1:29">
      <c r="A5" s="348"/>
      <c r="B5" s="349"/>
      <c r="C5" s="3435" t="s">
        <v>1673</v>
      </c>
      <c r="D5" s="3406"/>
      <c r="E5" s="3436" t="s">
        <v>1674</v>
      </c>
      <c r="F5" s="3413"/>
      <c r="G5" s="3435" t="s">
        <v>1675</v>
      </c>
      <c r="H5" s="3406"/>
      <c r="I5" s="3435" t="s">
        <v>1676</v>
      </c>
      <c r="J5" s="3406"/>
      <c r="K5" s="537"/>
      <c r="L5" s="2486"/>
      <c r="M5" s="2487"/>
      <c r="N5" s="2487"/>
      <c r="O5" s="2487"/>
      <c r="P5" s="3393"/>
      <c r="Q5" s="3394"/>
      <c r="R5" s="3399"/>
      <c r="S5" s="3400"/>
      <c r="T5" s="3399"/>
      <c r="U5" s="3400"/>
      <c r="V5" s="3370"/>
      <c r="W5" s="3370"/>
      <c r="X5" s="1265"/>
      <c r="Y5" s="3399"/>
      <c r="Z5" s="3400"/>
      <c r="AA5" s="3385"/>
      <c r="AB5" s="3385"/>
      <c r="AC5" s="3385"/>
    </row>
    <row r="6" spans="1:29" ht="15" thickBot="1">
      <c r="A6" s="350"/>
      <c r="B6" s="351"/>
      <c r="C6" s="3403" t="s">
        <v>1677</v>
      </c>
      <c r="D6" s="3404"/>
      <c r="E6" s="3410" t="s">
        <v>1677</v>
      </c>
      <c r="F6" s="3411"/>
      <c r="G6" s="3403" t="s">
        <v>1677</v>
      </c>
      <c r="H6" s="3404"/>
      <c r="I6" s="3403" t="s">
        <v>1677</v>
      </c>
      <c r="J6" s="3404"/>
      <c r="K6" s="537" t="s">
        <v>1678</v>
      </c>
      <c r="L6" s="2486"/>
      <c r="M6" s="2487"/>
      <c r="N6" s="2487"/>
      <c r="O6" s="2487"/>
      <c r="P6" s="3395"/>
      <c r="Q6" s="3396"/>
      <c r="R6" s="3399"/>
      <c r="S6" s="3400"/>
      <c r="T6" s="3401"/>
      <c r="U6" s="3402"/>
      <c r="V6" s="3370"/>
      <c r="W6" s="3370"/>
      <c r="X6" s="1265"/>
      <c r="Y6" s="3401"/>
      <c r="Z6" s="3402"/>
      <c r="AA6" s="3386"/>
      <c r="AB6" s="3386"/>
      <c r="AC6" s="3386"/>
    </row>
    <row r="7" spans="1:29" s="102" customFormat="1" ht="14.5" thickBot="1">
      <c r="A7" s="352" t="s">
        <v>1679</v>
      </c>
      <c r="B7" s="353"/>
      <c r="C7" s="354">
        <f>'数据-取费表'!B2</f>
        <v>45896</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69"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9"/>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77"/>
      <c r="Q15" s="1263"/>
      <c r="R15" s="667"/>
      <c r="S15" s="668"/>
      <c r="T15" s="667"/>
      <c r="U15" s="668"/>
      <c r="V15" s="667"/>
      <c r="W15" s="668"/>
      <c r="X15" s="1265"/>
      <c r="Y15" s="337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77"/>
      <c r="Q17" s="1263"/>
      <c r="R17" s="667"/>
      <c r="S17" s="668"/>
      <c r="T17" s="667"/>
      <c r="U17" s="668"/>
      <c r="V17" s="667"/>
      <c r="W17" s="668"/>
      <c r="X17" s="1265"/>
      <c r="Y17" s="337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77"/>
      <c r="Q19" s="1263"/>
      <c r="R19" s="667"/>
      <c r="S19" s="668"/>
      <c r="T19" s="667"/>
      <c r="U19" s="668"/>
      <c r="V19" s="667"/>
      <c r="W19" s="668"/>
      <c r="X19" s="1265"/>
      <c r="Y19" s="337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77"/>
      <c r="Q21" s="1263"/>
      <c r="R21" s="667"/>
      <c r="S21" s="668"/>
      <c r="T21" s="667"/>
      <c r="U21" s="668"/>
      <c r="V21" s="667"/>
      <c r="W21" s="668"/>
      <c r="X21" s="1265"/>
      <c r="Y21" s="337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c r="A37" s="416" t="s">
        <v>1844</v>
      </c>
      <c r="B37" s="1821" t="s">
        <v>3353</v>
      </c>
      <c r="C37" s="1081" t="s">
        <v>0</v>
      </c>
      <c r="D37" s="418"/>
      <c r="E37" s="419"/>
      <c r="F37" s="420"/>
      <c r="G37" s="421"/>
      <c r="H37" s="422"/>
      <c r="I37" s="419"/>
      <c r="J37" s="422"/>
      <c r="K37" s="545"/>
      <c r="L37" s="2494"/>
      <c r="M37" s="2487"/>
      <c r="N37" s="2487"/>
      <c r="O37" s="2487"/>
      <c r="P37" s="3369" t="str">
        <f>A37</f>
        <v>成交单价</v>
      </c>
      <c r="Q37" s="3369"/>
      <c r="R37" s="3370">
        <f>E37</f>
        <v>0</v>
      </c>
      <c r="S37" s="3370"/>
      <c r="T37" s="3370">
        <f>G37</f>
        <v>0</v>
      </c>
      <c r="U37" s="3370"/>
      <c r="V37" s="3370">
        <f>I37</f>
        <v>0</v>
      </c>
      <c r="W37" s="3370"/>
      <c r="X37" s="385"/>
      <c r="Y37" s="673"/>
      <c r="Z37" s="385"/>
      <c r="AA37" s="385"/>
      <c r="AB37" s="385"/>
      <c r="AC37" s="385"/>
    </row>
    <row r="38" spans="1:29" ht="14.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71" t="str">
        <f>A39</f>
        <v>估价对象XX用房的比较价值（楼面单价，元/平方米）</v>
      </c>
      <c r="Q39" s="3372"/>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0" t="s">
        <v>1773</v>
      </c>
      <c r="W4" s="3370"/>
      <c r="X4" s="1265"/>
      <c r="Y4" s="3397" t="s">
        <v>1775</v>
      </c>
      <c r="Z4" s="3398"/>
      <c r="AA4" s="3384" t="s">
        <v>1771</v>
      </c>
      <c r="AB4" s="3385" t="s">
        <v>1772</v>
      </c>
      <c r="AC4" s="3384" t="s">
        <v>1773</v>
      </c>
    </row>
    <row r="5" spans="1:29">
      <c r="A5" s="348"/>
      <c r="B5" s="349"/>
      <c r="C5" s="3435" t="s">
        <v>1673</v>
      </c>
      <c r="D5" s="3406"/>
      <c r="E5" s="3436" t="s">
        <v>1674</v>
      </c>
      <c r="F5" s="3413"/>
      <c r="G5" s="3435" t="s">
        <v>1675</v>
      </c>
      <c r="H5" s="3406"/>
      <c r="I5" s="3435" t="s">
        <v>1676</v>
      </c>
      <c r="J5" s="3406"/>
      <c r="K5" s="537"/>
      <c r="L5" s="2486"/>
      <c r="M5" s="2487"/>
      <c r="N5" s="2487"/>
      <c r="O5" s="2487"/>
      <c r="P5" s="3393"/>
      <c r="Q5" s="3394"/>
      <c r="R5" s="3399"/>
      <c r="S5" s="3400"/>
      <c r="T5" s="3399"/>
      <c r="U5" s="3400"/>
      <c r="V5" s="3370"/>
      <c r="W5" s="3370"/>
      <c r="X5" s="1265"/>
      <c r="Y5" s="3399"/>
      <c r="Z5" s="3400"/>
      <c r="AA5" s="3385"/>
      <c r="AB5" s="3385"/>
      <c r="AC5" s="3385"/>
    </row>
    <row r="6" spans="1:29" ht="15" thickBot="1">
      <c r="A6" s="350"/>
      <c r="B6" s="351"/>
      <c r="C6" s="3403" t="s">
        <v>1677</v>
      </c>
      <c r="D6" s="3404"/>
      <c r="E6" s="3410" t="s">
        <v>1677</v>
      </c>
      <c r="F6" s="3411"/>
      <c r="G6" s="3403" t="s">
        <v>1677</v>
      </c>
      <c r="H6" s="3404"/>
      <c r="I6" s="3403" t="s">
        <v>1677</v>
      </c>
      <c r="J6" s="3404"/>
      <c r="K6" s="537" t="s">
        <v>1678</v>
      </c>
      <c r="L6" s="2486"/>
      <c r="M6" s="2487"/>
      <c r="N6" s="2487"/>
      <c r="O6" s="2487"/>
      <c r="P6" s="3395"/>
      <c r="Q6" s="3396"/>
      <c r="R6" s="3399"/>
      <c r="S6" s="3400"/>
      <c r="T6" s="3401"/>
      <c r="U6" s="3402"/>
      <c r="V6" s="3370"/>
      <c r="W6" s="3370"/>
      <c r="X6" s="1265"/>
      <c r="Y6" s="3401"/>
      <c r="Z6" s="3402"/>
      <c r="AA6" s="3386"/>
      <c r="AB6" s="3386"/>
      <c r="AC6" s="3386"/>
    </row>
    <row r="7" spans="1:29" s="102" customFormat="1" ht="14.5" thickBot="1">
      <c r="A7" s="352" t="s">
        <v>1679</v>
      </c>
      <c r="B7" s="353"/>
      <c r="C7" s="354">
        <f>'数据-取费表'!B2</f>
        <v>45896</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7" t="s">
        <v>1683</v>
      </c>
      <c r="Q8" s="3408"/>
      <c r="R8" s="664" t="s">
        <v>14</v>
      </c>
      <c r="S8" s="665">
        <f t="shared" si="0"/>
        <v>100</v>
      </c>
      <c r="T8" s="664" t="s">
        <v>14</v>
      </c>
      <c r="U8" s="665">
        <f t="shared" si="1"/>
        <v>100</v>
      </c>
      <c r="V8" s="664" t="s">
        <v>14</v>
      </c>
      <c r="W8" s="665">
        <f t="shared" si="2"/>
        <v>100</v>
      </c>
      <c r="X8" s="666"/>
      <c r="Y8" s="3407"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69"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9"/>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77"/>
      <c r="Q15" s="1263"/>
      <c r="R15" s="667"/>
      <c r="S15" s="668"/>
      <c r="T15" s="667"/>
      <c r="U15" s="668"/>
      <c r="V15" s="667"/>
      <c r="W15" s="668"/>
      <c r="X15" s="1265"/>
      <c r="Y15" s="337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77"/>
      <c r="Q17" s="1263"/>
      <c r="R17" s="667"/>
      <c r="S17" s="668"/>
      <c r="T17" s="667"/>
      <c r="U17" s="668"/>
      <c r="V17" s="667"/>
      <c r="W17" s="668"/>
      <c r="X17" s="1265"/>
      <c r="Y17" s="337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77"/>
      <c r="Q19" s="1263"/>
      <c r="R19" s="667"/>
      <c r="S19" s="668"/>
      <c r="T19" s="667"/>
      <c r="U19" s="668"/>
      <c r="V19" s="667"/>
      <c r="W19" s="668"/>
      <c r="X19" s="1265"/>
      <c r="Y19" s="337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77"/>
      <c r="Q21" s="1263"/>
      <c r="R21" s="667"/>
      <c r="S21" s="668"/>
      <c r="T21" s="667"/>
      <c r="U21" s="668"/>
      <c r="V21" s="667"/>
      <c r="W21" s="668"/>
      <c r="X21" s="1265"/>
      <c r="Y21" s="337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4.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71" t="str">
        <f>A37</f>
        <v>估价对象XX用房的比较价值（楼面单价，元/平方米）</v>
      </c>
      <c r="Q37" s="3372"/>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0" t="s">
        <v>1773</v>
      </c>
      <c r="W4" s="3370"/>
      <c r="X4" s="1265"/>
      <c r="Y4" s="3397" t="s">
        <v>1775</v>
      </c>
      <c r="Z4" s="3398"/>
      <c r="AA4" s="3384" t="s">
        <v>1771</v>
      </c>
      <c r="AB4" s="3385" t="s">
        <v>1772</v>
      </c>
      <c r="AC4" s="3384" t="s">
        <v>1773</v>
      </c>
    </row>
    <row r="5" spans="1:29">
      <c r="A5" s="348"/>
      <c r="B5" s="349"/>
      <c r="C5" s="3435" t="s">
        <v>1673</v>
      </c>
      <c r="D5" s="3406"/>
      <c r="E5" s="3436" t="s">
        <v>1674</v>
      </c>
      <c r="F5" s="3413"/>
      <c r="G5" s="3435" t="s">
        <v>1675</v>
      </c>
      <c r="H5" s="3406"/>
      <c r="I5" s="3435" t="s">
        <v>1676</v>
      </c>
      <c r="J5" s="3406"/>
      <c r="K5" s="537"/>
      <c r="L5" s="2486"/>
      <c r="M5" s="2487"/>
      <c r="N5" s="2487"/>
      <c r="O5" s="2487"/>
      <c r="P5" s="3393"/>
      <c r="Q5" s="3394"/>
      <c r="R5" s="3399"/>
      <c r="S5" s="3400"/>
      <c r="T5" s="3399"/>
      <c r="U5" s="3400"/>
      <c r="V5" s="3370"/>
      <c r="W5" s="3370"/>
      <c r="X5" s="1265"/>
      <c r="Y5" s="3399"/>
      <c r="Z5" s="3400"/>
      <c r="AA5" s="3385"/>
      <c r="AB5" s="3385"/>
      <c r="AC5" s="3385"/>
    </row>
    <row r="6" spans="1:29" ht="15" thickBot="1">
      <c r="A6" s="350"/>
      <c r="B6" s="351"/>
      <c r="C6" s="3403" t="s">
        <v>1677</v>
      </c>
      <c r="D6" s="3404"/>
      <c r="E6" s="3410" t="s">
        <v>1677</v>
      </c>
      <c r="F6" s="3411"/>
      <c r="G6" s="3403" t="s">
        <v>1677</v>
      </c>
      <c r="H6" s="3404"/>
      <c r="I6" s="3403" t="s">
        <v>1677</v>
      </c>
      <c r="J6" s="3404"/>
      <c r="K6" s="537" t="s">
        <v>1678</v>
      </c>
      <c r="L6" s="2486"/>
      <c r="M6" s="2487"/>
      <c r="N6" s="2487"/>
      <c r="O6" s="2487"/>
      <c r="P6" s="3395"/>
      <c r="Q6" s="3396"/>
      <c r="R6" s="3399"/>
      <c r="S6" s="3400"/>
      <c r="T6" s="3401"/>
      <c r="U6" s="3402"/>
      <c r="V6" s="3370"/>
      <c r="W6" s="3370"/>
      <c r="X6" s="1265"/>
      <c r="Y6" s="3401"/>
      <c r="Z6" s="3402"/>
      <c r="AA6" s="3386"/>
      <c r="AB6" s="3386"/>
      <c r="AC6" s="3386"/>
    </row>
    <row r="7" spans="1:29" s="102" customFormat="1" ht="14.5" thickBot="1">
      <c r="A7" s="352" t="s">
        <v>1679</v>
      </c>
      <c r="B7" s="353"/>
      <c r="C7" s="354">
        <f>'数据-取费表'!B2</f>
        <v>45896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7" t="s">
        <v>1683</v>
      </c>
      <c r="Q8" s="3408"/>
      <c r="R8" s="664" t="s">
        <v>14</v>
      </c>
      <c r="S8" s="665">
        <f t="shared" si="0"/>
        <v>0</v>
      </c>
      <c r="T8" s="664" t="s">
        <v>14</v>
      </c>
      <c r="U8" s="665">
        <f t="shared" si="1"/>
        <v>0</v>
      </c>
      <c r="V8" s="664" t="s">
        <v>14</v>
      </c>
      <c r="W8" s="665">
        <f t="shared" si="2"/>
        <v>0</v>
      </c>
      <c r="X8" s="666"/>
      <c r="Y8" s="3407" t="s">
        <v>1683</v>
      </c>
      <c r="Z8" s="340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115</v>
      </c>
      <c r="G10" s="402"/>
      <c r="H10" s="119">
        <f>ROUND(100/'数据-取费表'!G16,0)</f>
        <v>115</v>
      </c>
      <c r="I10" s="402"/>
      <c r="J10" s="119">
        <f>ROUND(100/'数据-取费表'!G16,0)</f>
        <v>115</v>
      </c>
      <c r="K10" s="592"/>
      <c r="L10" s="2489"/>
      <c r="M10" s="2490"/>
      <c r="N10" s="2490"/>
      <c r="O10" s="2541"/>
      <c r="P10" s="3369"/>
      <c r="Q10" s="530" t="str">
        <f t="shared" si="6"/>
        <v>土地使用年限（年）</v>
      </c>
      <c r="R10" s="664" t="s">
        <v>14</v>
      </c>
      <c r="S10" s="665">
        <f t="shared" si="0"/>
        <v>115</v>
      </c>
      <c r="T10" s="664" t="s">
        <v>14</v>
      </c>
      <c r="U10" s="665">
        <f t="shared" si="1"/>
        <v>115</v>
      </c>
      <c r="V10" s="664" t="s">
        <v>14</v>
      </c>
      <c r="W10" s="665">
        <f t="shared" si="2"/>
        <v>115</v>
      </c>
      <c r="X10" s="666"/>
      <c r="Y10" s="3268"/>
      <c r="Z10" s="50" t="str">
        <f t="shared" si="7"/>
        <v>土地使用年限（年）</v>
      </c>
      <c r="AA10" s="50">
        <f t="shared" si="3"/>
        <v>0.86956521739130432</v>
      </c>
      <c r="AB10" s="50">
        <f t="shared" si="4"/>
        <v>0.86956521739130432</v>
      </c>
      <c r="AC10" s="50">
        <f t="shared" si="5"/>
        <v>0.86956521739130432</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9"/>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69"/>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9"/>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77"/>
      <c r="Q16" s="1263"/>
      <c r="R16" s="667"/>
      <c r="S16" s="668"/>
      <c r="T16" s="667"/>
      <c r="U16" s="668"/>
      <c r="V16" s="667"/>
      <c r="W16" s="668"/>
      <c r="X16" s="1265"/>
      <c r="Y16" s="337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77"/>
      <c r="Q18" s="1263"/>
      <c r="R18" s="667"/>
      <c r="S18" s="668"/>
      <c r="T18" s="667"/>
      <c r="U18" s="668"/>
      <c r="V18" s="667"/>
      <c r="W18" s="668"/>
      <c r="X18" s="1265"/>
      <c r="Y18" s="337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77"/>
      <c r="Q20" s="1263"/>
      <c r="R20" s="667"/>
      <c r="S20" s="668"/>
      <c r="T20" s="667"/>
      <c r="U20" s="668"/>
      <c r="V20" s="667"/>
      <c r="W20" s="668"/>
      <c r="X20" s="1265"/>
      <c r="Y20" s="337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77"/>
      <c r="Q22" s="1263"/>
      <c r="R22" s="667"/>
      <c r="S22" s="668"/>
      <c r="T22" s="667"/>
      <c r="U22" s="668"/>
      <c r="V22" s="667"/>
      <c r="W22" s="668"/>
      <c r="X22" s="1265"/>
      <c r="Y22" s="337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77"/>
      <c r="Q24" s="1263"/>
      <c r="R24" s="667"/>
      <c r="S24" s="668"/>
      <c r="T24" s="667"/>
      <c r="U24" s="668"/>
      <c r="V24" s="667"/>
      <c r="W24" s="668"/>
      <c r="X24" s="1265"/>
      <c r="Y24" s="337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77"/>
      <c r="Q26" s="1263"/>
      <c r="R26" s="667"/>
      <c r="S26" s="668"/>
      <c r="T26" s="667"/>
      <c r="U26" s="668"/>
      <c r="V26" s="667"/>
      <c r="W26" s="668"/>
      <c r="X26" s="1265"/>
      <c r="Y26" s="337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39"/>
      <c r="N28" s="2439"/>
      <c r="O28" s="2540"/>
      <c r="P28" s="3377"/>
      <c r="Q28" s="530"/>
      <c r="R28" s="664"/>
      <c r="S28" s="665"/>
      <c r="T28" s="664"/>
      <c r="U28" s="665"/>
      <c r="V28" s="664"/>
      <c r="W28" s="665"/>
      <c r="X28" s="666"/>
      <c r="Y28" s="337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39"/>
      <c r="N30" s="2439"/>
      <c r="O30" s="2540"/>
      <c r="P30" s="3377"/>
      <c r="Q30" s="530"/>
      <c r="R30" s="664"/>
      <c r="S30" s="665"/>
      <c r="T30" s="664"/>
      <c r="U30" s="665"/>
      <c r="V30" s="664"/>
      <c r="W30" s="665"/>
      <c r="X30" s="666"/>
      <c r="Y30" s="337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77"/>
      <c r="Q33" s="1263"/>
      <c r="R33" s="667"/>
      <c r="S33" s="668"/>
      <c r="T33" s="667"/>
      <c r="U33" s="668"/>
      <c r="V33" s="667"/>
      <c r="W33" s="668"/>
      <c r="X33" s="1265"/>
      <c r="Y33" s="337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2"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69" t="str">
        <f>A46</f>
        <v>成交单价</v>
      </c>
      <c r="Q46" s="3369"/>
      <c r="R46" s="3370">
        <f>E46</f>
        <v>0</v>
      </c>
      <c r="S46" s="3370"/>
      <c r="T46" s="3370">
        <f>G46</f>
        <v>0</v>
      </c>
      <c r="U46" s="3370"/>
      <c r="V46" s="3370">
        <f>I46</f>
        <v>0</v>
      </c>
      <c r="W46" s="3370"/>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69" t="str">
        <f>A47</f>
        <v>比较价值（元/平方米）</v>
      </c>
      <c r="Q47" s="3369"/>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71" t="str">
        <f>A48</f>
        <v>估价对象XX用房的比较价值（楼面单价，元/平方米）</v>
      </c>
      <c r="Q48" s="3372"/>
      <c r="R48" s="3455" t="e">
        <f>ROUND(IF(D47="简单平均",AVERAGE(R47:W47),R47*F47+T47*H47+V47*J47),0)</f>
        <v>#DIV/0!</v>
      </c>
      <c r="S48" s="3455"/>
      <c r="T48" s="3455"/>
      <c r="U48" s="3455"/>
      <c r="V48" s="3455"/>
      <c r="W48" s="345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7" t="s">
        <v>1887</v>
      </c>
      <c r="H55" s="345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59.23</v>
      </c>
      <c r="F56" s="833" t="e">
        <f t="shared" ref="F56:F64" si="15">ROUND(B56*E56/10000,0)</f>
        <v>#DIV/0!</v>
      </c>
      <c r="G56" s="3383"/>
      <c r="H56" s="336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一级</v>
      </c>
      <c r="I57" s="838">
        <f>SUMIF(修正!A59:A70,H57,修正!B59:B70)</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一级</v>
      </c>
      <c r="I58" s="838">
        <f>SUMIF(修正!A59:A70,H58,修正!C59:C70)</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一级</v>
      </c>
      <c r="I59" s="838">
        <f>SUMIF(修正!A59:A70,H59,修正!D59:D70)</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SUMIF(修正!A59:A70,H63,修正!G59:G70)</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59.23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97" t="s">
        <v>1771</v>
      </c>
      <c r="S4" s="3398"/>
      <c r="T4" s="3397" t="s">
        <v>1772</v>
      </c>
      <c r="U4" s="3398"/>
      <c r="V4" s="3370" t="s">
        <v>1773</v>
      </c>
      <c r="W4" s="3370"/>
      <c r="X4" s="1265"/>
      <c r="Y4" s="3397" t="s">
        <v>1775</v>
      </c>
      <c r="Z4" s="3398"/>
      <c r="AA4" s="3384" t="s">
        <v>1771</v>
      </c>
      <c r="AB4" s="3385" t="s">
        <v>1772</v>
      </c>
      <c r="AC4" s="3384" t="s">
        <v>1773</v>
      </c>
    </row>
    <row r="5" spans="1:29">
      <c r="A5" s="348"/>
      <c r="B5" s="349"/>
      <c r="C5" s="3435" t="s">
        <v>1673</v>
      </c>
      <c r="D5" s="3406"/>
      <c r="E5" s="3436" t="s">
        <v>1674</v>
      </c>
      <c r="F5" s="3413"/>
      <c r="G5" s="3435" t="s">
        <v>1675</v>
      </c>
      <c r="H5" s="3406"/>
      <c r="I5" s="3435" t="s">
        <v>1676</v>
      </c>
      <c r="J5" s="3406"/>
      <c r="K5" s="537"/>
      <c r="L5" s="2486"/>
      <c r="M5" s="2487"/>
      <c r="N5" s="2487"/>
      <c r="O5" s="2487"/>
      <c r="P5" s="3393"/>
      <c r="Q5" s="3394"/>
      <c r="R5" s="3399"/>
      <c r="S5" s="3400"/>
      <c r="T5" s="3399"/>
      <c r="U5" s="3400"/>
      <c r="V5" s="3370"/>
      <c r="W5" s="3370"/>
      <c r="X5" s="1265"/>
      <c r="Y5" s="3399"/>
      <c r="Z5" s="3400"/>
      <c r="AA5" s="3385"/>
      <c r="AB5" s="3385"/>
      <c r="AC5" s="3385"/>
    </row>
    <row r="6" spans="1:29" ht="15" thickBot="1">
      <c r="A6" s="350"/>
      <c r="B6" s="351"/>
      <c r="C6" s="3457" t="s">
        <v>1919</v>
      </c>
      <c r="D6" s="3458"/>
      <c r="E6" s="3459" t="s">
        <v>1919</v>
      </c>
      <c r="F6" s="3460"/>
      <c r="G6" s="3457" t="s">
        <v>1919</v>
      </c>
      <c r="H6" s="3458"/>
      <c r="I6" s="3457" t="s">
        <v>1919</v>
      </c>
      <c r="J6" s="3458"/>
      <c r="K6" s="537" t="s">
        <v>1678</v>
      </c>
      <c r="L6" s="2486"/>
      <c r="M6" s="2487"/>
      <c r="N6" s="2487"/>
      <c r="O6" s="2487"/>
      <c r="P6" s="3395"/>
      <c r="Q6" s="3396"/>
      <c r="R6" s="3399"/>
      <c r="S6" s="3400"/>
      <c r="T6" s="3401"/>
      <c r="U6" s="3402"/>
      <c r="V6" s="3370"/>
      <c r="W6" s="3370"/>
      <c r="X6" s="1265"/>
      <c r="Y6" s="3401"/>
      <c r="Z6" s="3402"/>
      <c r="AA6" s="3386"/>
      <c r="AB6" s="3386"/>
      <c r="AC6" s="3386"/>
    </row>
    <row r="7" spans="1:29" s="102" customFormat="1" ht="14.5" thickBot="1">
      <c r="A7" s="352" t="s">
        <v>1679</v>
      </c>
      <c r="B7" s="353"/>
      <c r="C7" s="354">
        <f>'数据-取费表'!B2</f>
        <v>45896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115</v>
      </c>
      <c r="G10" s="371"/>
      <c r="H10" s="119">
        <f>ROUND(100/'数据-取费表'!G16,0)</f>
        <v>115</v>
      </c>
      <c r="I10" s="371"/>
      <c r="J10" s="119">
        <f>ROUND(100/'数据-取费表'!G16,0)</f>
        <v>115</v>
      </c>
      <c r="K10" s="592"/>
      <c r="L10" s="2489"/>
      <c r="M10" s="2490"/>
      <c r="N10" s="2490"/>
      <c r="O10" s="2541"/>
      <c r="P10" s="3369"/>
      <c r="Q10" s="530" t="str">
        <f t="shared" si="6"/>
        <v>土地使用年限（年）</v>
      </c>
      <c r="R10" s="664" t="s">
        <v>14</v>
      </c>
      <c r="S10" s="665">
        <f t="shared" si="0"/>
        <v>115</v>
      </c>
      <c r="T10" s="664" t="s">
        <v>14</v>
      </c>
      <c r="U10" s="665">
        <f t="shared" si="1"/>
        <v>115</v>
      </c>
      <c r="V10" s="664" t="s">
        <v>14</v>
      </c>
      <c r="W10" s="665">
        <f t="shared" si="2"/>
        <v>115</v>
      </c>
      <c r="X10" s="666"/>
      <c r="Y10" s="3268"/>
      <c r="Z10" s="50" t="str">
        <f t="shared" si="7"/>
        <v>土地使用年限（年）</v>
      </c>
      <c r="AA10" s="50">
        <f t="shared" si="3"/>
        <v>0.86956521739130432</v>
      </c>
      <c r="AB10" s="50">
        <f t="shared" si="4"/>
        <v>0.86956521739130432</v>
      </c>
      <c r="AC10" s="50">
        <f t="shared" si="5"/>
        <v>0.86956521739130432</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9"/>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9"/>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77"/>
      <c r="Q16" s="1263"/>
      <c r="R16" s="667"/>
      <c r="S16" s="668"/>
      <c r="T16" s="667"/>
      <c r="U16" s="668"/>
      <c r="V16" s="667"/>
      <c r="W16" s="668"/>
      <c r="X16" s="1265"/>
      <c r="Y16" s="337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77"/>
      <c r="Q18" s="1263"/>
      <c r="R18" s="667"/>
      <c r="S18" s="668"/>
      <c r="T18" s="667"/>
      <c r="U18" s="668"/>
      <c r="V18" s="667"/>
      <c r="W18" s="668"/>
      <c r="X18" s="1265"/>
      <c r="Y18" s="337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77"/>
      <c r="Q20" s="1263"/>
      <c r="R20" s="667"/>
      <c r="S20" s="668"/>
      <c r="T20" s="667"/>
      <c r="U20" s="668"/>
      <c r="V20" s="667"/>
      <c r="W20" s="668"/>
      <c r="X20" s="1265"/>
      <c r="Y20" s="337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77"/>
      <c r="Q22" s="1263"/>
      <c r="R22" s="667"/>
      <c r="S22" s="668"/>
      <c r="T22" s="667"/>
      <c r="U22" s="668"/>
      <c r="V22" s="667"/>
      <c r="W22" s="668"/>
      <c r="X22" s="1265"/>
      <c r="Y22" s="337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39"/>
      <c r="N24" s="2439"/>
      <c r="O24" s="2540"/>
      <c r="P24" s="3377"/>
      <c r="Q24" s="530"/>
      <c r="R24" s="664"/>
      <c r="S24" s="665"/>
      <c r="T24" s="664"/>
      <c r="U24" s="665"/>
      <c r="V24" s="664"/>
      <c r="W24" s="665"/>
      <c r="X24" s="666"/>
      <c r="Y24" s="337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39"/>
      <c r="N26" s="2439"/>
      <c r="O26" s="2540"/>
      <c r="P26" s="3377"/>
      <c r="Q26" s="530"/>
      <c r="R26" s="664"/>
      <c r="S26" s="665"/>
      <c r="T26" s="664"/>
      <c r="U26" s="665"/>
      <c r="V26" s="664"/>
      <c r="W26" s="665"/>
      <c r="X26" s="666"/>
      <c r="Y26" s="337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77"/>
      <c r="Q29" s="1263"/>
      <c r="R29" s="667"/>
      <c r="S29" s="668"/>
      <c r="T29" s="667"/>
      <c r="U29" s="668"/>
      <c r="V29" s="667"/>
      <c r="W29" s="668"/>
      <c r="X29" s="1265"/>
      <c r="Y29" s="337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2"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69" t="str">
        <f>A41</f>
        <v>成交单价</v>
      </c>
      <c r="Q41" s="3369"/>
      <c r="R41" s="3370">
        <f>E41</f>
        <v>0</v>
      </c>
      <c r="S41" s="3370"/>
      <c r="T41" s="3370">
        <f>G41</f>
        <v>0</v>
      </c>
      <c r="U41" s="3370"/>
      <c r="V41" s="3370">
        <f>I41</f>
        <v>0</v>
      </c>
      <c r="W41" s="3370"/>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69" t="str">
        <f>A42</f>
        <v>比较价值（元/平方米）</v>
      </c>
      <c r="Q42" s="3369"/>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71" t="str">
        <f>A43</f>
        <v>估价对象XX用房的比较价值（楼面单价，元/平方米）</v>
      </c>
      <c r="Q43" s="3372"/>
      <c r="R43" s="3455" t="e">
        <f>ROUND(IF(D42="简单平均",AVERAGE(R42:W42),R42*F42+T42*H42+V42*J42),0)</f>
        <v>#DIV/0!</v>
      </c>
      <c r="S43" s="3455"/>
      <c r="T43" s="3455"/>
      <c r="U43" s="3455"/>
      <c r="V43" s="3455"/>
      <c r="W43" s="345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387" t="s">
        <v>1887</v>
      </c>
      <c r="H50" s="345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59.23</v>
      </c>
      <c r="F51" s="611" t="e">
        <f t="shared" ref="F51:F60" si="15">ROUND(B51*E51/10000,0)</f>
        <v>#DIV/0!</v>
      </c>
      <c r="G51" s="3383"/>
      <c r="H51" s="336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一级</v>
      </c>
      <c r="I52" s="727">
        <f>SUMIF(修正!A59:A70,H52,修正!B59:B70)</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一级</v>
      </c>
      <c r="I53" s="727">
        <f>SUMIF(修正!A59:A70,H53,修正!C59:C70)</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一级</v>
      </c>
      <c r="I54" s="727">
        <f>SUMIF(修正!A59:A70,H54,修正!D59:D70)</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SUMIF(修正!A59:A70,H59,修正!G59:G70)</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20.48</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7">
        <f ca="1">SUMIF(B6:B13,"&lt;&gt;#ref!",B6:B13)</f>
        <v>0</v>
      </c>
      <c r="C2" s="1984" t="s">
        <v>2074</v>
      </c>
      <c r="D2" s="1984" t="s">
        <v>2075</v>
      </c>
      <c r="E2" s="2397">
        <f ca="1">SUMIF(E6:E13,"&lt;&gt;#ref!",E6:E13)</f>
        <v>59.23</v>
      </c>
      <c r="F2" s="2544"/>
      <c r="G2" s="2544"/>
      <c r="H2" s="2544"/>
      <c r="I2" s="2544"/>
      <c r="J2" s="2544"/>
      <c r="K2" s="2544"/>
      <c r="L2" s="2544"/>
      <c r="M2" s="2544"/>
      <c r="N2" s="2544"/>
      <c r="O2" s="2544"/>
      <c r="P2" s="2544"/>
    </row>
    <row r="3" spans="1:16" ht="15.5">
      <c r="A3" s="1984" t="s">
        <v>2076</v>
      </c>
      <c r="B3" s="2387">
        <f ca="1">ROUND(B2*10000/E2,0)</f>
        <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3" t="s">
        <v>2077</v>
      </c>
      <c r="B5" s="2395" t="s">
        <v>2078</v>
      </c>
      <c r="C5" s="1985"/>
      <c r="D5" s="2544"/>
      <c r="E5" s="2396" t="s">
        <v>2079</v>
      </c>
      <c r="F5" s="2544"/>
      <c r="G5" s="2544"/>
      <c r="H5" s="2544"/>
      <c r="I5" s="2544"/>
      <c r="J5" s="2544"/>
      <c r="K5" s="2544"/>
      <c r="L5" s="2544"/>
      <c r="M5" s="2544"/>
      <c r="N5" s="2544"/>
      <c r="O5" s="2544"/>
      <c r="P5" s="2544"/>
    </row>
    <row r="6" spans="1:16" ht="15.5">
      <c r="A6" s="2394" t="s">
        <v>2080</v>
      </c>
      <c r="B6" s="2387">
        <f ca="1">SUMIF(INDIRECT("'"&amp;A6&amp;"'"&amp;"!A:A"),"总价",INDIRECT("'"&amp;A6&amp;"'"&amp;"!B:B"))</f>
        <v>0</v>
      </c>
      <c r="C6" s="1984" t="s">
        <v>2074</v>
      </c>
      <c r="D6" s="2544"/>
      <c r="E6" s="2397">
        <f ca="1">SUMIF(INDIRECT("'"&amp;A6&amp;"'"&amp;"!C:C"),"建筑面积",INDIRECT("'"&amp;A6&amp;"'"&amp;"!D:D"))</f>
        <v>59.23</v>
      </c>
      <c r="F6" s="2544"/>
      <c r="G6" s="2544"/>
      <c r="H6" s="2544"/>
      <c r="I6" s="2544"/>
      <c r="J6" s="2544"/>
      <c r="K6" s="2544"/>
      <c r="L6" s="2544"/>
      <c r="M6" s="2544"/>
      <c r="N6" s="2544"/>
      <c r="O6" s="2544"/>
      <c r="P6" s="2544"/>
    </row>
    <row r="7" spans="1:16" ht="15.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6" sqref="K26"/>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3427</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345.68200000000002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58363</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2635318</v>
      </c>
      <c r="D5" s="203" t="s">
        <v>1469</v>
      </c>
      <c r="E5" s="204" t="s">
        <v>1470</v>
      </c>
      <c r="F5" s="204" t="s">
        <v>1471</v>
      </c>
      <c r="G5" s="205"/>
    </row>
    <row r="6" spans="1:8" s="206" customFormat="1" ht="13.5" customHeight="1">
      <c r="A6" s="732" t="s">
        <v>1472</v>
      </c>
      <c r="B6" s="207" t="s">
        <v>1473</v>
      </c>
      <c r="C6" s="208">
        <f>ROUND(基准地价修正!C33*基准地价修正!D33,0)</f>
        <v>2545824</v>
      </c>
      <c r="D6" s="209"/>
      <c r="E6" s="210"/>
      <c r="F6" s="210"/>
      <c r="G6" s="211"/>
    </row>
    <row r="7" spans="1:8" s="206" customFormat="1" ht="13.5" customHeight="1">
      <c r="A7" s="732" t="s">
        <v>1474</v>
      </c>
      <c r="B7" s="207" t="s">
        <v>1475</v>
      </c>
      <c r="C7" s="212">
        <f>ROUND(C6*F7,0)</f>
        <v>77648</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11846</v>
      </c>
      <c r="D8" s="214"/>
      <c r="E8" s="212"/>
      <c r="F8" s="213"/>
      <c r="G8" s="1714" t="s">
        <v>3440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11846</v>
      </c>
      <c r="D10" s="795">
        <f ca="1">IF(B1="",'数据-汇总表'!E6,IF(INDIRECT("'数据-取费表'!c"&amp;$G$1)="住宅",INDIRECT("'数据-取费表'!s"&amp;$G$1),INDIRECT("'数据-取费表'!k"&amp;$G$1)+INDIRECT("'数据-取费表'!s"&amp;$G$1)))</f>
        <v>59.23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59.23</v>
      </c>
      <c r="E19" s="203">
        <f>'数据-取费表'!B31</f>
        <v>200</v>
      </c>
      <c r="F19" s="223"/>
      <c r="G19" s="1714" t="s">
        <v>3441</v>
      </c>
    </row>
    <row r="20" spans="1:7" s="206" customFormat="1" ht="13.5" customHeight="1">
      <c r="A20" s="247" t="s">
        <v>1574</v>
      </c>
      <c r="B20" s="202" t="s">
        <v>1575</v>
      </c>
      <c r="C20" s="224">
        <f ca="1">ROUND((C5+C19)*F20,0)</f>
        <v>52706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79851</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79060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791</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f ca="1">C28</f>
        <v>268802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268802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3285025</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170287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148075</v>
      </c>
      <c r="D34" s="209"/>
      <c r="E34" s="212"/>
      <c r="F34" s="249"/>
      <c r="G34" s="211"/>
    </row>
    <row r="35" spans="1:7" ht="13.5" customHeight="1">
      <c r="A35" s="734" t="s">
        <v>351</v>
      </c>
      <c r="B35" s="207" t="s">
        <v>1527</v>
      </c>
      <c r="C35" s="212">
        <f ca="1">ROUND(C34*F35,0)</f>
        <v>7404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11846</v>
      </c>
      <c r="D37" s="209">
        <f ca="1">D19</f>
        <v>59.23</v>
      </c>
      <c r="E37" s="241">
        <f>'数据-取费表'!B35</f>
        <v>200</v>
      </c>
      <c r="F37" s="251"/>
      <c r="G37" s="253"/>
    </row>
    <row r="38" spans="1:7" ht="13.5" customHeight="1">
      <c r="A38" s="734" t="s">
        <v>354</v>
      </c>
      <c r="B38" s="207" t="s">
        <v>1533</v>
      </c>
      <c r="C38" s="212">
        <f ca="1">ROUND(C34*F38,0)</f>
        <v>2962</v>
      </c>
      <c r="D38" s="212"/>
      <c r="E38" s="212"/>
      <c r="F38" s="251">
        <f>'数据-取费表'!B36</f>
        <v>0.02</v>
      </c>
      <c r="G38" s="211" t="s">
        <v>1528</v>
      </c>
    </row>
    <row r="39" spans="1:7" s="206" customFormat="1" ht="13.5" customHeight="1">
      <c r="A39" s="247" t="s">
        <v>1534</v>
      </c>
      <c r="B39" s="202" t="s">
        <v>1535</v>
      </c>
      <c r="C39" s="224">
        <f ca="1">ROUND(C33*F20,0)</f>
        <v>3406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2605</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2554</v>
      </c>
      <c r="D42" s="230"/>
      <c r="E42" s="230"/>
      <c r="F42" s="231"/>
      <c r="G42" s="3361" t="s">
        <v>1591</v>
      </c>
    </row>
    <row r="43" spans="1:7" ht="13.5" customHeight="1">
      <c r="A43" s="734" t="s">
        <v>347</v>
      </c>
      <c r="B43" s="207" t="s">
        <v>1545</v>
      </c>
      <c r="C43" s="230">
        <f ca="1">ROUND(IF('数据-取费表'!B22&lt;=1,C39*F22*'数据-取费表'!B20/2,C39*(POWER((1+F22),'数据-取费表'!B20/2)-1)),0)</f>
        <v>51</v>
      </c>
      <c r="D43" s="230"/>
      <c r="E43" s="230"/>
      <c r="F43" s="231"/>
      <c r="G43" s="3362"/>
    </row>
    <row r="44" spans="1:7" ht="13.5" customHeight="1">
      <c r="A44" s="734" t="s">
        <v>348</v>
      </c>
      <c r="B44" s="207" t="s">
        <v>1546</v>
      </c>
      <c r="C44" s="230">
        <f ca="1">ROUND(IF('数据-取费表'!B22&lt;=1,C40*F22*'数据-取费表'!B20/2,C40*(POWER((1+F22),'数据-取费表'!B20/2)-1)),4)</f>
        <v>2.9999999999999997E-4</v>
      </c>
      <c r="D44" s="230"/>
      <c r="E44" s="230"/>
      <c r="F44" s="231"/>
      <c r="G44" s="3363"/>
    </row>
    <row r="45" spans="1:7" s="206" customFormat="1" ht="13.5" customHeight="1">
      <c r="A45" s="247" t="s">
        <v>1547</v>
      </c>
      <c r="B45" s="236" t="s">
        <v>1513</v>
      </c>
      <c r="C45" s="237">
        <f ca="1">C46</f>
        <v>17369</v>
      </c>
      <c r="D45" s="227">
        <f ca="1">C47</f>
        <v>2E-3</v>
      </c>
      <c r="E45" s="228" t="s">
        <v>1539</v>
      </c>
      <c r="F45" s="238">
        <f ca="1">F27</f>
        <v>0.1</v>
      </c>
      <c r="G45" s="239" t="s">
        <v>1548</v>
      </c>
    </row>
    <row r="46" spans="1:7" s="206" customFormat="1" ht="13.5" customHeight="1">
      <c r="A46" s="734" t="s">
        <v>346</v>
      </c>
      <c r="B46" s="240" t="s">
        <v>1549</v>
      </c>
      <c r="C46" s="241">
        <f ca="1">ROUND((C33+C39)*F27,0)</f>
        <v>17369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209506</v>
      </c>
      <c r="D49" s="224"/>
      <c r="E49" s="224"/>
      <c r="F49" s="256"/>
      <c r="G49" s="226" t="s">
        <v>1554</v>
      </c>
    </row>
    <row r="50" spans="1:7" s="250" customFormat="1" ht="13.5">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171795</v>
      </c>
      <c r="D51" s="224"/>
      <c r="E51" s="224"/>
      <c r="F51" s="256"/>
      <c r="G51" s="226" t="s">
        <v>1560</v>
      </c>
    </row>
    <row r="52" spans="1:7" s="200" customFormat="1" ht="16.5" thickBot="1">
      <c r="A52" s="257" t="s">
        <v>1561</v>
      </c>
      <c r="B52" s="258"/>
      <c r="C52" s="259">
        <f ca="1">C31+C51</f>
        <v>3456820</v>
      </c>
      <c r="D52" s="258"/>
      <c r="E52" s="258"/>
      <c r="F52" s="258"/>
      <c r="G52" s="260"/>
    </row>
    <row r="55" spans="1:7" ht="15.5">
      <c r="B55" s="262" t="s">
        <v>1562</v>
      </c>
      <c r="C55" s="263"/>
    </row>
    <row r="56" spans="1:7" ht="13">
      <c r="B56" s="265" t="s">
        <v>802</v>
      </c>
      <c r="C56" s="267">
        <f ca="1">1-C57</f>
        <v>0.95</v>
      </c>
    </row>
    <row r="57" spans="1:7" ht="13">
      <c r="B57" s="265" t="s">
        <v>803</v>
      </c>
      <c r="C57" s="266">
        <f ca="1">ROUND(C51/C52,3)</f>
        <v>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C33" sqref="C3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59.23</v>
      </c>
      <c r="E1" s="1842"/>
      <c r="F1" s="1842"/>
      <c r="G1" s="1842"/>
      <c r="H1" s="1842"/>
      <c r="I1" s="1842"/>
      <c r="J1" s="1842"/>
      <c r="K1" s="1056"/>
      <c r="L1" s="1843" t="s">
        <v>1928</v>
      </c>
      <c r="M1" s="810">
        <f>SUMPRODUCT((区片价!B5:B9=I2)*(区片价!C3:G3=E2)*(区片价!C5:G9))</f>
        <v>34550</v>
      </c>
      <c r="N1" s="813">
        <f>SUMPRODUCT((因素修正幅度!B5:B9=I2)*(因素修正幅度!C3:G3=E2)*(因素修正幅度!C5:G9))</f>
        <v>9.8000000000000004E-2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20"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1.5206</v>
      </c>
      <c r="T2" s="3063">
        <f t="shared" ref="T2:T16" si="0">ROUND($C$5*$C$22*$C$23*$C$24*S2*$C$28,0)</f>
        <v>42982</v>
      </c>
      <c r="U2" s="1130"/>
      <c r="V2" s="3063">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0</v>
      </c>
      <c r="C3" s="1846" t="s">
        <v>1941</v>
      </c>
      <c r="D3" s="162" t="s">
        <v>1942</v>
      </c>
      <c r="E3" s="3118" t="s">
        <v>2443</v>
      </c>
      <c r="F3" s="1848" t="s">
        <v>3437</v>
      </c>
      <c r="G3" s="708">
        <f>IF(F3="宗地容积率",'数据-汇总表'!I4,IF(F3="估价对象容积率",'数据-汇总表'!I6,'数据-汇总表'!I7))</f>
        <v>2.89</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34123</v>
      </c>
      <c r="U3" s="1130"/>
      <c r="V3" s="3063">
        <f t="shared" ref="V3:V16" si="1">ROUND(T3*U3/10000,0)</f>
        <v>0</v>
      </c>
      <c r="W3" s="1133"/>
      <c r="X3" s="1133"/>
      <c r="Y3" s="1133"/>
      <c r="Z3" s="1133"/>
      <c r="AA3" s="1133"/>
      <c r="AB3" s="1133"/>
      <c r="AC3" s="1134"/>
      <c r="AD3" s="1135"/>
      <c r="AE3" s="1135"/>
      <c r="AF3" s="1135"/>
      <c r="AG3" s="1135"/>
      <c r="AH3" s="1135"/>
      <c r="AI3" s="1135"/>
      <c r="AJ3" s="1136"/>
    </row>
    <row r="4" spans="1:36" ht="15.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29485</v>
      </c>
      <c r="U4" s="1130"/>
      <c r="V4" s="3063">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34550</v>
      </c>
      <c r="D5" s="1252">
        <f>ROUND(C6*C17+C20,0)</f>
        <v>34550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26681</v>
      </c>
      <c r="U5" s="1130"/>
      <c r="V5" s="3063">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34550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25428</v>
      </c>
      <c r="U6" s="1130"/>
      <c r="V6" s="3063">
        <f t="shared" si="1"/>
        <v>0</v>
      </c>
      <c r="W6" s="1133"/>
      <c r="X6" s="1133"/>
      <c r="Y6" s="1133"/>
      <c r="Z6" s="1133"/>
      <c r="AA6" s="1133"/>
      <c r="AB6" s="1133"/>
      <c r="AC6" s="1855"/>
      <c r="AD6" s="1856"/>
      <c r="AE6" s="1856"/>
      <c r="AF6" s="1856"/>
      <c r="AG6" s="1856"/>
      <c r="AH6" s="1856"/>
      <c r="AI6" s="1856"/>
      <c r="AJ6" s="1857"/>
    </row>
    <row r="7" spans="1:36" ht="26.5"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一级</v>
      </c>
      <c r="Y7" s="1131" t="s">
        <v>1956</v>
      </c>
      <c r="Z7" s="1132">
        <f>G3</f>
        <v>2.89</v>
      </c>
      <c r="AA7" s="1133"/>
      <c r="AB7" s="1133"/>
      <c r="AC7" s="1134"/>
      <c r="AD7" s="1135"/>
      <c r="AE7" s="1135"/>
      <c r="AF7" s="1135"/>
      <c r="AG7" s="1135"/>
      <c r="AH7" s="1135"/>
      <c r="AI7" s="1135"/>
      <c r="AJ7" s="1136"/>
    </row>
    <row r="8" spans="1:36" ht="25">
      <c r="A8" s="3009"/>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73"/>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7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09"/>
      <c r="C18" s="3034"/>
      <c r="D18" s="3029" t="s">
        <v>3248</v>
      </c>
      <c r="E18" s="2356"/>
      <c r="F18" s="3030" t="s">
        <v>3251</v>
      </c>
      <c r="G18" s="3034">
        <f>ROUND(1-(1/(POWER(1+G24,E18))),4)</f>
        <v>0</v>
      </c>
      <c r="H18" s="3030" t="s">
        <v>3253</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8" t="s">
        <v>3254</v>
      </c>
      <c r="B20" s="159" t="s">
        <v>1994</v>
      </c>
      <c r="C20" s="3031">
        <f>ROUND(IF(F21="与级别开发程度一致",0,(G21-E21)/C21),0)</f>
        <v>0</v>
      </c>
      <c r="D20" s="3046" t="s">
        <v>1998</v>
      </c>
      <c r="E20" s="3047"/>
      <c r="F20" s="3484" t="s">
        <v>1995</v>
      </c>
      <c r="G20" s="348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5.5" thickBot="1">
      <c r="A21" s="3479"/>
      <c r="B21" s="2001" t="s">
        <v>1997</v>
      </c>
      <c r="C21" s="2002">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3171" t="s">
        <v>3438</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5" t="s">
        <v>363</v>
      </c>
      <c r="B22" s="1996" t="s">
        <v>2000</v>
      </c>
      <c r="C22" s="1997">
        <f>SUMIF(修正!C20:C53,E3,修正!E20:E53)</f>
        <v>0.9</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45896</v>
      </c>
      <c r="H23" s="3048" t="s">
        <v>3256</v>
      </c>
      <c r="I23" s="3049" t="str">
        <f>IF(H23="季度增幅（自定义）",SUMIF(N25:N28,E2,O25:O28),"")</f>
        <v/>
      </c>
      <c r="J23" s="3141" t="s">
        <v>3255</v>
      </c>
      <c r="K23" s="1061"/>
      <c r="L23" s="1897" t="s">
        <v>2004</v>
      </c>
      <c r="M23" s="1241">
        <f>ROUND(SUMIF(地价!B2:G2,E2,地价!B16:G16),0)</f>
        <v>350</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0.88470000000000004</v>
      </c>
      <c r="D24" s="1902" t="s">
        <v>2007</v>
      </c>
      <c r="E24" s="1248">
        <f>存贷款利率!E28/100</f>
        <v>4.3499999999999997E-2</v>
      </c>
      <c r="F24" s="1902" t="s">
        <v>1999</v>
      </c>
      <c r="G24" s="724">
        <f>SUMIF(M30:Q30,E2,M33:Q33)</f>
        <v>5.5E-2</v>
      </c>
      <c r="H24" s="1902" t="s">
        <v>2008</v>
      </c>
      <c r="I24" s="725">
        <f>SUMIF('数据-取费表'!C6:C15,E2,'数据-取费表'!F6:F15)/COUNTIF('数据-取费表'!C6:C15,E2)</f>
        <v>28.35</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3439</v>
      </c>
      <c r="C25" s="461">
        <f>IF(B25="容积率修正",IF(G3&lt;10,D26,J26),C27)</f>
        <v>1.5206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3257</v>
      </c>
      <c r="D26" s="1263">
        <f>IF(E26=G26,F26,IF(G3&lt;10,ROUND(F26+(H26-F26)*(G3-E26)/(G26-E26),4),"——"))</f>
        <v>1.024</v>
      </c>
      <c r="E26" s="708">
        <f>ROUNDDOWN(G3,1)</f>
        <v>2.8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1.0282</v>
      </c>
      <c r="G26" s="708">
        <f>ROUNDUP(G3,1)</f>
        <v>2.9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1.0235000000000001</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42982</v>
      </c>
      <c r="D33" s="1940">
        <f>'数据-汇总表'!E3</f>
        <v>59.23</v>
      </c>
      <c r="E33" s="727">
        <f>ROUND(C33*D33/10000,0)</f>
        <v>255</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2"/>
      <c r="B37" s="1955" t="s">
        <v>2036</v>
      </c>
      <c r="C37" s="167">
        <f>ROUND(D5*C22*C23*C24*C28*F37,0)</f>
        <v>19786</v>
      </c>
      <c r="D37" s="1940"/>
      <c r="E37" s="163">
        <f>ROUND(C37*D37/10000,0)</f>
        <v>0</v>
      </c>
      <c r="F37" s="163">
        <f>SUMIF(修正!A59:A70,G2,修正!B59:B70)</f>
        <v>0.7</v>
      </c>
      <c r="G37" s="163">
        <f>ROUND(IF(E2="工业",C37*$M$42,C37*$M$41),0)</f>
        <v>4947</v>
      </c>
      <c r="H37" s="163">
        <f>D37</f>
        <v>0</v>
      </c>
      <c r="I37" s="163">
        <f>ROUND(G37*H37/10000,0)</f>
        <v>0</v>
      </c>
      <c r="J37" s="2754"/>
      <c r="K37" s="3061"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3"/>
      <c r="B38" s="1884" t="s">
        <v>2037</v>
      </c>
      <c r="C38" s="167">
        <f>ROUND(D5*C22*C23*C24*C28*F38,0)</f>
        <v>11307</v>
      </c>
      <c r="D38" s="1940"/>
      <c r="E38" s="163">
        <f t="shared" ref="E38:E42" si="4">ROUND(C38*D38/10000,0)</f>
        <v>0</v>
      </c>
      <c r="F38" s="163">
        <f>SUMIF(修正!A59:A70,G2,修正!C59:C70)</f>
        <v>0.4</v>
      </c>
      <c r="G38" s="163">
        <f>ROUND(IF(E2="工业",C38*$M$42,C38*$M$41),0)</f>
        <v>2827</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3259</v>
      </c>
      <c r="C39" s="167">
        <f>ROUND(D5*C22*C23*C24*C28*F39,0)</f>
        <v>8480</v>
      </c>
      <c r="D39" s="1940"/>
      <c r="E39" s="163">
        <f t="shared" si="4"/>
        <v>0</v>
      </c>
      <c r="F39" s="163">
        <f>SUMIF(修正!A59:A70,G2,修正!D59:D70)</f>
        <v>0.3</v>
      </c>
      <c r="G39" s="163">
        <f>ROUND(IF(E2="工业",C39*$M$42,C39*$M$41),0)</f>
        <v>2120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8480</v>
      </c>
      <c r="D40" s="1940"/>
      <c r="E40" s="163">
        <f t="shared" si="4"/>
        <v>0</v>
      </c>
      <c r="F40" s="167">
        <f>SUMIF(修正!A59:A70,G2,修正!E59:E70)</f>
        <v>0.3</v>
      </c>
      <c r="G40" s="163">
        <f>ROUND(IF(E2="工业",C40*$M$42,C40*$M$41),0)</f>
        <v>2120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0.3</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f>IF(E2="商业",SUMIF(L1:L12,G2,N1:N12),"——")</f>
        <v>9.8000000000000004E-2</v>
      </c>
      <c r="G50" s="1000"/>
      <c r="H50" s="1003">
        <f t="shared" ref="H50:H58" si="8">IFERROR(ROUNDDOWN($F$50*I50/2,4),"——")</f>
        <v>1.47E-2</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f t="shared" si="8"/>
        <v>1.0699999999999999E-2</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3269</v>
      </c>
      <c r="B52" s="1262">
        <f>估价对象房地状况!C19</f>
        <v>0</v>
      </c>
      <c r="C52" s="1887"/>
      <c r="D52" s="1002">
        <f t="shared" si="7"/>
        <v>0</v>
      </c>
      <c r="E52" s="703"/>
      <c r="F52" s="1675"/>
      <c r="G52" s="1000"/>
      <c r="H52" s="1003">
        <f t="shared" si="8"/>
        <v>5.7999999999999996E-3</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f t="shared" si="8"/>
        <v>2.3999999999999998E-3</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f t="shared" si="8"/>
        <v>3.8999999999999998E-3</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f t="shared" si="8"/>
        <v>2.3999999999999998E-3</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f t="shared" si="8"/>
        <v>2.3999999999999998E-3</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f t="shared" si="8"/>
        <v>3.8999999999999998E-3</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f t="shared" si="8"/>
        <v>2.3999999999999998E-3</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6">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0" t="s">
        <v>3294</v>
      </c>
      <c r="B103" s="3480"/>
      <c r="C103" s="3480"/>
      <c r="D103" s="3480"/>
      <c r="E103" s="3480"/>
      <c r="F103" s="3480"/>
      <c r="G103" s="3480"/>
      <c r="H103" s="3480"/>
      <c r="I103" s="3480"/>
      <c r="J103" s="3480"/>
      <c r="K103" s="1667"/>
      <c r="L103" s="1667"/>
      <c r="M103" s="1667"/>
      <c r="N103" s="1667"/>
    </row>
    <row r="104" spans="1:14" ht="13">
      <c r="A104" s="3481" t="s">
        <v>3295</v>
      </c>
      <c r="B104" s="3481" t="s">
        <v>3296</v>
      </c>
      <c r="C104" s="3090" t="s">
        <v>3297</v>
      </c>
      <c r="D104" s="3091"/>
      <c r="E104" s="3091"/>
      <c r="F104" s="3091"/>
      <c r="G104" s="3091"/>
      <c r="H104" s="3091"/>
      <c r="I104" s="3091"/>
      <c r="J104" s="3092"/>
      <c r="K104" s="3093"/>
      <c r="L104" s="3093"/>
      <c r="M104" s="3093"/>
      <c r="N104" s="3093"/>
    </row>
    <row r="105" spans="1:14" ht="13">
      <c r="A105" s="3481"/>
      <c r="B105" s="3481"/>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67"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8"/>
      <c r="B111" s="3094" t="s">
        <v>3268</v>
      </c>
      <c r="C111" s="3095">
        <f>$I$3</f>
        <v>1</v>
      </c>
      <c r="D111" s="3095">
        <f t="shared" ref="D111:M111" si="32">$I$3</f>
        <v>1</v>
      </c>
      <c r="E111" s="3095">
        <f t="shared" si="32"/>
        <v>1</v>
      </c>
      <c r="F111" s="3095">
        <f t="shared" si="32"/>
        <v>1</v>
      </c>
      <c r="G111" s="3095">
        <f t="shared" si="32"/>
        <v>1</v>
      </c>
      <c r="H111" s="3095">
        <f t="shared" si="32"/>
        <v>1</v>
      </c>
      <c r="I111" s="3095">
        <f t="shared" si="32"/>
        <v>1</v>
      </c>
      <c r="J111" s="3095">
        <f t="shared" si="32"/>
        <v>1</v>
      </c>
      <c r="K111" s="3095">
        <f t="shared" si="32"/>
        <v>1</v>
      </c>
      <c r="L111" s="3095">
        <f t="shared" si="32"/>
        <v>1</v>
      </c>
      <c r="M111" s="3095">
        <f t="shared" si="32"/>
        <v>1</v>
      </c>
      <c r="N111" s="3095">
        <f>$I$3</f>
        <v>1</v>
      </c>
    </row>
    <row r="112" spans="1:14">
      <c r="A112" s="3469"/>
      <c r="B112" s="3094">
        <v>6</v>
      </c>
      <c r="C112" s="3089">
        <f>(-0.5556*(C111^2)-0.2719*C111+8944)*(10^(-4))</f>
        <v>0.89431725000000006</v>
      </c>
      <c r="D112" s="3089">
        <f>(-0.5556*(D111^2)-0.2719*D111+8944)*(10^(-4))</f>
        <v>0.89431725000000006</v>
      </c>
      <c r="E112" s="3089">
        <f>(-0.7912*(E111^2)-11.3794*E111+8482)*(10^(-4))</f>
        <v>0.84698294000000007</v>
      </c>
      <c r="F112" s="3089">
        <f t="shared" ref="F112:I112" si="33">(-0.7912*(F111^2)-11.3794*F111+8482)*(10^(-4))</f>
        <v>0.84698294000000007</v>
      </c>
      <c r="G112" s="3089">
        <f t="shared" si="33"/>
        <v>0.84698294000000007</v>
      </c>
      <c r="H112" s="3089">
        <f t="shared" si="33"/>
        <v>0.84698294000000007</v>
      </c>
      <c r="I112" s="3089">
        <f t="shared" si="33"/>
        <v>0.84698294000000007</v>
      </c>
      <c r="J112" s="3089">
        <f>(-0.989*(J111^2)-63.78*J111+7771)*(10^(-4))</f>
        <v>0.77062310000000001</v>
      </c>
      <c r="K112" s="3089">
        <f t="shared" ref="K112:N112" si="34">(-0.989*(K111^2)-63.78*K111+7771)*(10^(-4))</f>
        <v>0.77062310000000001</v>
      </c>
      <c r="L112" s="3089">
        <f t="shared" si="34"/>
        <v>0.77062310000000001</v>
      </c>
      <c r="M112" s="3089">
        <f t="shared" si="34"/>
        <v>0.77062310000000001</v>
      </c>
      <c r="N112" s="3089">
        <f t="shared" si="34"/>
        <v>0.77062310000000001</v>
      </c>
    </row>
    <row r="113" spans="1:14" ht="13">
      <c r="A113" s="3470" t="s">
        <v>3311</v>
      </c>
      <c r="B113" s="3470"/>
      <c r="C113" s="3470"/>
      <c r="D113" s="3470"/>
      <c r="E113" s="3470"/>
      <c r="F113" s="3470"/>
      <c r="G113" s="3470"/>
      <c r="H113" s="3470"/>
      <c r="I113" s="3470"/>
      <c r="J113" s="347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3312</v>
      </c>
      <c r="B116" s="3114">
        <f>G3</f>
        <v>2.89</v>
      </c>
      <c r="C116" s="3099" t="s">
        <v>3313</v>
      </c>
      <c r="D116" s="3100">
        <f>SUMPRODUCT((A118:A122=F116)*(B117:M117=H116)*B118:M122)</f>
        <v>0.96499999999999997</v>
      </c>
      <c r="E116" s="162" t="s">
        <v>3314</v>
      </c>
      <c r="F116" s="3101" t="str">
        <f>E2</f>
        <v>商业</v>
      </c>
      <c r="G116" s="162" t="s">
        <v>3315</v>
      </c>
      <c r="H116" s="3101" t="str">
        <f>G2</f>
        <v>一级</v>
      </c>
      <c r="I116" s="162"/>
      <c r="J116" s="3102"/>
      <c r="K116" s="3102"/>
      <c r="L116" s="3102"/>
      <c r="M116" s="3102"/>
      <c r="N116" s="3097"/>
    </row>
    <row r="117" spans="1:14" ht="13">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ht="13">
      <c r="A118" s="3057" t="s">
        <v>3328</v>
      </c>
      <c r="B118" s="3089">
        <f>ROUND(0.9968-0.011*B116,4)</f>
        <v>0.96499999999999997</v>
      </c>
      <c r="C118" s="3089">
        <f>B118</f>
        <v>0.96499999999999997</v>
      </c>
      <c r="D118" s="3089">
        <f>ROUND(0.949-0.014*B116,4)</f>
        <v>0.90849999999999997</v>
      </c>
      <c r="E118" s="3089">
        <f>D118</f>
        <v>0.90849999999999997</v>
      </c>
      <c r="F118" s="3089">
        <f>E118</f>
        <v>0.90849999999999997</v>
      </c>
      <c r="G118" s="3089">
        <f>F118</f>
        <v>0.90849999999999997</v>
      </c>
      <c r="H118" s="3089">
        <f>G118</f>
        <v>0.90849999999999997</v>
      </c>
      <c r="I118" s="3089">
        <f>ROUND(0.8486-0.018*B116,4)</f>
        <v>0.79659999999999997</v>
      </c>
      <c r="J118" s="3089">
        <f t="shared" ref="J118:M122" si="35">I118</f>
        <v>0.79659999999999997</v>
      </c>
      <c r="K118" s="3089">
        <f t="shared" si="35"/>
        <v>0.79659999999999997</v>
      </c>
      <c r="L118" s="3089">
        <f t="shared" si="35"/>
        <v>0.79659999999999997</v>
      </c>
      <c r="M118" s="3109">
        <f t="shared" si="35"/>
        <v>0.79659999999999997</v>
      </c>
      <c r="N118" s="3097"/>
    </row>
    <row r="119" spans="1:14" ht="13">
      <c r="A119" s="3057" t="s">
        <v>3329</v>
      </c>
      <c r="B119" s="3089">
        <f>ROUND(0.993-0.0112*B116,4)</f>
        <v>0.96060000000000001</v>
      </c>
      <c r="C119" s="3089">
        <f>B119</f>
        <v>0.96060000000000001</v>
      </c>
      <c r="D119" s="3089">
        <f>ROUND(0.9415-0.0142*B116,4)</f>
        <v>0.90049999999999997</v>
      </c>
      <c r="E119" s="3089">
        <f t="shared" ref="E119:H120" si="36">D119</f>
        <v>0.90049999999999997</v>
      </c>
      <c r="F119" s="3089">
        <f t="shared" si="36"/>
        <v>0.90049999999999997</v>
      </c>
      <c r="G119" s="3089">
        <f t="shared" si="36"/>
        <v>0.90049999999999997</v>
      </c>
      <c r="H119" s="3089">
        <f t="shared" si="36"/>
        <v>0.90049999999999997</v>
      </c>
      <c r="I119" s="3089">
        <f>ROUND(0.838-0.0182*B116,4)</f>
        <v>0.78539999999999999</v>
      </c>
      <c r="J119" s="3089">
        <f t="shared" si="35"/>
        <v>0.78539999999999999</v>
      </c>
      <c r="K119" s="3089">
        <f t="shared" si="35"/>
        <v>0.78539999999999999</v>
      </c>
      <c r="L119" s="3089">
        <f t="shared" si="35"/>
        <v>0.78539999999999999</v>
      </c>
      <c r="M119" s="3109">
        <f t="shared" si="35"/>
        <v>0.78539999999999999</v>
      </c>
      <c r="N119" s="3097"/>
    </row>
    <row r="120" spans="1:14" ht="13">
      <c r="A120" s="3057" t="s">
        <v>3330</v>
      </c>
      <c r="B120" s="3089">
        <f>ROUND(0.9448-0.0115*B116,4)</f>
        <v>0.91159999999999997</v>
      </c>
      <c r="C120" s="3089">
        <f>B120</f>
        <v>0.91159999999999997</v>
      </c>
      <c r="D120" s="3089">
        <f>ROUND(0.937-0.0145*B116,4)</f>
        <v>0.89510000000000001</v>
      </c>
      <c r="E120" s="3089">
        <f t="shared" si="36"/>
        <v>0.89510000000000001</v>
      </c>
      <c r="F120" s="3089">
        <f t="shared" si="36"/>
        <v>0.89510000000000001</v>
      </c>
      <c r="G120" s="3089">
        <f t="shared" si="36"/>
        <v>0.89510000000000001</v>
      </c>
      <c r="H120" s="3089">
        <f t="shared" si="36"/>
        <v>0.89510000000000001</v>
      </c>
      <c r="I120" s="3089">
        <f>ROUND(0.7965-0.0185*B116,4)</f>
        <v>0.74299999999999999</v>
      </c>
      <c r="J120" s="3089">
        <f t="shared" si="35"/>
        <v>0.74299999999999999</v>
      </c>
      <c r="K120" s="3089">
        <f t="shared" si="35"/>
        <v>0.74299999999999999</v>
      </c>
      <c r="L120" s="3089">
        <f t="shared" si="35"/>
        <v>0.74299999999999999</v>
      </c>
      <c r="M120" s="3109">
        <f t="shared" si="35"/>
        <v>0.74299999999999999</v>
      </c>
      <c r="N120" s="3097"/>
    </row>
    <row r="121" spans="1:14" ht="13.5" thickBot="1">
      <c r="A121" s="3110" t="s">
        <v>3331</v>
      </c>
      <c r="B121" s="3111">
        <f>ROUND(0.7836-0.012*B116,4)</f>
        <v>0.74890000000000001</v>
      </c>
      <c r="C121" s="3111">
        <f>B121</f>
        <v>0.74890000000000001</v>
      </c>
      <c r="D121" s="3111">
        <f>ROUND(0.753-0.015*B116,4)</f>
        <v>0.7097</v>
      </c>
      <c r="E121" s="3111">
        <f>D121</f>
        <v>0.7097</v>
      </c>
      <c r="F121" s="3111">
        <f>E121</f>
        <v>0.7097</v>
      </c>
      <c r="G121" s="3111">
        <f>ROUND(0.6612-0.018*B116,4)</f>
        <v>0.60919999999999996</v>
      </c>
      <c r="H121" s="3111">
        <f>G121</f>
        <v>0.60919999999999996</v>
      </c>
      <c r="I121" s="3111">
        <f>ROUND(0.5905-0.019*B116,4)</f>
        <v>0.53559999999999997</v>
      </c>
      <c r="J121" s="3111">
        <f t="shared" si="35"/>
        <v>0.53559999999999997</v>
      </c>
      <c r="K121" s="3111">
        <f t="shared" si="35"/>
        <v>0.53559999999999997</v>
      </c>
      <c r="L121" s="3111">
        <f t="shared" si="35"/>
        <v>0.53559999999999997</v>
      </c>
      <c r="M121" s="3112">
        <f t="shared" si="35"/>
        <v>0.53559999999999997</v>
      </c>
      <c r="N121" s="3097"/>
    </row>
    <row r="122" spans="1:14" ht="13">
      <c r="A122" s="3113" t="s">
        <v>2612</v>
      </c>
      <c r="B122" s="3089">
        <f>ROUND(0.9404-0.0106*B116,4)</f>
        <v>0.90980000000000005</v>
      </c>
      <c r="C122" s="3089">
        <f>B122</f>
        <v>0.90980000000000005</v>
      </c>
      <c r="D122" s="3089">
        <f>ROUND(0.8955-0.0135*B116,4)</f>
        <v>0.85650000000000004</v>
      </c>
      <c r="E122" s="3089">
        <f t="shared" ref="E122:H122" si="37">D122</f>
        <v>0.85650000000000004</v>
      </c>
      <c r="F122" s="3089">
        <f t="shared" si="37"/>
        <v>0.85650000000000004</v>
      </c>
      <c r="G122" s="3089">
        <f t="shared" si="37"/>
        <v>0.85650000000000004</v>
      </c>
      <c r="H122" s="3089">
        <f t="shared" si="37"/>
        <v>0.85650000000000004</v>
      </c>
      <c r="I122" s="3089">
        <f>ROUND(0.7632-0.0166*B116,4)</f>
        <v>0.71519999999999995</v>
      </c>
      <c r="J122" s="3089">
        <f t="shared" si="35"/>
        <v>0.71519999999999995</v>
      </c>
      <c r="K122" s="3089">
        <f t="shared" si="35"/>
        <v>0.71519999999999995</v>
      </c>
      <c r="L122" s="3089">
        <f t="shared" si="35"/>
        <v>0.71519999999999995</v>
      </c>
      <c r="M122" s="3109">
        <f t="shared" si="35"/>
        <v>0.71519999999999995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EFC58-8C9E-4603-99ED-49ADCE032348}">
  <dimension ref="A1"/>
  <sheetViews>
    <sheetView workbookViewId="0"/>
  </sheetViews>
  <sheetFormatPr defaultRowHeight="14"/>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937</v>
      </c>
    </row>
    <row r="6" spans="1:5" ht="15.5">
      <c r="B6" s="3181"/>
      <c r="C6" s="1392" t="s">
        <v>911</v>
      </c>
      <c r="D6" s="797" t="str">
        <f ca="1">NUMBERSTRING(INT(D5*10000),2)&amp;"元整"</f>
        <v>玖佰叁拾柒万元整</v>
      </c>
    </row>
    <row r="7" spans="1:5" ht="15.5">
      <c r="B7" s="3186"/>
      <c r="C7" s="1393" t="s">
        <v>912</v>
      </c>
      <c r="D7" s="798">
        <f ca="1">结果表!H102</f>
        <v>158159</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937</v>
      </c>
    </row>
    <row r="14" spans="1:5" ht="15.5">
      <c r="B14" s="3181"/>
      <c r="C14" s="1392" t="s">
        <v>911</v>
      </c>
      <c r="D14" s="797" t="str">
        <f ca="1">NUMBERSTRING(INT(D13*10000),2)&amp;"元整"</f>
        <v>玖佰叁拾柒万元整</v>
      </c>
    </row>
    <row r="15" spans="1:5" ht="15.5">
      <c r="B15" s="3186"/>
      <c r="C15" s="1393" t="s">
        <v>921</v>
      </c>
      <c r="D15" s="806">
        <f ca="1">结果表!H108</f>
        <v>158159</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7" t="s">
        <v>2607</v>
      </c>
      <c r="B20" s="3490" t="s">
        <v>2628</v>
      </c>
      <c r="C20" s="3168" t="s">
        <v>2439</v>
      </c>
      <c r="D20" s="3168"/>
      <c r="E20" s="2844">
        <v>1</v>
      </c>
      <c r="F20" s="2845" t="s">
        <v>2440</v>
      </c>
      <c r="G20" s="2845"/>
    </row>
    <row r="21" spans="1:13" ht="19.5" customHeight="1">
      <c r="A21" s="3498"/>
      <c r="B21" s="3486"/>
      <c r="C21" s="2857" t="s">
        <v>2441</v>
      </c>
      <c r="D21" s="2857"/>
      <c r="E21" s="2848">
        <v>1</v>
      </c>
      <c r="F21" s="2845" t="s">
        <v>2442</v>
      </c>
      <c r="G21" s="2845"/>
    </row>
    <row r="22" spans="1:13" ht="19.5" customHeight="1">
      <c r="A22" s="3498"/>
      <c r="B22" s="3486"/>
      <c r="C22" s="2857" t="s">
        <v>2443</v>
      </c>
      <c r="D22" s="2857"/>
      <c r="E22" s="2848">
        <v>0.9</v>
      </c>
      <c r="F22" s="2845" t="s">
        <v>2444</v>
      </c>
      <c r="G22" s="2845"/>
    </row>
    <row r="23" spans="1:13" ht="19.5" customHeight="1">
      <c r="A23" s="3498"/>
      <c r="B23" s="3486"/>
      <c r="C23" s="2857" t="s">
        <v>2445</v>
      </c>
      <c r="D23" s="2857"/>
      <c r="E23" s="2848">
        <v>0.9</v>
      </c>
      <c r="F23" s="2845" t="s">
        <v>2446</v>
      </c>
      <c r="G23" s="2845"/>
    </row>
    <row r="24" spans="1:13" ht="19.5" customHeight="1">
      <c r="A24" s="3498"/>
      <c r="B24" s="3486"/>
      <c r="C24" s="2857" t="s">
        <v>2447</v>
      </c>
      <c r="D24" s="2857"/>
      <c r="E24" s="2848">
        <v>0.8</v>
      </c>
      <c r="F24" s="2845" t="s">
        <v>2448</v>
      </c>
      <c r="G24" s="2845"/>
    </row>
    <row r="25" spans="1:13" ht="19.5" customHeight="1">
      <c r="A25" s="3498"/>
      <c r="B25" s="3486"/>
      <c r="C25" s="2857" t="s">
        <v>2449</v>
      </c>
      <c r="D25" s="2857"/>
      <c r="E25" s="2848">
        <v>0.8</v>
      </c>
      <c r="F25" s="2845"/>
      <c r="G25" s="2845"/>
    </row>
    <row r="26" spans="1:13" ht="19.5" customHeight="1">
      <c r="A26" s="3498"/>
      <c r="B26" s="3486"/>
      <c r="C26" s="2857" t="s">
        <v>3411</v>
      </c>
      <c r="D26" s="2857"/>
      <c r="E26" s="2848">
        <v>0.43</v>
      </c>
      <c r="F26" s="2845"/>
      <c r="G26" s="2845"/>
    </row>
    <row r="27" spans="1:13" ht="19.5" customHeight="1" thickBot="1">
      <c r="A27" s="3499"/>
      <c r="B27" s="3491"/>
      <c r="C27" s="3164" t="s">
        <v>3412</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92" t="s">
        <v>2631</v>
      </c>
      <c r="B29" s="3495" t="s">
        <v>2612</v>
      </c>
      <c r="C29" s="2842" t="s">
        <v>2452</v>
      </c>
      <c r="D29" s="2843"/>
      <c r="E29" s="2844">
        <v>1</v>
      </c>
      <c r="F29" s="2845" t="s">
        <v>2453</v>
      </c>
      <c r="G29" s="2845"/>
    </row>
    <row r="30" spans="1:13" ht="19.5" customHeight="1">
      <c r="A30" s="3493"/>
      <c r="B30" s="3489"/>
      <c r="C30" s="2846" t="s">
        <v>2454</v>
      </c>
      <c r="D30" s="2847"/>
      <c r="E30" s="2848">
        <v>1</v>
      </c>
      <c r="F30" s="2845" t="s">
        <v>2455</v>
      </c>
      <c r="G30" s="2845"/>
    </row>
    <row r="31" spans="1:13" ht="19.5" customHeight="1">
      <c r="A31" s="3493"/>
      <c r="B31" s="3489"/>
      <c r="C31" s="2846" t="s">
        <v>2456</v>
      </c>
      <c r="D31" s="2847"/>
      <c r="E31" s="2848">
        <v>0.8</v>
      </c>
      <c r="F31" s="2845" t="s">
        <v>2457</v>
      </c>
      <c r="G31" s="2845"/>
    </row>
    <row r="32" spans="1:13" ht="19.5" customHeight="1">
      <c r="A32" s="3493"/>
      <c r="B32" s="3489"/>
      <c r="C32" s="2846" t="s">
        <v>2458</v>
      </c>
      <c r="D32" s="2847"/>
      <c r="E32" s="2848">
        <v>0.8</v>
      </c>
      <c r="F32" s="2845" t="s">
        <v>2459</v>
      </c>
      <c r="G32" s="2845"/>
    </row>
    <row r="33" spans="1:7" ht="19.5" customHeight="1">
      <c r="A33" s="3493"/>
      <c r="B33" s="3489"/>
      <c r="C33" s="2846" t="s">
        <v>2460</v>
      </c>
      <c r="D33" s="2847"/>
      <c r="E33" s="2848">
        <v>0.8</v>
      </c>
      <c r="F33" s="2845" t="s">
        <v>2461</v>
      </c>
      <c r="G33" s="2845"/>
    </row>
    <row r="34" spans="1:7" ht="19.5" customHeight="1">
      <c r="A34" s="3493"/>
      <c r="B34" s="3489"/>
      <c r="C34" s="2846" t="s">
        <v>2462</v>
      </c>
      <c r="D34" s="2847"/>
      <c r="E34" s="2848">
        <v>0.7</v>
      </c>
      <c r="F34" s="2845" t="s">
        <v>2463</v>
      </c>
      <c r="G34" s="2845"/>
    </row>
    <row r="35" spans="1:7" ht="19.5" customHeight="1">
      <c r="A35" s="3493"/>
      <c r="B35" s="3489"/>
      <c r="C35" s="2846" t="s">
        <v>2464</v>
      </c>
      <c r="D35" s="2847"/>
      <c r="E35" s="2848">
        <v>0.8</v>
      </c>
      <c r="F35" s="2845" t="s">
        <v>2465</v>
      </c>
      <c r="G35" s="2845"/>
    </row>
    <row r="36" spans="1:7" ht="19.5" customHeight="1">
      <c r="A36" s="3493"/>
      <c r="B36" s="3489"/>
      <c r="C36" s="2846" t="s">
        <v>2466</v>
      </c>
      <c r="D36" s="2847"/>
      <c r="E36" s="2848">
        <v>0.6</v>
      </c>
      <c r="F36" s="2845" t="s">
        <v>2467</v>
      </c>
      <c r="G36" s="2845"/>
    </row>
    <row r="37" spans="1:7" ht="19.5" customHeight="1">
      <c r="A37" s="3493"/>
      <c r="B37" s="3489"/>
      <c r="C37" s="2846" t="s">
        <v>2468</v>
      </c>
      <c r="D37" s="2847"/>
      <c r="E37" s="2848">
        <v>0.2</v>
      </c>
      <c r="F37" s="2845" t="s">
        <v>2469</v>
      </c>
      <c r="G37" s="2845"/>
    </row>
    <row r="38" spans="1:7" ht="19.5" customHeight="1">
      <c r="A38" s="3493"/>
      <c r="B38" s="3489"/>
      <c r="C38" s="2846" t="s">
        <v>2470</v>
      </c>
      <c r="D38" s="2847"/>
      <c r="E38" s="2848">
        <v>0.2</v>
      </c>
      <c r="F38" s="2845" t="s">
        <v>2471</v>
      </c>
      <c r="G38" s="2845"/>
    </row>
    <row r="39" spans="1:7" ht="19.5" customHeight="1">
      <c r="A39" s="3493"/>
      <c r="B39" s="3487" t="s">
        <v>2632</v>
      </c>
      <c r="C39" s="2846" t="s">
        <v>2472</v>
      </c>
      <c r="D39" s="2847"/>
      <c r="E39" s="2848">
        <v>0.6</v>
      </c>
      <c r="F39" s="2845" t="s">
        <v>2473</v>
      </c>
      <c r="G39" s="2845"/>
    </row>
    <row r="40" spans="1:7" ht="19.5" customHeight="1">
      <c r="A40" s="3493"/>
      <c r="B40" s="3489"/>
      <c r="C40" s="2846" t="s">
        <v>2474</v>
      </c>
      <c r="D40" s="2847"/>
      <c r="E40" s="2848">
        <v>0.6</v>
      </c>
      <c r="F40" s="2845" t="s">
        <v>2475</v>
      </c>
      <c r="G40" s="2845"/>
    </row>
    <row r="41" spans="1:7" ht="19.5" customHeight="1" thickBot="1">
      <c r="A41" s="3494"/>
      <c r="B41" s="3496"/>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7" t="s">
        <v>2610</v>
      </c>
      <c r="B43" s="3495" t="s">
        <v>2634</v>
      </c>
      <c r="C43" s="2842" t="s">
        <v>2479</v>
      </c>
      <c r="D43" s="2843"/>
      <c r="E43" s="2844">
        <v>1</v>
      </c>
      <c r="F43" s="2845" t="s">
        <v>2480</v>
      </c>
      <c r="G43" s="2845"/>
    </row>
    <row r="44" spans="1:7" ht="19.5" customHeight="1">
      <c r="A44" s="3498"/>
      <c r="B44" s="3489"/>
      <c r="C44" s="2846" t="s">
        <v>2481</v>
      </c>
      <c r="D44" s="2847"/>
      <c r="E44" s="2848">
        <v>1</v>
      </c>
      <c r="F44" s="2845" t="s">
        <v>2482</v>
      </c>
      <c r="G44" s="2845"/>
    </row>
    <row r="45" spans="1:7" ht="19.5" customHeight="1">
      <c r="A45" s="3498"/>
      <c r="B45" s="3488"/>
      <c r="C45" s="2846" t="s">
        <v>2483</v>
      </c>
      <c r="D45" s="2847"/>
      <c r="E45" s="2848">
        <v>1.5</v>
      </c>
      <c r="F45" s="2845" t="s">
        <v>2484</v>
      </c>
      <c r="G45" s="2845"/>
    </row>
    <row r="46" spans="1:7" ht="19.5" customHeight="1">
      <c r="A46" s="3498"/>
      <c r="B46" s="2857" t="s">
        <v>2635</v>
      </c>
      <c r="C46" s="2846" t="s">
        <v>2636</v>
      </c>
      <c r="D46" s="2847"/>
      <c r="E46" s="2848">
        <v>2</v>
      </c>
      <c r="F46" s="2845" t="s">
        <v>2485</v>
      </c>
      <c r="G46" s="2845"/>
    </row>
    <row r="47" spans="1:7" ht="19.5" customHeight="1">
      <c r="A47" s="3498"/>
      <c r="B47" s="3487" t="s">
        <v>2637</v>
      </c>
      <c r="C47" s="2846" t="s">
        <v>2486</v>
      </c>
      <c r="D47" s="2847"/>
      <c r="E47" s="2848">
        <v>1</v>
      </c>
      <c r="F47" s="2845" t="s">
        <v>2487</v>
      </c>
      <c r="G47" s="2845"/>
    </row>
    <row r="48" spans="1:7" ht="19.5" customHeight="1">
      <c r="A48" s="3498"/>
      <c r="B48" s="3489"/>
      <c r="C48" s="2846" t="s">
        <v>2488</v>
      </c>
      <c r="D48" s="2847"/>
      <c r="E48" s="2848">
        <v>1</v>
      </c>
      <c r="F48" s="2845" t="s">
        <v>2489</v>
      </c>
      <c r="G48" s="2845"/>
    </row>
    <row r="49" spans="1:7" ht="19.5" customHeight="1">
      <c r="A49" s="3498"/>
      <c r="B49" s="3489"/>
      <c r="C49" s="2846" t="s">
        <v>2490</v>
      </c>
      <c r="D49" s="2847"/>
      <c r="E49" s="2848">
        <v>1</v>
      </c>
      <c r="F49" s="2845" t="s">
        <v>2491</v>
      </c>
      <c r="G49" s="2845"/>
    </row>
    <row r="50" spans="1:7" ht="19.5" customHeight="1">
      <c r="A50" s="3498"/>
      <c r="B50" s="3489"/>
      <c r="C50" s="2846" t="s">
        <v>2492</v>
      </c>
      <c r="D50" s="2847"/>
      <c r="E50" s="2848">
        <v>1</v>
      </c>
      <c r="F50" s="2845" t="s">
        <v>2493</v>
      </c>
      <c r="G50" s="2845"/>
    </row>
    <row r="51" spans="1:7" ht="19.5" customHeight="1">
      <c r="A51" s="3498"/>
      <c r="B51" s="3489"/>
      <c r="C51" s="2846" t="s">
        <v>2494</v>
      </c>
      <c r="D51" s="2847"/>
      <c r="E51" s="2848">
        <v>1</v>
      </c>
      <c r="F51" s="2845" t="s">
        <v>2495</v>
      </c>
      <c r="G51" s="2845"/>
    </row>
    <row r="52" spans="1:7" ht="19.5" customHeight="1">
      <c r="A52" s="3498"/>
      <c r="B52" s="3489"/>
      <c r="C52" s="2846" t="s">
        <v>2496</v>
      </c>
      <c r="D52" s="2847"/>
      <c r="E52" s="2848">
        <v>1</v>
      </c>
      <c r="F52" s="2845" t="s">
        <v>2497</v>
      </c>
      <c r="G52" s="2845"/>
    </row>
    <row r="53" spans="1:7" ht="19.5" customHeight="1" thickBot="1">
      <c r="A53" s="3499"/>
      <c r="B53" s="3496"/>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87" t="s">
        <v>2651</v>
      </c>
      <c r="C75" s="2831" t="s">
        <v>2652</v>
      </c>
      <c r="D75" s="2831" t="s">
        <v>2653</v>
      </c>
      <c r="E75" s="2857">
        <v>0.2</v>
      </c>
      <c r="F75" s="2857">
        <v>25</v>
      </c>
    </row>
    <row r="76" spans="1:7" ht="26">
      <c r="A76" s="2857">
        <v>2</v>
      </c>
      <c r="B76" s="3489"/>
      <c r="C76" s="2831" t="s">
        <v>2654</v>
      </c>
      <c r="D76" s="2831" t="s">
        <v>2655</v>
      </c>
      <c r="E76" s="2857">
        <v>0.2</v>
      </c>
      <c r="F76" s="2857">
        <v>25</v>
      </c>
    </row>
    <row r="77" spans="1:7" ht="26">
      <c r="A77" s="2857">
        <v>3</v>
      </c>
      <c r="B77" s="3489"/>
      <c r="C77" s="2831" t="s">
        <v>2656</v>
      </c>
      <c r="D77" s="2831" t="s">
        <v>2657</v>
      </c>
      <c r="E77" s="2857">
        <v>0.2</v>
      </c>
      <c r="F77" s="2857">
        <v>25</v>
      </c>
    </row>
    <row r="78" spans="1:7" ht="14">
      <c r="A78" s="2857">
        <v>4</v>
      </c>
      <c r="B78" s="3489"/>
      <c r="C78" s="2831" t="s">
        <v>2658</v>
      </c>
      <c r="D78" s="2831" t="s">
        <v>2659</v>
      </c>
      <c r="E78" s="2857">
        <v>0.15</v>
      </c>
      <c r="F78" s="2857">
        <v>20</v>
      </c>
    </row>
    <row r="79" spans="1:7" ht="26">
      <c r="A79" s="2857">
        <v>5</v>
      </c>
      <c r="B79" s="3489"/>
      <c r="C79" s="2831" t="s">
        <v>2660</v>
      </c>
      <c r="D79" s="2831" t="s">
        <v>2661</v>
      </c>
      <c r="E79" s="2857">
        <v>0.15</v>
      </c>
      <c r="F79" s="2857">
        <v>20</v>
      </c>
    </row>
    <row r="80" spans="1:7" ht="26">
      <c r="A80" s="2857">
        <v>6</v>
      </c>
      <c r="B80" s="3489"/>
      <c r="C80" s="2831" t="s">
        <v>2662</v>
      </c>
      <c r="D80" s="2831" t="s">
        <v>2663</v>
      </c>
      <c r="E80" s="2857">
        <v>0.15</v>
      </c>
      <c r="F80" s="2857">
        <v>20</v>
      </c>
    </row>
    <row r="81" spans="1:6" ht="26">
      <c r="A81" s="2857">
        <v>7</v>
      </c>
      <c r="B81" s="3489"/>
      <c r="C81" s="2831" t="s">
        <v>2664</v>
      </c>
      <c r="D81" s="2831" t="s">
        <v>2665</v>
      </c>
      <c r="E81" s="2857">
        <v>0.15</v>
      </c>
      <c r="F81" s="2857">
        <v>20</v>
      </c>
    </row>
    <row r="82" spans="1:6" ht="26">
      <c r="A82" s="2857">
        <v>8</v>
      </c>
      <c r="B82" s="3489"/>
      <c r="C82" s="2831" t="s">
        <v>2666</v>
      </c>
      <c r="D82" s="2831" t="s">
        <v>2667</v>
      </c>
      <c r="E82" s="2857">
        <v>0.1</v>
      </c>
      <c r="F82" s="2857">
        <v>15</v>
      </c>
    </row>
    <row r="83" spans="1:6" ht="26">
      <c r="A83" s="2857">
        <v>9</v>
      </c>
      <c r="B83" s="3489"/>
      <c r="C83" s="2831" t="s">
        <v>2668</v>
      </c>
      <c r="D83" s="2831" t="s">
        <v>2669</v>
      </c>
      <c r="E83" s="2857">
        <v>0.1</v>
      </c>
      <c r="F83" s="2857">
        <v>15</v>
      </c>
    </row>
    <row r="84" spans="1:6" ht="26">
      <c r="A84" s="2857">
        <v>10</v>
      </c>
      <c r="B84" s="3489"/>
      <c r="C84" s="2831" t="s">
        <v>2670</v>
      </c>
      <c r="D84" s="2831" t="s">
        <v>2671</v>
      </c>
      <c r="E84" s="2857">
        <v>0.1</v>
      </c>
      <c r="F84" s="2857">
        <v>15</v>
      </c>
    </row>
    <row r="85" spans="1:6" ht="26">
      <c r="A85" s="2857">
        <v>11</v>
      </c>
      <c r="B85" s="3489"/>
      <c r="C85" s="2831" t="s">
        <v>2672</v>
      </c>
      <c r="D85" s="2831" t="s">
        <v>2673</v>
      </c>
      <c r="E85" s="2857">
        <v>0.1</v>
      </c>
      <c r="F85" s="2857">
        <v>15</v>
      </c>
    </row>
    <row r="86" spans="1:6" ht="26">
      <c r="A86" s="2857">
        <v>12</v>
      </c>
      <c r="B86" s="3489"/>
      <c r="C86" s="2831" t="s">
        <v>2674</v>
      </c>
      <c r="D86" s="2831" t="s">
        <v>2675</v>
      </c>
      <c r="E86" s="2857">
        <v>0.1</v>
      </c>
      <c r="F86" s="2857">
        <v>15</v>
      </c>
    </row>
    <row r="87" spans="1:6" ht="14">
      <c r="A87" s="2857">
        <v>13</v>
      </c>
      <c r="B87" s="3489"/>
      <c r="C87" s="2831" t="s">
        <v>2676</v>
      </c>
      <c r="D87" s="2831" t="s">
        <v>2677</v>
      </c>
      <c r="E87" s="2857">
        <v>0.1</v>
      </c>
      <c r="F87" s="2857">
        <v>15</v>
      </c>
    </row>
    <row r="88" spans="1:6" ht="14">
      <c r="A88" s="2857">
        <v>14</v>
      </c>
      <c r="B88" s="3489"/>
      <c r="C88" s="2831" t="s">
        <v>2678</v>
      </c>
      <c r="D88" s="2831" t="s">
        <v>2679</v>
      </c>
      <c r="E88" s="2857">
        <v>0.1</v>
      </c>
      <c r="F88" s="2857">
        <v>15</v>
      </c>
    </row>
    <row r="89" spans="1:6" ht="14">
      <c r="A89" s="2857">
        <v>15</v>
      </c>
      <c r="B89" s="3489"/>
      <c r="C89" s="2831" t="s">
        <v>2680</v>
      </c>
      <c r="D89" s="2831" t="s">
        <v>2681</v>
      </c>
      <c r="E89" s="2857">
        <v>0.1</v>
      </c>
      <c r="F89" s="2857">
        <v>15</v>
      </c>
    </row>
    <row r="90" spans="1:6" ht="26">
      <c r="A90" s="2857">
        <v>16</v>
      </c>
      <c r="B90" s="3489"/>
      <c r="C90" s="2831" t="s">
        <v>2682</v>
      </c>
      <c r="D90" s="2831" t="s">
        <v>2683</v>
      </c>
      <c r="E90" s="2857">
        <v>0.1</v>
      </c>
      <c r="F90" s="2857">
        <v>15</v>
      </c>
    </row>
    <row r="91" spans="1:6" ht="26">
      <c r="A91" s="2857">
        <v>17</v>
      </c>
      <c r="B91" s="3488"/>
      <c r="C91" s="2831" t="s">
        <v>2684</v>
      </c>
      <c r="D91" s="2831" t="s">
        <v>2685</v>
      </c>
      <c r="E91" s="2857">
        <v>0.1</v>
      </c>
      <c r="F91" s="2857">
        <v>15</v>
      </c>
    </row>
    <row r="92" spans="1:6" ht="14">
      <c r="A92" s="2857">
        <v>18</v>
      </c>
      <c r="B92" s="3487" t="s">
        <v>2686</v>
      </c>
      <c r="C92" s="2831" t="s">
        <v>2687</v>
      </c>
      <c r="D92" s="2831" t="s">
        <v>2688</v>
      </c>
      <c r="E92" s="2857">
        <v>0.2</v>
      </c>
      <c r="F92" s="2857">
        <v>25</v>
      </c>
    </row>
    <row r="93" spans="1:6" ht="26">
      <c r="A93" s="2857">
        <v>19</v>
      </c>
      <c r="B93" s="3489"/>
      <c r="C93" s="2831" t="s">
        <v>2689</v>
      </c>
      <c r="D93" s="2831" t="s">
        <v>2690</v>
      </c>
      <c r="E93" s="2857">
        <v>0.2</v>
      </c>
      <c r="F93" s="2857">
        <v>25</v>
      </c>
    </row>
    <row r="94" spans="1:6" ht="14">
      <c r="A94" s="2857">
        <v>20</v>
      </c>
      <c r="B94" s="3489"/>
      <c r="C94" s="2831" t="s">
        <v>2691</v>
      </c>
      <c r="D94" s="2831" t="s">
        <v>2692</v>
      </c>
      <c r="E94" s="2857">
        <v>0.15</v>
      </c>
      <c r="F94" s="2857">
        <v>20</v>
      </c>
    </row>
    <row r="95" spans="1:6" ht="26">
      <c r="A95" s="2857">
        <v>21</v>
      </c>
      <c r="B95" s="3489"/>
      <c r="C95" s="2831" t="s">
        <v>2693</v>
      </c>
      <c r="D95" s="2831" t="s">
        <v>2694</v>
      </c>
      <c r="E95" s="2857">
        <v>0.15</v>
      </c>
      <c r="F95" s="2857">
        <v>20</v>
      </c>
    </row>
    <row r="96" spans="1:6" ht="26">
      <c r="A96" s="2857">
        <v>22</v>
      </c>
      <c r="B96" s="3489"/>
      <c r="C96" s="2831" t="s">
        <v>2695</v>
      </c>
      <c r="D96" s="2831" t="s">
        <v>2696</v>
      </c>
      <c r="E96" s="2857">
        <v>0.15</v>
      </c>
      <c r="F96" s="2857">
        <v>20</v>
      </c>
    </row>
    <row r="97" spans="1:6" ht="39">
      <c r="A97" s="2857">
        <v>23</v>
      </c>
      <c r="B97" s="3489"/>
      <c r="C97" s="2831" t="s">
        <v>2697</v>
      </c>
      <c r="D97" s="2831" t="s">
        <v>2698</v>
      </c>
      <c r="E97" s="2857">
        <v>0.15</v>
      </c>
      <c r="F97" s="2857">
        <v>20</v>
      </c>
    </row>
    <row r="98" spans="1:6" ht="14">
      <c r="A98" s="2857">
        <v>24</v>
      </c>
      <c r="B98" s="3489"/>
      <c r="C98" s="2831" t="s">
        <v>2699</v>
      </c>
      <c r="D98" s="2831" t="s">
        <v>2700</v>
      </c>
      <c r="E98" s="2857">
        <v>0.1</v>
      </c>
      <c r="F98" s="2857">
        <v>15</v>
      </c>
    </row>
    <row r="99" spans="1:6" ht="26">
      <c r="A99" s="2857">
        <v>25</v>
      </c>
      <c r="B99" s="3489"/>
      <c r="C99" s="2831" t="s">
        <v>2701</v>
      </c>
      <c r="D99" s="2831" t="s">
        <v>2702</v>
      </c>
      <c r="E99" s="2857">
        <v>0.1</v>
      </c>
      <c r="F99" s="2857">
        <v>15</v>
      </c>
    </row>
    <row r="100" spans="1:6" ht="26">
      <c r="A100" s="2857">
        <v>26</v>
      </c>
      <c r="B100" s="3489"/>
      <c r="C100" s="2831" t="s">
        <v>2703</v>
      </c>
      <c r="D100" s="2831" t="s">
        <v>2704</v>
      </c>
      <c r="E100" s="2857">
        <v>0.1</v>
      </c>
      <c r="F100" s="2857">
        <v>15</v>
      </c>
    </row>
    <row r="101" spans="1:6" ht="26">
      <c r="A101" s="2857">
        <v>27</v>
      </c>
      <c r="B101" s="3489"/>
      <c r="C101" s="2831" t="s">
        <v>2705</v>
      </c>
      <c r="D101" s="2831" t="s">
        <v>2706</v>
      </c>
      <c r="E101" s="2857">
        <v>0.1</v>
      </c>
      <c r="F101" s="2857">
        <v>15</v>
      </c>
    </row>
    <row r="102" spans="1:6" ht="26">
      <c r="A102" s="2857">
        <v>28</v>
      </c>
      <c r="B102" s="3489"/>
      <c r="C102" s="2831" t="s">
        <v>2707</v>
      </c>
      <c r="D102" s="2831" t="s">
        <v>2708</v>
      </c>
      <c r="E102" s="2857">
        <v>0.1</v>
      </c>
      <c r="F102" s="2857">
        <v>15</v>
      </c>
    </row>
    <row r="103" spans="1:6" ht="26">
      <c r="A103" s="2857">
        <v>29</v>
      </c>
      <c r="B103" s="3489"/>
      <c r="C103" s="2831" t="s">
        <v>2709</v>
      </c>
      <c r="D103" s="2831" t="s">
        <v>2710</v>
      </c>
      <c r="E103" s="2857">
        <v>0.1</v>
      </c>
      <c r="F103" s="2857">
        <v>15</v>
      </c>
    </row>
    <row r="104" spans="1:6" ht="26">
      <c r="A104" s="2857">
        <v>30</v>
      </c>
      <c r="B104" s="3489"/>
      <c r="C104" s="2831" t="s">
        <v>2711</v>
      </c>
      <c r="D104" s="2831" t="s">
        <v>2712</v>
      </c>
      <c r="E104" s="2857">
        <v>0.1</v>
      </c>
      <c r="F104" s="2857">
        <v>15</v>
      </c>
    </row>
    <row r="105" spans="1:6" ht="26">
      <c r="A105" s="2857">
        <v>31</v>
      </c>
      <c r="B105" s="3489"/>
      <c r="C105" s="2831" t="s">
        <v>2713</v>
      </c>
      <c r="D105" s="2831" t="s">
        <v>2714</v>
      </c>
      <c r="E105" s="2857">
        <v>0.1</v>
      </c>
      <c r="F105" s="2857">
        <v>15</v>
      </c>
    </row>
    <row r="106" spans="1:6" ht="26">
      <c r="A106" s="2857">
        <v>32</v>
      </c>
      <c r="B106" s="3489"/>
      <c r="C106" s="2831" t="s">
        <v>2715</v>
      </c>
      <c r="D106" s="2831" t="s">
        <v>2716</v>
      </c>
      <c r="E106" s="2857">
        <v>0.1</v>
      </c>
      <c r="F106" s="2857">
        <v>15</v>
      </c>
    </row>
    <row r="107" spans="1:6" ht="26">
      <c r="A107" s="2857">
        <v>33</v>
      </c>
      <c r="B107" s="3489"/>
      <c r="C107" s="2831" t="s">
        <v>2717</v>
      </c>
      <c r="D107" s="2831" t="s">
        <v>2718</v>
      </c>
      <c r="E107" s="2857">
        <v>0.1</v>
      </c>
      <c r="F107" s="2857">
        <v>15</v>
      </c>
    </row>
    <row r="108" spans="1:6" ht="26">
      <c r="A108" s="2857">
        <v>34</v>
      </c>
      <c r="B108" s="3488"/>
      <c r="C108" s="2831" t="s">
        <v>2719</v>
      </c>
      <c r="D108" s="2831" t="s">
        <v>2720</v>
      </c>
      <c r="E108" s="2857">
        <v>0.1</v>
      </c>
      <c r="F108" s="2857">
        <v>15</v>
      </c>
    </row>
    <row r="109" spans="1:6" ht="26">
      <c r="A109" s="2857">
        <v>35</v>
      </c>
      <c r="B109" s="3487" t="s">
        <v>2721</v>
      </c>
      <c r="C109" s="2857" t="s">
        <v>2722</v>
      </c>
      <c r="D109" s="2831" t="s">
        <v>2723</v>
      </c>
      <c r="E109" s="2857">
        <v>0.15</v>
      </c>
      <c r="F109" s="2857">
        <v>20</v>
      </c>
    </row>
    <row r="110" spans="1:6" ht="26">
      <c r="A110" s="2857">
        <v>36</v>
      </c>
      <c r="B110" s="3489"/>
      <c r="C110" s="2857" t="s">
        <v>2724</v>
      </c>
      <c r="D110" s="2831" t="s">
        <v>2725</v>
      </c>
      <c r="E110" s="2857">
        <v>0.15</v>
      </c>
      <c r="F110" s="2857">
        <v>20</v>
      </c>
    </row>
    <row r="111" spans="1:6" ht="26">
      <c r="A111" s="2857">
        <v>37</v>
      </c>
      <c r="B111" s="3489"/>
      <c r="C111" s="2857" t="s">
        <v>2726</v>
      </c>
      <c r="D111" s="2831" t="s">
        <v>2727</v>
      </c>
      <c r="E111" s="2857">
        <v>0.15</v>
      </c>
      <c r="F111" s="2857">
        <v>20</v>
      </c>
    </row>
    <row r="112" spans="1:6" ht="14">
      <c r="A112" s="2857">
        <v>38</v>
      </c>
      <c r="B112" s="3489"/>
      <c r="C112" s="2857" t="s">
        <v>2728</v>
      </c>
      <c r="D112" s="2831" t="s">
        <v>2729</v>
      </c>
      <c r="E112" s="2857">
        <v>0.1</v>
      </c>
      <c r="F112" s="2857">
        <v>15</v>
      </c>
    </row>
    <row r="113" spans="1:6" ht="26">
      <c r="A113" s="2857">
        <v>39</v>
      </c>
      <c r="B113" s="3489"/>
      <c r="C113" s="2857" t="s">
        <v>2730</v>
      </c>
      <c r="D113" s="2831" t="s">
        <v>2731</v>
      </c>
      <c r="E113" s="2857">
        <v>0.1</v>
      </c>
      <c r="F113" s="2857">
        <v>15</v>
      </c>
    </row>
    <row r="114" spans="1:6" ht="26">
      <c r="A114" s="2857">
        <v>40</v>
      </c>
      <c r="B114" s="3488"/>
      <c r="C114" s="2857" t="s">
        <v>2732</v>
      </c>
      <c r="D114" s="2831" t="s">
        <v>2733</v>
      </c>
      <c r="E114" s="2857">
        <v>0.1</v>
      </c>
      <c r="F114" s="2857">
        <v>15</v>
      </c>
    </row>
    <row r="115" spans="1:6" ht="26">
      <c r="A115" s="2857">
        <v>41</v>
      </c>
      <c r="B115" s="3486" t="s">
        <v>2734</v>
      </c>
      <c r="C115" s="2857" t="s">
        <v>2735</v>
      </c>
      <c r="D115" s="2831" t="s">
        <v>2736</v>
      </c>
      <c r="E115" s="2857">
        <v>0.1</v>
      </c>
      <c r="F115" s="2857">
        <v>15</v>
      </c>
    </row>
    <row r="116" spans="1:6" ht="14">
      <c r="A116" s="2857">
        <v>42</v>
      </c>
      <c r="B116" s="3486"/>
      <c r="C116" s="2857" t="s">
        <v>2737</v>
      </c>
      <c r="D116" s="2831" t="s">
        <v>2738</v>
      </c>
      <c r="E116" s="2857">
        <v>0.1</v>
      </c>
      <c r="F116" s="2857">
        <v>15</v>
      </c>
    </row>
    <row r="117" spans="1:6" ht="26">
      <c r="A117" s="2857">
        <v>43</v>
      </c>
      <c r="B117" s="3486"/>
      <c r="C117" s="2857" t="s">
        <v>2739</v>
      </c>
      <c r="D117" s="2831" t="s">
        <v>2740</v>
      </c>
      <c r="E117" s="2857">
        <v>0.1</v>
      </c>
      <c r="F117" s="2857">
        <v>15</v>
      </c>
    </row>
    <row r="118" spans="1:6" ht="26">
      <c r="A118" s="2857">
        <v>44</v>
      </c>
      <c r="B118" s="3487" t="s">
        <v>2741</v>
      </c>
      <c r="C118" s="2857" t="s">
        <v>2742</v>
      </c>
      <c r="D118" s="2831" t="s">
        <v>2743</v>
      </c>
      <c r="E118" s="2857">
        <v>0.1</v>
      </c>
      <c r="F118" s="2857">
        <v>15</v>
      </c>
    </row>
    <row r="119" spans="1:6" ht="26">
      <c r="A119" s="2857">
        <v>45</v>
      </c>
      <c r="B119" s="3488"/>
      <c r="C119" s="2831" t="s">
        <v>2744</v>
      </c>
      <c r="D119" s="2831" t="s">
        <v>2745</v>
      </c>
      <c r="E119" s="2857">
        <v>0.1</v>
      </c>
      <c r="F119" s="2857">
        <v>15</v>
      </c>
    </row>
    <row r="120" spans="1:6" ht="26">
      <c r="A120" s="2857">
        <v>46</v>
      </c>
      <c r="B120" s="3487" t="s">
        <v>2746</v>
      </c>
      <c r="C120" s="2857" t="s">
        <v>2747</v>
      </c>
      <c r="D120" s="2831" t="s">
        <v>2748</v>
      </c>
      <c r="E120" s="2857">
        <v>0.1</v>
      </c>
      <c r="F120" s="2857">
        <v>15</v>
      </c>
    </row>
    <row r="121" spans="1:6" ht="26">
      <c r="A121" s="2857">
        <v>47</v>
      </c>
      <c r="B121" s="3488"/>
      <c r="C121" s="2857" t="s">
        <v>2749</v>
      </c>
      <c r="D121" s="2831" t="s">
        <v>2750</v>
      </c>
      <c r="E121" s="2857">
        <v>0.1</v>
      </c>
      <c r="F121" s="2857">
        <v>15</v>
      </c>
    </row>
    <row r="122" spans="1:6" ht="26">
      <c r="A122" s="2857">
        <v>48</v>
      </c>
      <c r="B122" s="3487" t="s">
        <v>2751</v>
      </c>
      <c r="C122" s="2857" t="s">
        <v>2752</v>
      </c>
      <c r="D122" s="2831" t="s">
        <v>2753</v>
      </c>
      <c r="E122" s="2857">
        <v>0.1</v>
      </c>
      <c r="F122" s="2857">
        <v>15</v>
      </c>
    </row>
    <row r="123" spans="1:6" ht="14">
      <c r="A123" s="2857">
        <v>49</v>
      </c>
      <c r="B123" s="3488"/>
      <c r="C123" s="2857" t="s">
        <v>2754</v>
      </c>
      <c r="D123" s="2831" t="s">
        <v>2755</v>
      </c>
      <c r="E123" s="2857">
        <v>0.1</v>
      </c>
      <c r="F123" s="2857">
        <v>15</v>
      </c>
    </row>
    <row r="124" spans="1:6" ht="26">
      <c r="A124" s="2857">
        <v>50</v>
      </c>
      <c r="B124" s="3486" t="s">
        <v>2756</v>
      </c>
      <c r="C124" s="2857" t="s">
        <v>2757</v>
      </c>
      <c r="D124" s="2831" t="s">
        <v>2758</v>
      </c>
      <c r="E124" s="2857">
        <v>0.1</v>
      </c>
      <c r="F124" s="2857">
        <v>15</v>
      </c>
    </row>
    <row r="125" spans="1:6" ht="26">
      <c r="A125" s="2857">
        <v>51</v>
      </c>
      <c r="B125" s="3486"/>
      <c r="C125" s="2857" t="s">
        <v>2759</v>
      </c>
      <c r="D125" s="2831" t="s">
        <v>2760</v>
      </c>
      <c r="E125" s="2857">
        <v>0.1</v>
      </c>
      <c r="F125" s="2857">
        <v>15</v>
      </c>
    </row>
    <row r="126" spans="1:6" ht="26">
      <c r="A126" s="2857">
        <v>52</v>
      </c>
      <c r="B126" s="3486" t="s">
        <v>2761</v>
      </c>
      <c r="C126" s="2857" t="s">
        <v>2762</v>
      </c>
      <c r="D126" s="2831" t="s">
        <v>2763</v>
      </c>
      <c r="E126" s="2857">
        <v>0.1</v>
      </c>
      <c r="F126" s="2857">
        <v>15</v>
      </c>
    </row>
    <row r="127" spans="1:6" ht="26">
      <c r="A127" s="2857">
        <v>53</v>
      </c>
      <c r="B127" s="3486"/>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86" t="s">
        <v>2769</v>
      </c>
      <c r="C129" s="2857" t="s">
        <v>2770</v>
      </c>
      <c r="D129" s="2831" t="s">
        <v>2771</v>
      </c>
      <c r="E129" s="2857">
        <v>0.1</v>
      </c>
      <c r="F129" s="2857">
        <v>15</v>
      </c>
    </row>
    <row r="130" spans="1:6" ht="14">
      <c r="A130" s="2857">
        <v>56</v>
      </c>
      <c r="B130" s="3486"/>
      <c r="C130" s="2857" t="s">
        <v>2772</v>
      </c>
      <c r="D130" s="2831" t="s">
        <v>2773</v>
      </c>
      <c r="E130" s="2857">
        <v>0.1</v>
      </c>
      <c r="F130" s="2857">
        <v>15</v>
      </c>
    </row>
    <row r="131" spans="1:6" ht="26">
      <c r="A131" s="2857">
        <v>57</v>
      </c>
      <c r="B131" s="3486"/>
      <c r="C131" s="2857" t="s">
        <v>2774</v>
      </c>
      <c r="D131" s="2831" t="s">
        <v>2775</v>
      </c>
      <c r="E131" s="2857">
        <v>0.1</v>
      </c>
      <c r="F131" s="2857">
        <v>15</v>
      </c>
    </row>
    <row r="132" spans="1:6" ht="26">
      <c r="A132" s="2857">
        <v>58</v>
      </c>
      <c r="B132" s="3486" t="s">
        <v>2776</v>
      </c>
      <c r="C132" s="2857" t="s">
        <v>2777</v>
      </c>
      <c r="D132" s="2831" t="s">
        <v>2778</v>
      </c>
      <c r="E132" s="2857">
        <v>0.1</v>
      </c>
      <c r="F132" s="2857">
        <v>15</v>
      </c>
    </row>
    <row r="133" spans="1:6" ht="26">
      <c r="A133" s="2857">
        <v>59</v>
      </c>
      <c r="B133" s="3486"/>
      <c r="C133" s="2857" t="s">
        <v>2779</v>
      </c>
      <c r="D133" s="2831" t="s">
        <v>2780</v>
      </c>
      <c r="E133" s="2857">
        <v>0.1</v>
      </c>
      <c r="F133" s="2857">
        <v>15</v>
      </c>
    </row>
    <row r="134" spans="1:6" ht="26">
      <c r="A134" s="2857">
        <v>60</v>
      </c>
      <c r="B134" s="3487" t="s">
        <v>2781</v>
      </c>
      <c r="C134" s="2857" t="s">
        <v>2782</v>
      </c>
      <c r="D134" s="2831" t="s">
        <v>2783</v>
      </c>
      <c r="E134" s="2857">
        <v>0.1</v>
      </c>
      <c r="F134" s="2857">
        <v>15</v>
      </c>
    </row>
    <row r="135" spans="1:6" ht="26">
      <c r="A135" s="2857">
        <v>61</v>
      </c>
      <c r="B135" s="3488"/>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86" t="s">
        <v>2789</v>
      </c>
      <c r="C137" s="2857" t="s">
        <v>2790</v>
      </c>
      <c r="D137" s="2831" t="s">
        <v>2791</v>
      </c>
      <c r="E137" s="2857">
        <v>0.1</v>
      </c>
      <c r="F137" s="2857">
        <v>15</v>
      </c>
    </row>
    <row r="138" spans="1:6" ht="14">
      <c r="A138" s="2857">
        <v>64</v>
      </c>
      <c r="B138" s="3486"/>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1.0347999999999999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0.98009999999999997</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25709</v>
      </c>
      <c r="C2" s="2" t="s">
        <v>106</v>
      </c>
      <c r="D2" s="191"/>
      <c r="E2" s="191"/>
      <c r="F2" s="191"/>
      <c r="G2" s="191"/>
    </row>
    <row r="3" spans="1:7" s="192" customFormat="1" ht="18" customHeight="1" thickBot="1">
      <c r="A3" s="195" t="s">
        <v>58</v>
      </c>
      <c r="B3" s="196">
        <f ca="1">ROUND(B2*10000/'数据-汇总表'!E3,0)</f>
        <v>4340537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59.23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59.23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624</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2102</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2102</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25692</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59.23</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2.9999999999999997E-4</v>
      </c>
      <c r="D44" s="230"/>
      <c r="E44" s="230"/>
      <c r="F44" s="231"/>
      <c r="G44" s="3363"/>
    </row>
    <row r="45" spans="1:7" s="206" customFormat="1" ht="13.5" customHeight="1">
      <c r="A45" s="731" t="s">
        <v>341</v>
      </c>
      <c r="B45" s="236" t="s">
        <v>85</v>
      </c>
      <c r="C45" s="237">
        <f>C46</f>
        <v>2</v>
      </c>
      <c r="D45" s="227">
        <f>C47</f>
        <v>2E-3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25709</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0" t="s">
        <v>3181</v>
      </c>
      <c r="B1" s="3500"/>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1" t="s">
        <v>3232</v>
      </c>
      <c r="B1" s="3501"/>
      <c r="C1" s="3501"/>
      <c r="D1" s="3501"/>
      <c r="E1" s="3501"/>
      <c r="F1" s="3502"/>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7">
        <f>基准地价修正!G23</f>
        <v>45896</v>
      </c>
      <c r="B1" s="2929" t="s">
        <v>3377</v>
      </c>
      <c r="C1" s="2930"/>
      <c r="D1" s="2930"/>
      <c r="E1" s="2930"/>
      <c r="F1" s="2930"/>
      <c r="G1" s="2930"/>
      <c r="H1" s="2930"/>
      <c r="I1" s="2930"/>
      <c r="J1" s="2896"/>
      <c r="K1" s="2930" t="s">
        <v>454</v>
      </c>
      <c r="L1" s="2930"/>
      <c r="M1" s="2930"/>
      <c r="N1" s="2930"/>
      <c r="O1" s="2930"/>
      <c r="P1" s="2930"/>
      <c r="Q1" s="2896"/>
      <c r="R1" s="3503" t="s">
        <v>456</v>
      </c>
      <c r="S1" s="3504"/>
      <c r="T1" s="3504"/>
      <c r="U1" s="3504"/>
      <c r="V1" s="3504"/>
      <c r="W1" s="3504"/>
      <c r="X1" s="2896"/>
      <c r="Y1" s="3503" t="s">
        <v>457</v>
      </c>
      <c r="Z1" s="3504"/>
      <c r="AA1" s="3504"/>
      <c r="AB1" s="3504"/>
      <c r="AC1" s="3504"/>
      <c r="AD1" s="3504"/>
    </row>
    <row r="2" spans="1:44" s="2009" customFormat="1" ht="14.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6" customFormat="1" ht="13">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3403</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3">
      <c r="A6" s="2039" t="s">
        <v>3402</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
      <c r="A7" s="2907" t="s">
        <v>3401</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
      <c r="A8" s="2039" t="s">
        <v>3409</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3">
      <c r="A9" s="2039" t="s">
        <v>3408</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3">
      <c r="A10" s="2039" t="s">
        <v>3381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3">
      <c r="A11" s="2905" t="s">
        <v>3375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3">
      <c r="A12" s="2905" t="s">
        <v>3374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3">
      <c r="A13" s="2905" t="s">
        <v>3370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3">
      <c r="A14" s="2905" t="s">
        <v>3369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3">
      <c r="A15" s="2905" t="s">
        <v>3367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3">
      <c r="A16" s="2905" t="s">
        <v>3366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3">
      <c r="A17" s="2905" t="s">
        <v>3365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3">
      <c r="A18" s="2905" t="s">
        <v>3363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3">
      <c r="A19" s="2905" t="s">
        <v>3354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3">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3">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3">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3">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5" thickTop="1"/>
    <row r="26" spans="1:44">
      <c r="A26" s="3143" t="s">
        <v>3380</v>
      </c>
    </row>
    <row r="27" spans="1:44">
      <c r="I27" s="1405" t="s">
        <v>2825</v>
      </c>
    </row>
    <row r="29" spans="1:44" s="2008" customFormat="1" ht="13">
      <c r="B29" s="2929" t="s">
        <v>3378</v>
      </c>
      <c r="C29" s="2930"/>
      <c r="D29" s="2930"/>
      <c r="E29" s="2930"/>
      <c r="F29" s="2930"/>
      <c r="G29" s="2930"/>
      <c r="H29" s="2930"/>
      <c r="I29" s="2930"/>
      <c r="J29" s="2896"/>
      <c r="K29" s="2930" t="s">
        <v>2826</v>
      </c>
      <c r="L29" s="2930"/>
      <c r="M29" s="2930"/>
      <c r="N29" s="2930"/>
      <c r="O29" s="2930"/>
      <c r="P29" s="2930"/>
      <c r="Q29" s="2896"/>
      <c r="R29" s="3503" t="s">
        <v>2827</v>
      </c>
      <c r="S29" s="3504"/>
      <c r="T29" s="3504"/>
      <c r="U29" s="3504"/>
      <c r="V29" s="3504"/>
      <c r="W29" s="3504"/>
      <c r="X29" s="2896"/>
      <c r="Y29" s="3503" t="s">
        <v>2828</v>
      </c>
      <c r="Z29" s="3504"/>
      <c r="AA29" s="3504"/>
      <c r="AB29" s="3504"/>
      <c r="AC29" s="3504"/>
      <c r="AD29" s="3504"/>
    </row>
    <row r="30" spans="1:44" s="2009" customFormat="1" ht="14.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6" customFormat="1" ht="13">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3">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3403</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3">
      <c r="A34" s="2039" t="s">
        <v>3402</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3">
      <c r="A35" s="2907" t="s">
        <v>3410</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
      <c r="A36" s="2039" t="s">
        <v>3407</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3">
      <c r="A37" s="2039" t="s">
        <v>3408</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3">
      <c r="A38" s="2039" t="s">
        <v>3372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3">
      <c r="A39" s="2905" t="s">
        <v>3376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3">
      <c r="A40" s="2905" t="s">
        <v>3373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3">
      <c r="A41" s="2905" t="s">
        <v>3371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3">
      <c r="A42" s="2905" t="s">
        <v>3369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3">
      <c r="A43" s="2905" t="s">
        <v>3368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3">
      <c r="A44" s="2905" t="s">
        <v>3366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3">
      <c r="A45" s="2905" t="s">
        <v>3365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3">
      <c r="A46" s="2905" t="s">
        <v>3364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3">
      <c r="A47" s="2905" t="s">
        <v>3354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3">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3">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3">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3">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5" thickTop="1"/>
    <row r="54" spans="1:44">
      <c r="A54" s="3143" t="s">
        <v>3379</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50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0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0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6">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0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6">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0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6" t="s">
        <v>2839</v>
      </c>
      <c r="B1" s="3516"/>
      <c r="C1" s="3516"/>
      <c r="D1" s="3516"/>
      <c r="E1" s="3516"/>
      <c r="F1" s="3516"/>
      <c r="G1" s="351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45896</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6">
      <c r="A3" s="3193"/>
      <c r="B3" s="3193"/>
      <c r="C3" s="3193"/>
      <c r="D3" s="801" t="s">
        <v>925</v>
      </c>
      <c r="E3" s="801" t="s">
        <v>931</v>
      </c>
      <c r="F3" s="801" t="s">
        <v>925</v>
      </c>
      <c r="G3" s="801" t="s">
        <v>926</v>
      </c>
      <c r="H3" s="801" t="s">
        <v>925</v>
      </c>
      <c r="I3" s="801" t="s">
        <v>926</v>
      </c>
    </row>
    <row r="4" spans="1:9" ht="15.5">
      <c r="A4" s="1403" t="str">
        <f>项目基本情况!S2</f>
        <v>北京市房地产</v>
      </c>
      <c r="B4" s="801">
        <f>项目基本情况!C17</f>
        <v>59.23</v>
      </c>
      <c r="C4" s="801">
        <f>项目基本情况!C18</f>
        <v>20.48</v>
      </c>
      <c r="D4" s="801">
        <f>结果表!D118</f>
        <v>0</v>
      </c>
      <c r="E4" s="801">
        <f>结果表!E118</f>
        <v>0</v>
      </c>
      <c r="F4" s="801">
        <f>结果表!F118</f>
        <v>0</v>
      </c>
      <c r="G4" s="801">
        <f>结果表!G118</f>
        <v>0</v>
      </c>
      <c r="H4" s="801">
        <f ca="1">结果表!H118</f>
        <v>937</v>
      </c>
      <c r="I4" s="801">
        <f ca="1">结果表!I118</f>
        <v>158159</v>
      </c>
    </row>
    <row r="5" spans="1:9" ht="30" customHeight="1">
      <c r="A5" s="3193" t="s">
        <v>927</v>
      </c>
      <c r="B5" s="3193"/>
      <c r="C5" s="3193"/>
      <c r="D5" s="3193" t="str">
        <f>结果表!D119</f>
        <v>零元整</v>
      </c>
      <c r="E5" s="3193"/>
      <c r="F5" s="3193" t="str">
        <f>结果表!F119</f>
        <v>零元整</v>
      </c>
      <c r="G5" s="3193"/>
      <c r="H5" s="3193" t="str">
        <f ca="1">结果表!H119</f>
        <v>玖佰叁拾柒万元整</v>
      </c>
      <c r="I5" s="3193"/>
    </row>
    <row r="6" spans="1:9" ht="15.5">
      <c r="A6" s="3192" t="str">
        <f>结果表!A120</f>
        <v>估价师知悉的法定优先受偿款</v>
      </c>
      <c r="B6" s="3192"/>
      <c r="C6" s="3192"/>
      <c r="D6" s="3192">
        <f>结果表!D120</f>
        <v>0</v>
      </c>
      <c r="E6" s="3192"/>
      <c r="F6" s="3192"/>
      <c r="G6" s="3192"/>
      <c r="H6" s="3192"/>
      <c r="I6" s="3192"/>
    </row>
    <row r="7" spans="1:9" ht="15.5">
      <c r="A7" s="3193" t="s">
        <v>927</v>
      </c>
      <c r="B7" s="3193"/>
      <c r="C7" s="3193"/>
      <c r="D7" s="3194" t="str">
        <f>结果表!D121</f>
        <v>零元整</v>
      </c>
      <c r="E7" s="3195"/>
      <c r="F7" s="3195"/>
      <c r="G7" s="3195"/>
      <c r="H7" s="3195"/>
      <c r="I7" s="3196"/>
    </row>
    <row r="8" spans="1:9" ht="15.5">
      <c r="A8" s="3192" t="str">
        <f>结果表!A122</f>
        <v>房地产抵押价值</v>
      </c>
      <c r="B8" s="3192"/>
      <c r="C8" s="3192"/>
      <c r="D8" s="3192">
        <f ca="1">结果表!D122</f>
        <v>937</v>
      </c>
      <c r="E8" s="3192"/>
      <c r="F8" s="3192"/>
      <c r="G8" s="3192"/>
      <c r="H8" s="3192"/>
      <c r="I8" s="3192"/>
    </row>
    <row r="9" spans="1:9" ht="15.5">
      <c r="A9" s="3193" t="s">
        <v>927</v>
      </c>
      <c r="B9" s="3193"/>
      <c r="C9" s="3193"/>
      <c r="D9" s="3193" t="str">
        <f ca="1">结果表!D123</f>
        <v>玖佰叁拾柒万元整</v>
      </c>
      <c r="E9" s="3193"/>
      <c r="F9" s="3193"/>
      <c r="G9" s="3193"/>
      <c r="H9" s="3193"/>
      <c r="I9" s="3193"/>
    </row>
    <row r="10" spans="1:9" ht="15.5">
      <c r="A10" s="3192" t="str">
        <f>结果表!A124</f>
        <v/>
      </c>
      <c r="B10" s="3192"/>
      <c r="C10" s="3192"/>
      <c r="D10" s="3192" t="str">
        <f>结果表!D124</f>
        <v>——</v>
      </c>
      <c r="E10" s="3192"/>
      <c r="F10" s="3192"/>
      <c r="G10" s="3192"/>
      <c r="H10" s="3192"/>
      <c r="I10" s="3192"/>
    </row>
    <row r="11" spans="1:9" ht="15.5">
      <c r="A11" s="3193" t="s">
        <v>927</v>
      </c>
      <c r="B11" s="3193"/>
      <c r="C11" s="3193"/>
      <c r="D11" s="3193" t="e">
        <f>结果表!D125</f>
        <v>#VALUE!</v>
      </c>
      <c r="E11" s="3193"/>
      <c r="F11" s="3193"/>
      <c r="G11" s="3193"/>
      <c r="H11" s="3193"/>
      <c r="I11" s="3193"/>
    </row>
    <row r="12" spans="1:9" ht="15.5">
      <c r="A12" s="3192" t="str">
        <f>结果表!A126</f>
        <v/>
      </c>
      <c r="B12" s="3192"/>
      <c r="C12" s="3192"/>
      <c r="D12" s="3192" t="str">
        <f>结果表!D126</f>
        <v>——</v>
      </c>
      <c r="E12" s="3192"/>
      <c r="F12" s="3192"/>
      <c r="G12" s="3192"/>
      <c r="H12" s="3192"/>
      <c r="I12" s="3192"/>
    </row>
    <row r="13" spans="1:9" ht="16" thickBot="1">
      <c r="A13" s="3190" t="s">
        <v>927</v>
      </c>
      <c r="B13" s="3190"/>
      <c r="C13" s="3190"/>
      <c r="D13" s="3190" t="e">
        <f>结果表!D127</f>
        <v>#VALUE!</v>
      </c>
      <c r="E13" s="3190"/>
      <c r="F13" s="3190"/>
      <c r="G13" s="3190"/>
      <c r="H13" s="3190"/>
      <c r="I13" s="3190"/>
    </row>
    <row r="14" spans="1:9" ht="14.5" thickTop="1">
      <c r="A14" s="3191" t="s">
        <v>932</v>
      </c>
      <c r="B14" s="3191"/>
      <c r="C14" s="3191"/>
      <c r="D14" s="3191"/>
      <c r="E14" s="3191"/>
      <c r="F14" s="3191"/>
      <c r="G14" s="3191"/>
      <c r="H14" s="3191"/>
      <c r="I14" s="3191"/>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5" t="s">
        <v>949</v>
      </c>
      <c r="B1" s="3205"/>
      <c r="C1" s="3205"/>
      <c r="D1" s="3205"/>
    </row>
    <row r="2" spans="1:4" ht="18">
      <c r="A2" s="3206" t="s">
        <v>933</v>
      </c>
      <c r="B2" s="3206"/>
      <c r="C2" s="3206"/>
      <c r="D2" s="3206"/>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7" t="s">
        <v>942</v>
      </c>
      <c r="B11" s="3199"/>
      <c r="C11" s="3199"/>
      <c r="D11" s="3199"/>
    </row>
    <row r="12" spans="1:4" ht="15.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45897</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售价</vt:lpstr>
      <vt:lpstr>租金</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2025-08-28T05:28:59Z</dcterms:modified>
</cp:coreProperties>
</file>