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泉州商业\"/>
    </mc:Choice>
  </mc:AlternateContent>
  <xr:revisionPtr revIDLastSave="0" documentId="13_ncr:1_{3539CCAF-A326-45E7-ACFE-D28828BAC2D7}" xr6:coauthVersionLast="47" xr6:coauthVersionMax="47" xr10:uidLastSave="{00000000-0000-0000-0000-000000000000}"/>
  <bookViews>
    <workbookView xWindow="-120" yWindow="-120" windowWidth="19440" windowHeight="1500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住宅、综合" sheetId="39" r:id="rId21"/>
    <sheet name="土地案例" sheetId="82"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r:id="rId35"/>
    <sheet name="案例" sheetId="81"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7" i="74" l="1"/>
  <c r="C16" i="74"/>
  <c r="C15" i="74"/>
  <c r="C14" i="74"/>
  <c r="B15" i="74"/>
  <c r="B16" i="74"/>
  <c r="B17" i="74"/>
  <c r="B14" i="74"/>
  <c r="F7" i="80"/>
  <c r="E46" i="39" l="1"/>
  <c r="I7" i="39"/>
  <c r="G7" i="39"/>
  <c r="E7" i="39"/>
  <c r="I46" i="39"/>
  <c r="G46" i="39"/>
  <c r="T23" i="80"/>
  <c r="T19" i="80"/>
  <c r="T14" i="80"/>
  <c r="T9" i="80"/>
  <c r="T4" i="80"/>
  <c r="U3" i="82"/>
  <c r="U2" i="82"/>
  <c r="L7" i="1"/>
  <c r="L8" i="1" s="1"/>
  <c r="L9" i="1" s="1"/>
  <c r="R23" i="80"/>
  <c r="W23" i="1"/>
  <c r="W22" i="1"/>
  <c r="U6" i="1" s="1"/>
  <c r="B25" i="31"/>
  <c r="B26" i="31"/>
  <c r="B27" i="31"/>
  <c r="B24" i="31"/>
  <c r="A25" i="31"/>
  <c r="A26" i="31"/>
  <c r="A27" i="31"/>
  <c r="A24" i="31"/>
  <c r="Y6" i="1"/>
  <c r="N8" i="1"/>
  <c r="N9" i="1" s="1"/>
  <c r="N10" i="1" s="1"/>
  <c r="N11" i="1" s="1"/>
  <c r="N12" i="1" s="1"/>
  <c r="N13" i="1" s="1"/>
  <c r="N7" i="1"/>
  <c r="Q7" i="1"/>
  <c r="Q8" i="1" s="1"/>
  <c r="Q9" i="1" s="1"/>
  <c r="N6" i="1"/>
  <c r="H8" i="1"/>
  <c r="I8" i="1"/>
  <c r="J8" i="1"/>
  <c r="J9" i="1" s="1"/>
  <c r="H9" i="1"/>
  <c r="I9" i="1"/>
  <c r="I7" i="1"/>
  <c r="J7" i="1"/>
  <c r="H7" i="1"/>
  <c r="F22" i="6"/>
  <c r="F21" i="6"/>
  <c r="F20" i="6"/>
  <c r="F19" i="6"/>
  <c r="C22" i="6"/>
  <c r="C21" i="6"/>
  <c r="C20" i="6"/>
  <c r="C19" i="6"/>
  <c r="D13" i="4"/>
  <c r="I14" i="3"/>
  <c r="I15" i="3"/>
  <c r="I16" i="3"/>
  <c r="I13" i="3"/>
  <c r="A3" i="3"/>
  <c r="C14" i="3"/>
  <c r="C15" i="3"/>
  <c r="C16" i="3"/>
  <c r="C13" i="3"/>
  <c r="I4" i="80"/>
  <c r="I5" i="80"/>
  <c r="I6" i="80"/>
  <c r="I3" i="80"/>
  <c r="E7"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K9" i="1" s="1"/>
  <c r="M9" i="1" s="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R47" i="31"/>
  <c r="S47" i="31" s="1"/>
  <c r="R48" i="31"/>
  <c r="S48" i="31" s="1"/>
  <c r="R49" i="31"/>
  <c r="S49" i="31" s="1"/>
  <c r="R50" i="31"/>
  <c r="S50" i="31" s="1"/>
  <c r="R51" i="31"/>
  <c r="S51" i="31" s="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S65" i="31" s="1"/>
  <c r="R66" i="3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R106" i="31"/>
  <c r="R107" i="31"/>
  <c r="S107" i="31" s="1"/>
  <c r="R108" i="31"/>
  <c r="S108" i="31" s="1"/>
  <c r="R109" i="3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R135" i="31"/>
  <c r="S135" i="31" s="1"/>
  <c r="R136" i="31"/>
  <c r="S136" i="31" s="1"/>
  <c r="R137" i="3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R150" i="3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R167" i="31"/>
  <c r="S167" i="31" s="1"/>
  <c r="R168" i="31"/>
  <c r="S168" i="31" s="1"/>
  <c r="R169" i="3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R182" i="3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R215" i="31"/>
  <c r="S215" i="31" s="1"/>
  <c r="R216" i="31"/>
  <c r="S216" i="31" s="1"/>
  <c r="R217" i="31"/>
  <c r="R218" i="31"/>
  <c r="S218" i="31" s="1"/>
  <c r="R219" i="31"/>
  <c r="S219" i="31" s="1"/>
  <c r="R220" i="31"/>
  <c r="S220" i="31" s="1"/>
  <c r="R221" i="31"/>
  <c r="S221" i="31" s="1"/>
  <c r="R222" i="31"/>
  <c r="R223" i="31"/>
  <c r="S223" i="31" s="1"/>
  <c r="R224" i="31"/>
  <c r="S224" i="31" s="1"/>
  <c r="R225" i="3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R238" i="31"/>
  <c r="R239" i="31"/>
  <c r="S239" i="31" s="1"/>
  <c r="R240" i="31"/>
  <c r="S240" i="31" s="1"/>
  <c r="R241" i="3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R259" i="31"/>
  <c r="S259" i="31" s="1"/>
  <c r="R260" i="31"/>
  <c r="R261" i="31"/>
  <c r="S261" i="31" s="1"/>
  <c r="R262" i="31"/>
  <c r="S262" i="31" s="1"/>
  <c r="R263" i="31"/>
  <c r="S263" i="31" s="1"/>
  <c r="R264" i="31"/>
  <c r="S264" i="31" s="1"/>
  <c r="R265" i="31"/>
  <c r="S265" i="31" s="1"/>
  <c r="R266" i="3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R433" i="31"/>
  <c r="S433" i="31" s="1"/>
  <c r="R434" i="31"/>
  <c r="S434" i="31" s="1"/>
  <c r="R435" i="31"/>
  <c r="S435" i="31" s="1"/>
  <c r="R436" i="31"/>
  <c r="R437" i="31"/>
  <c r="S437" i="31" s="1"/>
  <c r="R438" i="31"/>
  <c r="R439" i="31"/>
  <c r="S439" i="31" s="1"/>
  <c r="R440" i="31"/>
  <c r="R441" i="31"/>
  <c r="S441" i="31" s="1"/>
  <c r="R442" i="31"/>
  <c r="S442" i="31" s="1"/>
  <c r="R443" i="31"/>
  <c r="S443" i="31" s="1"/>
  <c r="R444" i="31"/>
  <c r="R445" i="31"/>
  <c r="S445" i="31" s="1"/>
  <c r="R446" i="31"/>
  <c r="R447" i="31"/>
  <c r="S447" i="31" s="1"/>
  <c r="R448" i="31"/>
  <c r="R449" i="3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R470" i="31"/>
  <c r="S470" i="31" s="1"/>
  <c r="R471" i="31"/>
  <c r="S471" i="31" s="1"/>
  <c r="R472" i="31"/>
  <c r="R473" i="31"/>
  <c r="S473" i="31" s="1"/>
  <c r="R474" i="31"/>
  <c r="S474" i="31" s="1"/>
  <c r="R475" i="31"/>
  <c r="S475" i="31" s="1"/>
  <c r="R476" i="31"/>
  <c r="R477" i="31"/>
  <c r="R478" i="31"/>
  <c r="S478" i="31" s="1"/>
  <c r="R479" i="31"/>
  <c r="S479" i="31" s="1"/>
  <c r="R480" i="31"/>
  <c r="R481" i="31"/>
  <c r="S481" i="31" s="1"/>
  <c r="R482" i="31"/>
  <c r="S482" i="31" s="1"/>
  <c r="R483" i="31"/>
  <c r="S483" i="31" s="1"/>
  <c r="R484" i="31"/>
  <c r="R485" i="31"/>
  <c r="R486" i="31"/>
  <c r="S486" i="31" s="1"/>
  <c r="R487" i="31"/>
  <c r="S487" i="31" s="1"/>
  <c r="R488" i="31"/>
  <c r="R489" i="31"/>
  <c r="S489" i="31" s="1"/>
  <c r="R490" i="31"/>
  <c r="S490" i="31" s="1"/>
  <c r="R491" i="31"/>
  <c r="S491" i="31" s="1"/>
  <c r="R492" i="31"/>
  <c r="R493" i="31"/>
  <c r="R494" i="31"/>
  <c r="S494" i="31" s="1"/>
  <c r="R495" i="31"/>
  <c r="S495" i="31" s="1"/>
  <c r="R496" i="31"/>
  <c r="R497" i="31"/>
  <c r="S497" i="31" s="1"/>
  <c r="R498" i="31"/>
  <c r="S498" i="31" s="1"/>
  <c r="R499" i="31"/>
  <c r="S499" i="31" s="1"/>
  <c r="R500" i="31"/>
  <c r="R501" i="31"/>
  <c r="R502" i="31"/>
  <c r="S502" i="31" s="1"/>
  <c r="R503" i="31"/>
  <c r="S503" i="31" s="1"/>
  <c r="R504" i="31"/>
  <c r="R505" i="31"/>
  <c r="S505" i="31" s="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5" i="3" s="1"/>
  <c r="BT17" i="3"/>
  <c r="BM14" i="3"/>
  <c r="BM15" i="3"/>
  <c r="BM16" i="3"/>
  <c r="BM17" i="3"/>
  <c r="BO13" i="3"/>
  <c r="BO14" i="3"/>
  <c r="BO15" i="3"/>
  <c r="BO5" i="3" s="1"/>
  <c r="BO16" i="3"/>
  <c r="BO17" i="3"/>
  <c r="BN13" i="3"/>
  <c r="BN14" i="3"/>
  <c r="BN5" i="3" s="1"/>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E5" i="3" s="1"/>
  <c r="BF14" i="3"/>
  <c r="BG14" i="3"/>
  <c r="BH14" i="3"/>
  <c r="BI14" i="3"/>
  <c r="BJ14" i="3"/>
  <c r="BK14" i="3"/>
  <c r="BB15" i="3"/>
  <c r="BC15" i="3"/>
  <c r="BC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6" i="31"/>
  <c r="S352" i="31"/>
  <c r="S348" i="31"/>
  <c r="S346" i="31"/>
  <c r="S344" i="31"/>
  <c r="S340" i="31"/>
  <c r="S338" i="31"/>
  <c r="S336" i="31"/>
  <c r="S332" i="31"/>
  <c r="S328" i="31"/>
  <c r="S324" i="31"/>
  <c r="S424" i="31"/>
  <c r="S320" i="31"/>
  <c r="S318" i="31"/>
  <c r="S316" i="31"/>
  <c r="S312" i="31"/>
  <c r="S310" i="31"/>
  <c r="S308" i="31"/>
  <c r="S304" i="31"/>
  <c r="S300" i="31"/>
  <c r="S296" i="31"/>
  <c r="S292" i="31"/>
  <c r="S288" i="31"/>
  <c r="S286" i="31"/>
  <c r="S284" i="31"/>
  <c r="S278" i="31"/>
  <c r="S276" i="31"/>
  <c r="S268" i="31"/>
  <c r="S266" i="31"/>
  <c r="S260" i="31"/>
  <c r="S258" i="31"/>
  <c r="S254" i="31"/>
  <c r="S253" i="31"/>
  <c r="S246" i="31"/>
  <c r="S241" i="31"/>
  <c r="S238" i="31"/>
  <c r="S237" i="31"/>
  <c r="S230" i="31"/>
  <c r="S225" i="31"/>
  <c r="S428" i="31"/>
  <c r="S222" i="31"/>
  <c r="S217" i="31"/>
  <c r="S214" i="31"/>
  <c r="S213" i="31"/>
  <c r="S206" i="31"/>
  <c r="S201" i="31"/>
  <c r="S198" i="31"/>
  <c r="S197" i="31"/>
  <c r="S190" i="31"/>
  <c r="S185" i="31"/>
  <c r="S182" i="31"/>
  <c r="S181" i="31"/>
  <c r="S174" i="31"/>
  <c r="S169" i="31"/>
  <c r="S166" i="31"/>
  <c r="S165" i="31"/>
  <c r="S158" i="31"/>
  <c r="S153" i="31"/>
  <c r="S150" i="31"/>
  <c r="S149" i="31"/>
  <c r="S142" i="31"/>
  <c r="S137" i="31"/>
  <c r="S134" i="31"/>
  <c r="S133" i="31"/>
  <c r="S126" i="31"/>
  <c r="S496" i="31"/>
  <c r="S493" i="31"/>
  <c r="S492" i="31"/>
  <c r="S488" i="31"/>
  <c r="S485" i="31"/>
  <c r="S484" i="31"/>
  <c r="S480" i="31"/>
  <c r="S477" i="31"/>
  <c r="S476" i="31"/>
  <c r="S472" i="31"/>
  <c r="S469" i="31"/>
  <c r="S468" i="31"/>
  <c r="S444" i="31"/>
  <c r="S440" i="31"/>
  <c r="S438" i="31"/>
  <c r="S436" i="31"/>
  <c r="S432" i="31"/>
  <c r="S430" i="31"/>
  <c r="S121" i="31"/>
  <c r="S118" i="31"/>
  <c r="S117" i="31"/>
  <c r="S506" i="31"/>
  <c r="S504" i="31"/>
  <c r="S500" i="31"/>
  <c r="S464" i="31"/>
  <c r="S460" i="31"/>
  <c r="S456" i="31"/>
  <c r="S452" i="31"/>
  <c r="S54" i="31"/>
  <c r="S53" i="31"/>
  <c r="S46" i="31"/>
  <c r="S41" i="31"/>
  <c r="S38" i="31"/>
  <c r="S37" i="31"/>
  <c r="S77" i="31"/>
  <c r="S74" i="31"/>
  <c r="S73" i="31"/>
  <c r="S66" i="31"/>
  <c r="S61" i="31"/>
  <c r="S57" i="31"/>
  <c r="S94" i="31"/>
  <c r="S89" i="31"/>
  <c r="S85" i="31"/>
  <c r="S82" i="31"/>
  <c r="S81" i="31"/>
  <c r="S98" i="31"/>
  <c r="S105" i="31"/>
  <c r="S106" i="31"/>
  <c r="S109" i="31"/>
  <c r="S446" i="31"/>
  <c r="S448" i="31"/>
  <c r="S449" i="31"/>
  <c r="S508"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S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6"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U31" i="35"/>
  <c r="W22" i="35"/>
  <c r="U34" i="35"/>
  <c r="F36" i="34"/>
  <c r="J35" i="34"/>
  <c r="U34" i="34"/>
  <c r="H39" i="33"/>
  <c r="AB39"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AB11" i="39" s="1"/>
  <c r="S40" i="39"/>
  <c r="H32" i="33"/>
  <c r="AB32" i="33" s="1"/>
  <c r="H11" i="21"/>
  <c r="U11" i="21" s="1"/>
  <c r="J11" i="21"/>
  <c r="W11" i="21" s="1"/>
  <c r="H37" i="40"/>
  <c r="U37" i="40" s="1"/>
  <c r="H36" i="40"/>
  <c r="AB36" i="40" s="1"/>
  <c r="F35" i="40"/>
  <c r="AA35" i="40"/>
  <c r="H23" i="40"/>
  <c r="AB23" i="40" s="1"/>
  <c r="H17" i="40"/>
  <c r="U17" i="40" s="1"/>
  <c r="J15" i="40"/>
  <c r="W15" i="40" s="1"/>
  <c r="J11" i="40"/>
  <c r="AC12" i="34"/>
  <c r="AB12" i="35"/>
  <c r="AB12" i="36"/>
  <c r="W32" i="40"/>
  <c r="S44" i="39"/>
  <c r="F37" i="39"/>
  <c r="AA37" i="39" s="1"/>
  <c r="J34" i="36"/>
  <c r="W34" i="36" s="1"/>
  <c r="U30" i="36"/>
  <c r="J30" i="35"/>
  <c r="W30" i="35" s="1"/>
  <c r="H30" i="35"/>
  <c r="AB30" i="35" s="1"/>
  <c r="F22" i="35"/>
  <c r="AA22" i="35" s="1"/>
  <c r="H10" i="35"/>
  <c r="U10" i="35" s="1"/>
  <c r="W30" i="36"/>
  <c r="H16" i="36"/>
  <c r="AB16" i="36"/>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M123" i="21"/>
  <c r="J42" i="21"/>
  <c r="AC42" i="21"/>
  <c r="H42" i="21"/>
  <c r="U42" i="21"/>
  <c r="J44" i="34"/>
  <c r="F44" i="34"/>
  <c r="AA44" i="34"/>
  <c r="J10" i="35"/>
  <c r="AC10" i="35" s="1"/>
  <c r="J14" i="21"/>
  <c r="W14" i="21"/>
  <c r="F14" i="21"/>
  <c r="S14" i="21" s="1"/>
  <c r="H14" i="21"/>
  <c r="U14" i="21" s="1"/>
  <c r="H28" i="21"/>
  <c r="AB28" i="21" s="1"/>
  <c r="F28" i="21"/>
  <c r="AA28" i="21"/>
  <c r="J28" i="21"/>
  <c r="W28" i="21" s="1"/>
  <c r="F30" i="21"/>
  <c r="S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W31" i="34"/>
  <c r="S11" i="36"/>
  <c r="AB46" i="34"/>
  <c r="S45" i="33"/>
  <c r="AB45" i="33"/>
  <c r="AC28" i="21"/>
  <c r="S44" i="34"/>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BA554" i="3"/>
  <c r="AZ554" i="3" s="1"/>
  <c r="BA552" i="3"/>
  <c r="AZ552" i="3" s="1"/>
  <c r="BA548" i="3"/>
  <c r="BA546" i="3"/>
  <c r="AZ546" i="3" s="1"/>
  <c r="BA544" i="3"/>
  <c r="AZ544" i="3"/>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s="1"/>
  <c r="BL128" i="3"/>
  <c r="G129" i="3"/>
  <c r="BA131" i="3"/>
  <c r="BL132" i="3"/>
  <c r="AZ132" i="3"/>
  <c r="G133" i="3"/>
  <c r="BA135" i="3"/>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G189" i="3"/>
  <c r="BA191" i="3"/>
  <c r="BL192" i="3"/>
  <c r="G193" i="3"/>
  <c r="BA195" i="3"/>
  <c r="BL196" i="3"/>
  <c r="G197" i="3"/>
  <c r="BA199" i="3"/>
  <c r="AZ199" i="3" s="1"/>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AZ391" i="3" s="1"/>
  <c r="BL392" i="3"/>
  <c r="G393" i="3"/>
  <c r="AZ275" i="3"/>
  <c r="BH5" i="3"/>
  <c r="BF5" i="3"/>
  <c r="BD5" i="3"/>
  <c r="AC5" i="3"/>
  <c r="AZ506" i="3"/>
  <c r="AZ496" i="3"/>
  <c r="G548" i="3"/>
  <c r="G538" i="3"/>
  <c r="G520" i="3"/>
  <c r="G502" i="3"/>
  <c r="BI5" i="3"/>
  <c r="G17" i="3"/>
  <c r="BA17" i="3"/>
  <c r="AZ350" i="3"/>
  <c r="BR5" i="3"/>
  <c r="AZ380" i="3"/>
  <c r="AZ392" i="3"/>
  <c r="AZ499" i="3"/>
  <c r="AZ509" i="3"/>
  <c r="G509" i="3"/>
  <c r="BL493" i="3"/>
  <c r="AZ493" i="3" s="1"/>
  <c r="U36" i="40"/>
  <c r="F83" i="43"/>
  <c r="H85" i="43" s="1"/>
  <c r="F50" i="43"/>
  <c r="H54" i="43" s="1"/>
  <c r="F72" i="43"/>
  <c r="H75" i="43" s="1"/>
  <c r="U17" i="39"/>
  <c r="S14" i="35"/>
  <c r="U43" i="21"/>
  <c r="U35" i="21"/>
  <c r="AC35" i="21"/>
  <c r="G10" i="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86" i="3"/>
  <c r="C40" i="11"/>
  <c r="AZ227" i="3"/>
  <c r="AZ235" i="3"/>
  <c r="AZ251" i="3"/>
  <c r="AZ74" i="3"/>
  <c r="AZ86" i="3"/>
  <c r="AZ110" i="3"/>
  <c r="F23" i="39"/>
  <c r="AA23" i="39"/>
  <c r="H27" i="36"/>
  <c r="U27" i="36" s="1"/>
  <c r="F27" i="36"/>
  <c r="AA27" i="36" s="1"/>
  <c r="H33" i="34"/>
  <c r="U33" i="34"/>
  <c r="F32" i="37"/>
  <c r="AA32" i="37" s="1"/>
  <c r="F20" i="36"/>
  <c r="AA20" i="36" s="1"/>
  <c r="J33" i="34"/>
  <c r="AC33" i="34" s="1"/>
  <c r="H23" i="39"/>
  <c r="U23" i="39" s="1"/>
  <c r="D48" i="9"/>
  <c r="M52" i="9" s="1"/>
  <c r="D93" i="9"/>
  <c r="W27" i="34"/>
  <c r="AC27" i="34"/>
  <c r="AB34" i="36"/>
  <c r="U34" i="36"/>
  <c r="AC12" i="39"/>
  <c r="W12" i="39"/>
  <c r="AC39" i="40"/>
  <c r="W39" i="40"/>
  <c r="W12" i="33"/>
  <c r="AC12" i="33"/>
  <c r="AA32" i="36"/>
  <c r="S32" i="36"/>
  <c r="AZ473"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AZ17" i="3"/>
  <c r="J56" i="9"/>
  <c r="J57" i="9" s="1"/>
  <c r="J59" i="9" s="1"/>
  <c r="J61" i="9" s="1"/>
  <c r="U29" i="34"/>
  <c r="E5" i="6"/>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U23" i="21" s="1"/>
  <c r="D6" i="52"/>
  <c r="AP7" i="1"/>
  <c r="AB45" i="21"/>
  <c r="AB9" i="21"/>
  <c r="U9" i="21"/>
  <c r="AA32" i="21"/>
  <c r="S32" i="21"/>
  <c r="AC9" i="21"/>
  <c r="AB32" i="21"/>
  <c r="U32" i="21"/>
  <c r="U32" i="39"/>
  <c r="AC32" i="39"/>
  <c r="W32" i="39"/>
  <c r="AC23" i="37"/>
  <c r="J63" i="37"/>
  <c r="K63" i="37" s="1"/>
  <c r="L63" i="37" s="1"/>
  <c r="M63" i="37" s="1"/>
  <c r="J11" i="37"/>
  <c r="AC11" i="37" s="1"/>
  <c r="J11" i="34"/>
  <c r="W11" i="34" s="1"/>
  <c r="AB36" i="33"/>
  <c r="AC27" i="33"/>
  <c r="W25" i="33"/>
  <c r="AC25" i="33"/>
  <c r="AB19" i="33"/>
  <c r="U19" i="33"/>
  <c r="W23" i="2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3" i="73"/>
  <c r="E12" i="76"/>
  <c r="E13" i="76"/>
  <c r="F6" i="73"/>
  <c r="E2" i="68"/>
  <c r="AO13" i="1"/>
  <c r="D6" i="73"/>
  <c r="E8" i="76"/>
  <c r="F7" i="73"/>
  <c r="F4" i="73"/>
  <c r="E2" i="69"/>
  <c r="E10" i="76"/>
  <c r="B10" i="76"/>
  <c r="B8" i="76"/>
  <c r="B7" i="76"/>
  <c r="F5" i="73"/>
  <c r="F20" i="31"/>
  <c r="E11" i="76"/>
  <c r="E7" i="76"/>
  <c r="B12" i="76"/>
  <c r="B9" i="76"/>
  <c r="E9" i="76"/>
  <c r="B13" i="76"/>
  <c r="J11" i="39" l="1"/>
  <c r="W11" i="39" s="1"/>
  <c r="F11" i="39"/>
  <c r="S11" i="39" s="1"/>
  <c r="AC38" i="39"/>
  <c r="U11" i="39"/>
  <c r="AC11" i="39"/>
  <c r="A24" i="51"/>
  <c r="B18" i="72" s="1"/>
  <c r="D68" i="9"/>
  <c r="F30" i="69"/>
  <c r="F48" i="69" s="1"/>
  <c r="F31" i="12"/>
  <c r="F28" i="15"/>
  <c r="C28" i="15" s="1"/>
  <c r="F28" i="67"/>
  <c r="M18" i="15"/>
  <c r="M18" i="67"/>
  <c r="F30" i="11"/>
  <c r="C48" i="11" s="1"/>
  <c r="F54" i="9"/>
  <c r="F32" i="15"/>
  <c r="F60" i="15" s="1"/>
  <c r="F52" i="9"/>
  <c r="F30" i="68"/>
  <c r="F48" i="68" s="1"/>
  <c r="C21" i="68"/>
  <c r="K6" i="1"/>
  <c r="AP6" i="1" s="1"/>
  <c r="G1" i="67"/>
  <c r="G1" i="69"/>
  <c r="G1" i="68"/>
  <c r="K1" i="12"/>
  <c r="G1" i="15"/>
  <c r="B6" i="1"/>
  <c r="E6" i="1" s="1"/>
  <c r="BA14" i="3"/>
  <c r="BA15" i="3"/>
  <c r="BJ5" i="3"/>
  <c r="BM5" i="3"/>
  <c r="F29" i="6" s="1"/>
  <c r="BL14" i="3"/>
  <c r="BL16" i="3"/>
  <c r="AZ16" i="3"/>
  <c r="BG5" i="3"/>
  <c r="G29" i="6"/>
  <c r="BB5" i="3"/>
  <c r="H5" i="3"/>
  <c r="BL13" i="3"/>
  <c r="B77" i="43"/>
  <c r="B68" i="43"/>
  <c r="AB23" i="21"/>
  <c r="S13" i="21"/>
  <c r="AZ318" i="3"/>
  <c r="AZ306" i="3"/>
  <c r="AZ577" i="3"/>
  <c r="AZ513" i="3"/>
  <c r="AZ575" i="3"/>
  <c r="AZ528" i="3"/>
  <c r="AZ556" i="3"/>
  <c r="AC11" i="35"/>
  <c r="AC11" i="40"/>
  <c r="W11" i="40"/>
  <c r="B101" i="43"/>
  <c r="B79" i="43"/>
  <c r="C25" i="39"/>
  <c r="U40" i="33"/>
  <c r="AB40" i="33"/>
  <c r="H33" i="36"/>
  <c r="F33" i="36"/>
  <c r="J33" i="36"/>
  <c r="AC33" i="36" s="1"/>
  <c r="AB31" i="36"/>
  <c r="U31" i="36"/>
  <c r="AC25" i="37"/>
  <c r="W25" i="37"/>
  <c r="J27" i="21"/>
  <c r="F27" i="21"/>
  <c r="H30" i="21"/>
  <c r="J30" i="21"/>
  <c r="AZ345" i="3"/>
  <c r="AZ334" i="3"/>
  <c r="AZ372" i="3"/>
  <c r="AZ347" i="3"/>
  <c r="AZ337" i="3"/>
  <c r="AZ376" i="3"/>
  <c r="AZ309" i="3"/>
  <c r="AZ515" i="3"/>
  <c r="AZ523" i="3"/>
  <c r="AZ547" i="3"/>
  <c r="AZ569" i="3"/>
  <c r="AZ571" i="3"/>
  <c r="AZ579" i="3"/>
  <c r="AZ516" i="3"/>
  <c r="AZ574" i="3"/>
  <c r="AZ540" i="3"/>
  <c r="AZ502" i="3"/>
  <c r="S14" i="34"/>
  <c r="AA14" i="34"/>
  <c r="AA28" i="34"/>
  <c r="S28" i="34"/>
  <c r="W28" i="35"/>
  <c r="AB36" i="39"/>
  <c r="U36" i="39"/>
  <c r="AB33" i="33"/>
  <c r="U33" i="33"/>
  <c r="F26" i="33"/>
  <c r="J26" i="33"/>
  <c r="H26" i="33"/>
  <c r="AA17" i="33"/>
  <c r="AZ362" i="3"/>
  <c r="AZ390" i="3"/>
  <c r="AZ351" i="3"/>
  <c r="AZ336" i="3"/>
  <c r="AZ505" i="3"/>
  <c r="AZ525" i="3"/>
  <c r="AZ529" i="3"/>
  <c r="AZ537" i="3"/>
  <c r="BL585" i="3"/>
  <c r="AZ585" i="3" s="1"/>
  <c r="F9" i="33"/>
  <c r="AA9" i="33" s="1"/>
  <c r="J9" i="33"/>
  <c r="F9" i="34"/>
  <c r="AA9" i="34" s="1"/>
  <c r="J9" i="34"/>
  <c r="AZ568" i="3"/>
  <c r="AZ576" i="3"/>
  <c r="W40" i="39"/>
  <c r="F12" i="34"/>
  <c r="S12" i="34" s="1"/>
  <c r="F12" i="35"/>
  <c r="J12" i="35"/>
  <c r="AB30" i="37"/>
  <c r="U30" i="37"/>
  <c r="H44" i="39"/>
  <c r="J44" i="39"/>
  <c r="G570" i="3"/>
  <c r="H25" i="37"/>
  <c r="F25" i="37"/>
  <c r="U8" i="39"/>
  <c r="AB8" i="39"/>
  <c r="S9" i="40"/>
  <c r="AA9" i="40"/>
  <c r="G585" i="3"/>
  <c r="BL587" i="3"/>
  <c r="AZ587" i="3" s="1"/>
  <c r="BL586" i="3"/>
  <c r="AZ586" i="3" s="1"/>
  <c r="B72" i="43"/>
  <c r="C15" i="39"/>
  <c r="AA40" i="33"/>
  <c r="J24" i="36"/>
  <c r="J39" i="37"/>
  <c r="F39" i="37"/>
  <c r="S39" i="37" s="1"/>
  <c r="BL454" i="3"/>
  <c r="G458" i="3"/>
  <c r="BL459" i="3"/>
  <c r="G462" i="3"/>
  <c r="BA465" i="3"/>
  <c r="AZ465" i="3" s="1"/>
  <c r="BA467" i="3"/>
  <c r="BA468" i="3"/>
  <c r="BL471" i="3"/>
  <c r="BL475" i="3"/>
  <c r="BA477" i="3"/>
  <c r="BA478" i="3"/>
  <c r="BA481" i="3"/>
  <c r="BA488" i="3"/>
  <c r="AZ488" i="3" s="1"/>
  <c r="BA491"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L359" i="3"/>
  <c r="AZ359" i="3" s="1"/>
  <c r="G574"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G482" i="3"/>
  <c r="BA483" i="3"/>
  <c r="BL483" i="3"/>
  <c r="BA486" i="3"/>
  <c r="BL489" i="3"/>
  <c r="BL491" i="3"/>
  <c r="BL492" i="3"/>
  <c r="G307" i="3"/>
  <c r="BA315" i="3"/>
  <c r="AZ315" i="3" s="1"/>
  <c r="W31" i="40"/>
  <c r="S31" i="35"/>
  <c r="G587" i="3"/>
  <c r="BA551" i="3"/>
  <c r="AZ551" i="3" s="1"/>
  <c r="BA550" i="3"/>
  <c r="AZ550" i="3" s="1"/>
  <c r="BL548" i="3"/>
  <c r="AZ548"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AZ464" i="3"/>
  <c r="AZ466" i="3"/>
  <c r="AZ480" i="3"/>
  <c r="BA332" i="3"/>
  <c r="AZ332" i="3" s="1"/>
  <c r="BL332" i="3"/>
  <c r="G339" i="3"/>
  <c r="BA354" i="3"/>
  <c r="G364" i="3"/>
  <c r="BA367" i="3"/>
  <c r="AZ367" i="3" s="1"/>
  <c r="BA370" i="3"/>
  <c r="AZ370"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L123" i="3"/>
  <c r="AZ123" i="3" s="1"/>
  <c r="BL125" i="3"/>
  <c r="BL126" i="3"/>
  <c r="BA349" i="3"/>
  <c r="AZ349" i="3" s="1"/>
  <c r="BA353" i="3"/>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9" i="3"/>
  <c r="BL133" i="3"/>
  <c r="AZ133" i="3" s="1"/>
  <c r="BA144" i="3"/>
  <c r="AZ144" i="3" s="1"/>
  <c r="BL146" i="3"/>
  <c r="BL155" i="3"/>
  <c r="AZ155" i="3" s="1"/>
  <c r="BL157" i="3"/>
  <c r="AZ157" i="3" s="1"/>
  <c r="BL159" i="3"/>
  <c r="AZ159" i="3" s="1"/>
  <c r="BA164" i="3"/>
  <c r="AZ164" i="3" s="1"/>
  <c r="BA166" i="3"/>
  <c r="AZ166" i="3" s="1"/>
  <c r="BA177" i="3"/>
  <c r="AZ177" i="3" s="1"/>
  <c r="BA178" i="3"/>
  <c r="BA188" i="3"/>
  <c r="AZ188" i="3" s="1"/>
  <c r="BL205" i="3"/>
  <c r="BA50" i="3"/>
  <c r="AZ50"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A122" i="3"/>
  <c r="AZ122" i="3" s="1"/>
  <c r="BA125" i="3"/>
  <c r="AZ125" i="3" s="1"/>
  <c r="BA126" i="3"/>
  <c r="AZ126" i="3" s="1"/>
  <c r="BA128" i="3"/>
  <c r="AZ128" i="3" s="1"/>
  <c r="BL134" i="3"/>
  <c r="BL135" i="3"/>
  <c r="AZ135" i="3" s="1"/>
  <c r="BA153" i="3"/>
  <c r="BL173" i="3"/>
  <c r="BA176" i="3"/>
  <c r="AZ176" i="3" s="1"/>
  <c r="BL183" i="3"/>
  <c r="AZ183" i="3" s="1"/>
  <c r="BA186" i="3"/>
  <c r="AZ186" i="3" s="1"/>
  <c r="BL189" i="3"/>
  <c r="AZ189" i="3" s="1"/>
  <c r="BL190" i="3"/>
  <c r="AZ190" i="3" s="1"/>
  <c r="BA192" i="3"/>
  <c r="AZ192" i="3" s="1"/>
  <c r="BL195" i="3"/>
  <c r="AZ195" i="3" s="1"/>
  <c r="BA197" i="3"/>
  <c r="AZ197" i="3" s="1"/>
  <c r="BA201" i="3"/>
  <c r="AZ201" i="3" s="1"/>
  <c r="F40" i="69"/>
  <c r="C40" i="69"/>
  <c r="P65" i="71"/>
  <c r="P66" i="71"/>
  <c r="C47" i="71"/>
  <c r="D47" i="71" s="1"/>
  <c r="D46" i="71"/>
  <c r="C67" i="71"/>
  <c r="T68" i="71"/>
  <c r="O68" i="71"/>
  <c r="T76" i="71"/>
  <c r="D76" i="71"/>
  <c r="C75" i="71"/>
  <c r="Y27" i="71"/>
  <c r="Z27" i="71" s="1"/>
  <c r="Y26" i="71"/>
  <c r="Z26" i="71" s="1"/>
  <c r="AA3" i="71"/>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BA75" i="3"/>
  <c r="AZ75" i="3" s="1"/>
  <c r="G78" i="3"/>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00" i="3"/>
  <c r="AZ200" i="3" s="1"/>
  <c r="BA202" i="3"/>
  <c r="BL207" i="3"/>
  <c r="BL18" i="3"/>
  <c r="BL19" i="3"/>
  <c r="BA20" i="3"/>
  <c r="AZ20" i="3" s="1"/>
  <c r="BL25" i="3"/>
  <c r="BL27" i="3"/>
  <c r="BA28" i="3"/>
  <c r="AZ28" i="3" s="1"/>
  <c r="BA31" i="3"/>
  <c r="BA32" i="3"/>
  <c r="BA38" i="3"/>
  <c r="BA41" i="3"/>
  <c r="BA42" i="3"/>
  <c r="BL48" i="3"/>
  <c r="BL54" i="3"/>
  <c r="BL55" i="3"/>
  <c r="AZ55" i="3" s="1"/>
  <c r="BA59" i="3"/>
  <c r="BL61" i="3"/>
  <c r="BA64" i="3"/>
  <c r="AZ64" i="3" s="1"/>
  <c r="BL68" i="3"/>
  <c r="BA69" i="3"/>
  <c r="AZ69" i="3" s="1"/>
  <c r="BL76" i="3"/>
  <c r="BA97" i="3"/>
  <c r="AZ97" i="3" s="1"/>
  <c r="W21" i="21"/>
  <c r="AC25" i="40"/>
  <c r="U21" i="33"/>
  <c r="AB21" i="33"/>
  <c r="C32" i="71"/>
  <c r="C86" i="71"/>
  <c r="D86" i="71" s="1"/>
  <c r="D87" i="71"/>
  <c r="Y25" i="71"/>
  <c r="Z25" i="71" s="1"/>
  <c r="C36" i="71"/>
  <c r="D35" i="71"/>
  <c r="AB32" i="71"/>
  <c r="Y35" i="71"/>
  <c r="Z35" i="71" s="1"/>
  <c r="S80" i="71"/>
  <c r="B79" i="71"/>
  <c r="B78" i="71" s="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D43" i="71"/>
  <c r="AA28" i="71"/>
  <c r="C51" i="71"/>
  <c r="E39" i="71"/>
  <c r="E40" i="71" s="1"/>
  <c r="U40" i="71" s="1"/>
  <c r="Y37" i="71"/>
  <c r="Z37" i="71" s="1"/>
  <c r="F66" i="71"/>
  <c r="Q67" i="71"/>
  <c r="X25" i="71"/>
  <c r="V24" i="71"/>
  <c r="E23" i="71"/>
  <c r="E22" i="71" s="1"/>
  <c r="E21" i="71" s="1"/>
  <c r="E20" i="71" s="1"/>
  <c r="BA58" i="3"/>
  <c r="AZ58" i="3" s="1"/>
  <c r="BL59" i="3"/>
  <c r="BL60" i="3"/>
  <c r="BA61" i="3"/>
  <c r="AZ61" i="3" s="1"/>
  <c r="BA68" i="3"/>
  <c r="BA73" i="3"/>
  <c r="BA80" i="3"/>
  <c r="G84" i="3"/>
  <c r="BL84" i="3"/>
  <c r="BA89" i="3"/>
  <c r="G9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G76" i="3"/>
  <c r="BL77" i="3"/>
  <c r="AZ77" i="3" s="1"/>
  <c r="BA79" i="3"/>
  <c r="AZ79" i="3" s="1"/>
  <c r="BA84" i="3"/>
  <c r="AZ84" i="3" s="1"/>
  <c r="BL88" i="3"/>
  <c r="AZ88" i="3" s="1"/>
  <c r="BL90" i="3"/>
  <c r="BL92" i="3"/>
  <c r="AZ92" i="3" s="1"/>
  <c r="BA101" i="3"/>
  <c r="AZ101" i="3" s="1"/>
  <c r="BL112" i="3"/>
  <c r="S21" i="34"/>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C36" i="68"/>
  <c r="M22" i="67"/>
  <c r="F8" i="67"/>
  <c r="F9" i="67"/>
  <c r="L47" i="67"/>
  <c r="M6" i="67"/>
  <c r="M24" i="67"/>
  <c r="M8" i="67"/>
  <c r="M26" i="67"/>
  <c r="F38" i="67"/>
  <c r="F16" i="67"/>
  <c r="M29" i="67"/>
  <c r="F36" i="67"/>
  <c r="M28" i="67"/>
  <c r="F37" i="67"/>
  <c r="M9" i="67"/>
  <c r="J15" i="67"/>
  <c r="C76" i="67"/>
  <c r="F13" i="67"/>
  <c r="F40" i="67"/>
  <c r="F6" i="67"/>
  <c r="F43" i="67"/>
  <c r="F26" i="67"/>
  <c r="L48" i="67"/>
  <c r="F42" i="67"/>
  <c r="F7" i="67"/>
  <c r="M23" i="67"/>
  <c r="M29" i="15"/>
  <c r="M24" i="15"/>
  <c r="F38" i="15"/>
  <c r="F42" i="15"/>
  <c r="M28" i="15"/>
  <c r="F13" i="15"/>
  <c r="F37" i="15"/>
  <c r="M22" i="15"/>
  <c r="F9" i="15"/>
  <c r="J15" i="15"/>
  <c r="M8" i="15"/>
  <c r="F40" i="15"/>
  <c r="M26" i="15"/>
  <c r="F7" i="15"/>
  <c r="F8" i="15"/>
  <c r="M9" i="15"/>
  <c r="L47" i="15"/>
  <c r="F43" i="15"/>
  <c r="M6" i="15"/>
  <c r="F6" i="15"/>
  <c r="F16" i="15"/>
  <c r="L48" i="15"/>
  <c r="M23" i="15"/>
  <c r="F26" i="15"/>
  <c r="C76" i="15"/>
  <c r="F36" i="15"/>
  <c r="D4" i="73"/>
  <c r="D3" i="73"/>
  <c r="D5" i="73"/>
  <c r="D7" i="73"/>
  <c r="C16" i="67"/>
  <c r="C16" i="15"/>
  <c r="AA11" i="39" l="1"/>
  <c r="C30" i="68"/>
  <c r="C48" i="68"/>
  <c r="C30" i="11"/>
  <c r="F64" i="15"/>
  <c r="Q71" i="15"/>
  <c r="C27" i="15"/>
  <c r="J53" i="15"/>
  <c r="L56" i="15" s="1"/>
  <c r="I54" i="15"/>
  <c r="J57" i="15"/>
  <c r="J55" i="15" s="1"/>
  <c r="J58" i="15" s="1"/>
  <c r="Q50" i="15" s="1"/>
  <c r="C6" i="15"/>
  <c r="C32" i="15" s="1"/>
  <c r="F71" i="15"/>
  <c r="M59" i="15"/>
  <c r="N59" i="15"/>
  <c r="L58" i="15"/>
  <c r="Q60" i="15" s="1"/>
  <c r="L59" i="15"/>
  <c r="Q74" i="15" s="1"/>
  <c r="F51" i="15"/>
  <c r="F50" i="15"/>
  <c r="M7" i="15"/>
  <c r="J6" i="15" s="1"/>
  <c r="J18" i="15" s="1"/>
  <c r="F68" i="15"/>
  <c r="F65" i="15"/>
  <c r="F66" i="15"/>
  <c r="M7" i="67"/>
  <c r="J6" i="67" s="1"/>
  <c r="J18" i="67" s="1"/>
  <c r="F50" i="67"/>
  <c r="J57" i="67"/>
  <c r="J55" i="67" s="1"/>
  <c r="J58" i="67" s="1"/>
  <c r="Q50" i="67" s="1"/>
  <c r="I54" i="67"/>
  <c r="J53" i="67"/>
  <c r="Q52" i="67" s="1"/>
  <c r="L56" i="67"/>
  <c r="C27" i="67"/>
  <c r="F71" i="67"/>
  <c r="C6" i="67"/>
  <c r="C32" i="67" s="1"/>
  <c r="F68" i="67"/>
  <c r="Q71" i="67"/>
  <c r="F65" i="67"/>
  <c r="F64" i="67"/>
  <c r="F66" i="67"/>
  <c r="L59" i="67"/>
  <c r="Q74" i="67" s="1"/>
  <c r="L58" i="67"/>
  <c r="Q60" i="67" s="1"/>
  <c r="M59" i="67"/>
  <c r="N59" i="67"/>
  <c r="F51" i="67"/>
  <c r="G26" i="43"/>
  <c r="J26" i="43"/>
  <c r="F26" i="43"/>
  <c r="N94" i="46"/>
  <c r="N370" i="46"/>
  <c r="E29" i="6"/>
  <c r="K15" i="1" s="1"/>
  <c r="K16" i="1" s="1"/>
  <c r="F30" i="6"/>
  <c r="AZ14" i="3"/>
  <c r="E26" i="43"/>
  <c r="P6" i="1"/>
  <c r="C13" i="12" s="1"/>
  <c r="D20" i="53"/>
  <c r="B40" i="72" s="1"/>
  <c r="J7" i="36"/>
  <c r="D83" i="71"/>
  <c r="C82" i="71"/>
  <c r="D82" i="71" s="1"/>
  <c r="C52" i="71"/>
  <c r="D51" i="71"/>
  <c r="AZ27" i="3"/>
  <c r="B19" i="71"/>
  <c r="B18" i="71" s="1"/>
  <c r="B17" i="71" s="1"/>
  <c r="B16" i="71" s="1"/>
  <c r="S20" i="71"/>
  <c r="AZ150" i="3"/>
  <c r="D67" i="71"/>
  <c r="C66" i="71"/>
  <c r="O67" i="71"/>
  <c r="AZ178" i="3"/>
  <c r="U25" i="37"/>
  <c r="AB25" i="37"/>
  <c r="AB44" i="39"/>
  <c r="U44" i="39"/>
  <c r="U26" i="33"/>
  <c r="AB26" i="33"/>
  <c r="AC30" i="21"/>
  <c r="W30" i="21"/>
  <c r="AA33" i="36"/>
  <c r="S33" i="36"/>
  <c r="J7" i="37"/>
  <c r="G5" i="3"/>
  <c r="B3" i="3" s="1"/>
  <c r="E539" i="3" s="1"/>
  <c r="C40" i="71"/>
  <c r="D39" i="71"/>
  <c r="D23" i="71"/>
  <c r="C22" i="71"/>
  <c r="AZ25" i="3"/>
  <c r="AZ302" i="3"/>
  <c r="AZ284" i="3"/>
  <c r="AZ483" i="3"/>
  <c r="AC9" i="34"/>
  <c r="W9" i="34"/>
  <c r="W26" i="33"/>
  <c r="AC26" i="33"/>
  <c r="U30" i="21"/>
  <c r="AB30" i="21"/>
  <c r="AB33" i="36"/>
  <c r="U33" i="36"/>
  <c r="AZ107" i="3"/>
  <c r="C70" i="71"/>
  <c r="D70" i="71" s="1"/>
  <c r="D71" i="71"/>
  <c r="AZ59" i="3"/>
  <c r="AZ31" i="3"/>
  <c r="C56" i="71"/>
  <c r="D55" i="71"/>
  <c r="AZ271" i="3"/>
  <c r="AZ353" i="3"/>
  <c r="AZ491" i="3"/>
  <c r="AC39" i="37"/>
  <c r="W39" i="37"/>
  <c r="S26" i="33"/>
  <c r="AA26" i="33"/>
  <c r="AA27" i="21"/>
  <c r="S27" i="21"/>
  <c r="D79" i="71"/>
  <c r="C78" i="71"/>
  <c r="D78" i="71" s="1"/>
  <c r="T32" i="71"/>
  <c r="D32" i="71"/>
  <c r="AZ41" i="3"/>
  <c r="C26" i="71"/>
  <c r="D26" i="71" s="1"/>
  <c r="D27" i="71"/>
  <c r="AZ38" i="3"/>
  <c r="AZ5" i="3" s="1"/>
  <c r="D75" i="71"/>
  <c r="C74" i="71"/>
  <c r="D74" i="71" s="1"/>
  <c r="AZ282" i="3"/>
  <c r="AZ401" i="3"/>
  <c r="AZ415" i="3"/>
  <c r="AZ398" i="3"/>
  <c r="AC24" i="36"/>
  <c r="W24" i="36"/>
  <c r="AA25" i="37"/>
  <c r="S25" i="37"/>
  <c r="AC44" i="39"/>
  <c r="W44" i="39"/>
  <c r="W12" i="35"/>
  <c r="AC12" i="35"/>
  <c r="AC9" i="33"/>
  <c r="W9" i="33"/>
  <c r="W27" i="21"/>
  <c r="AC27" i="2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F27" i="68"/>
  <c r="F41" i="67"/>
  <c r="G1" i="73"/>
  <c r="C49" i="15" l="1"/>
  <c r="Q73" i="67"/>
  <c r="Q61" i="67"/>
  <c r="C49" i="67"/>
  <c r="D26" i="43"/>
  <c r="C25" i="43" s="1"/>
  <c r="F1" i="67"/>
  <c r="J5" i="67"/>
  <c r="Q73" i="15"/>
  <c r="F1" i="15"/>
  <c r="Q61" i="15"/>
  <c r="J5" i="15"/>
  <c r="J24" i="15" s="1"/>
  <c r="Q52" i="15"/>
  <c r="E204" i="3"/>
  <c r="E44" i="3"/>
  <c r="E407" i="3"/>
  <c r="E418" i="3"/>
  <c r="E373" i="3"/>
  <c r="E572" i="3"/>
  <c r="E518" i="3"/>
  <c r="E156" i="3"/>
  <c r="E339" i="3"/>
  <c r="AI6" i="3"/>
  <c r="E406" i="3"/>
  <c r="E107" i="3"/>
  <c r="E480" i="3"/>
  <c r="E272" i="3"/>
  <c r="E421" i="3"/>
  <c r="E538" i="3"/>
  <c r="E98" i="3"/>
  <c r="AB6" i="3"/>
  <c r="E586" i="3"/>
  <c r="E457" i="3"/>
  <c r="I6" i="3"/>
  <c r="E475" i="3"/>
  <c r="E101" i="3"/>
  <c r="E142" i="3"/>
  <c r="E240" i="3"/>
  <c r="E483" i="3"/>
  <c r="E135" i="3"/>
  <c r="E311" i="3"/>
  <c r="E182" i="3"/>
  <c r="E74" i="3"/>
  <c r="E133" i="3"/>
  <c r="E91" i="3"/>
  <c r="E270" i="3"/>
  <c r="E186" i="3"/>
  <c r="E567" i="3"/>
  <c r="E519" i="3"/>
  <c r="E61" i="3"/>
  <c r="E358" i="3"/>
  <c r="E295" i="3"/>
  <c r="E55" i="3"/>
  <c r="AN6" i="3"/>
  <c r="E390" i="3"/>
  <c r="E432" i="3"/>
  <c r="E288" i="3"/>
  <c r="E167" i="3"/>
  <c r="E582" i="3"/>
  <c r="E51" i="3"/>
  <c r="E218" i="3"/>
  <c r="E455" i="3"/>
  <c r="E498" i="3"/>
  <c r="E83" i="3"/>
  <c r="E452" i="3"/>
  <c r="E287" i="3"/>
  <c r="E332" i="3"/>
  <c r="E300" i="3"/>
  <c r="E132" i="3"/>
  <c r="E531" i="3"/>
  <c r="E545" i="3"/>
  <c r="E555" i="3"/>
  <c r="E279" i="3"/>
  <c r="E511" i="3"/>
  <c r="E569" i="3"/>
  <c r="E443" i="3"/>
  <c r="E344" i="3"/>
  <c r="E254" i="3"/>
  <c r="E153" i="3"/>
  <c r="E379" i="3"/>
  <c r="E532" i="3"/>
  <c r="Y6" i="3"/>
  <c r="E19" i="3"/>
  <c r="E65" i="3"/>
  <c r="E147" i="3"/>
  <c r="E43" i="3"/>
  <c r="E490" i="3"/>
  <c r="E342" i="3"/>
  <c r="E360" i="3"/>
  <c r="E251" i="3"/>
  <c r="E264" i="3"/>
  <c r="E363" i="3"/>
  <c r="E40" i="3"/>
  <c r="E223" i="3"/>
  <c r="E243" i="3"/>
  <c r="E140" i="3"/>
  <c r="E75" i="3"/>
  <c r="E144" i="3"/>
  <c r="E510" i="3"/>
  <c r="E172" i="3"/>
  <c r="E579" i="3"/>
  <c r="E171" i="3"/>
  <c r="E183" i="3"/>
  <c r="E476" i="3"/>
  <c r="E260" i="3"/>
  <c r="E100" i="3"/>
  <c r="E189" i="3"/>
  <c r="E268" i="3"/>
  <c r="E485" i="3"/>
  <c r="E468" i="3"/>
  <c r="E347" i="3"/>
  <c r="E216" i="3"/>
  <c r="E343" i="3"/>
  <c r="E414" i="3"/>
  <c r="E433" i="3"/>
  <c r="E253" i="3"/>
  <c r="E130" i="3"/>
  <c r="E282" i="3"/>
  <c r="E576" i="3"/>
  <c r="Q6" i="3"/>
  <c r="E169" i="3"/>
  <c r="E29" i="3"/>
  <c r="E397" i="3"/>
  <c r="E122" i="3"/>
  <c r="E259" i="3"/>
  <c r="E209" i="3"/>
  <c r="E398" i="3"/>
  <c r="E52" i="3"/>
  <c r="E333" i="3"/>
  <c r="E493" i="3"/>
  <c r="E78" i="3"/>
  <c r="E469" i="3"/>
  <c r="E129" i="3"/>
  <c r="E381" i="3"/>
  <c r="I3" i="6"/>
  <c r="E103" i="3"/>
  <c r="E192" i="3"/>
  <c r="E541" i="3"/>
  <c r="E425" i="3"/>
  <c r="E56" i="3"/>
  <c r="R6" i="3"/>
  <c r="E404" i="3"/>
  <c r="E274" i="3"/>
  <c r="E262" i="3"/>
  <c r="E213" i="3"/>
  <c r="E574" i="3"/>
  <c r="E546" i="3"/>
  <c r="E257" i="3"/>
  <c r="E306" i="3"/>
  <c r="E488" i="3"/>
  <c r="E47" i="3"/>
  <c r="E57" i="3"/>
  <c r="E155" i="3"/>
  <c r="E50" i="3"/>
  <c r="E137" i="3"/>
  <c r="E202" i="3"/>
  <c r="E486" i="3"/>
  <c r="E370" i="3"/>
  <c r="E104" i="3"/>
  <c r="E534" i="3"/>
  <c r="E522" i="3"/>
  <c r="E21" i="3"/>
  <c r="E23" i="3"/>
  <c r="E76" i="3"/>
  <c r="E435" i="3"/>
  <c r="E199" i="3"/>
  <c r="AY6" i="3"/>
  <c r="AY144" i="3" s="1"/>
  <c r="E3" i="6"/>
  <c r="C21" i="71"/>
  <c r="D22"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52" i="71"/>
  <c r="D52" i="71"/>
  <c r="AA7" i="36"/>
  <c r="R36" i="36" s="1"/>
  <c r="R37" i="36"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O65" i="71"/>
  <c r="D66" i="71"/>
  <c r="O6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03" i="3"/>
  <c r="AY228" i="3"/>
  <c r="AY28" i="3"/>
  <c r="AY554" i="3"/>
  <c r="AY488" i="3"/>
  <c r="AY334" i="3"/>
  <c r="AY271" i="3"/>
  <c r="AY527" i="3"/>
  <c r="AY436" i="3"/>
  <c r="AY181" i="3"/>
  <c r="AY582" i="3"/>
  <c r="AY251" i="3"/>
  <c r="AY468" i="3"/>
  <c r="AY565" i="3"/>
  <c r="AY156" i="3"/>
  <c r="AY469" i="3"/>
  <c r="AY38" i="3"/>
  <c r="AY354" i="3"/>
  <c r="AY32" i="3"/>
  <c r="AY431" i="3"/>
  <c r="AY233" i="3"/>
  <c r="AY136" i="3"/>
  <c r="AY153" i="3"/>
  <c r="AY538" i="3"/>
  <c r="AY359" i="3"/>
  <c r="AY240"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F41" i="15"/>
  <c r="C48" i="15" l="1"/>
  <c r="C66" i="15" s="1"/>
  <c r="H6" i="3"/>
  <c r="AY224" i="3"/>
  <c r="AY563" i="3"/>
  <c r="AY503" i="3"/>
  <c r="AY363" i="3"/>
  <c r="AY164" i="3"/>
  <c r="AY301" i="3"/>
  <c r="AY434" i="3"/>
  <c r="AY567" i="3"/>
  <c r="AY39" i="3"/>
  <c r="AY203" i="3"/>
  <c r="AY492" i="3"/>
  <c r="AY511" i="3"/>
  <c r="AY91" i="3"/>
  <c r="AY362" i="3"/>
  <c r="AY46" i="3"/>
  <c r="AY14" i="3"/>
  <c r="AY312" i="3"/>
  <c r="AY137" i="3"/>
  <c r="AY543" i="3"/>
  <c r="AY384" i="3"/>
  <c r="AY43" i="3"/>
  <c r="AY464" i="3"/>
  <c r="AY25" i="3"/>
  <c r="AY98" i="3"/>
  <c r="AY349" i="3"/>
  <c r="AY214" i="3"/>
  <c r="AY108" i="3"/>
  <c r="AY409" i="3"/>
  <c r="AY253" i="3"/>
  <c r="AY566" i="3"/>
  <c r="AY107" i="3"/>
  <c r="AY62" i="3"/>
  <c r="AY320" i="3"/>
  <c r="AY432" i="3"/>
  <c r="AY13" i="3"/>
  <c r="AY352" i="3"/>
  <c r="AY429" i="3"/>
  <c r="AY277" i="3"/>
  <c r="AY560" i="3"/>
  <c r="AY232" i="3"/>
  <c r="AY99" i="3"/>
  <c r="AY407" i="3"/>
  <c r="AY329" i="3"/>
  <c r="AY194" i="3"/>
  <c r="AY141" i="3"/>
  <c r="AY292" i="3"/>
  <c r="AY243" i="3"/>
  <c r="AY574" i="3"/>
  <c r="BF6" i="3"/>
  <c r="AY290" i="3"/>
  <c r="AY294" i="3"/>
  <c r="BK6" i="3"/>
  <c r="AY152" i="3"/>
  <c r="AY477" i="3"/>
  <c r="AY408" i="3"/>
  <c r="AY545" i="3"/>
  <c r="AY396" i="3"/>
  <c r="AY375" i="3"/>
  <c r="AY330" i="3"/>
  <c r="AY575" i="3"/>
  <c r="AY298" i="3"/>
  <c r="AY490" i="3"/>
  <c r="AY148" i="3"/>
  <c r="AY437" i="3"/>
  <c r="AY285" i="3"/>
  <c r="AY570" i="3"/>
  <c r="AY426" i="3"/>
  <c r="AY380" i="3"/>
  <c r="AY65" i="3"/>
  <c r="AY309" i="3"/>
  <c r="AY69" i="3"/>
  <c r="AY523" i="3"/>
  <c r="BI6" i="3"/>
  <c r="AY390" i="3"/>
  <c r="AY427" i="3"/>
  <c r="AY24" i="3"/>
  <c r="AY138" i="3"/>
  <c r="AY465" i="3"/>
  <c r="AY74" i="3"/>
  <c r="AC6" i="3"/>
  <c r="E6" i="3"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21" i="3"/>
  <c r="AY307" i="3"/>
  <c r="AY257" i="3"/>
  <c r="AY200" i="3"/>
  <c r="AY568" i="3"/>
  <c r="AY451" i="3"/>
  <c r="AY394" i="3"/>
  <c r="AY151" i="3"/>
  <c r="AY79" i="3"/>
  <c r="AY551" i="3"/>
  <c r="AY505" i="3"/>
  <c r="AY445" i="3"/>
  <c r="AY305" i="3"/>
  <c r="AY250" i="3"/>
  <c r="AY174" i="3"/>
  <c r="AY583" i="3"/>
  <c r="AY474" i="3"/>
  <c r="AY208" i="3"/>
  <c r="AY175" i="3"/>
  <c r="AY102" i="3"/>
  <c r="AY347" i="3"/>
  <c r="AY548" i="3"/>
  <c r="AY304" i="3"/>
  <c r="AY122" i="3"/>
  <c r="BC6" i="3"/>
  <c r="AY367" i="3"/>
  <c r="AY119" i="3"/>
  <c r="AY70" i="3"/>
  <c r="AY517" i="3"/>
  <c r="AY376" i="3"/>
  <c r="AY127" i="3"/>
  <c r="AY78" i="3"/>
  <c r="BR6" i="3"/>
  <c r="AY423" i="3"/>
  <c r="AY484" i="3"/>
  <c r="AY345" i="3"/>
  <c r="AY169" i="3"/>
  <c r="AY96" i="3"/>
  <c r="AY552" i="3"/>
  <c r="AY341" i="3"/>
  <c r="AY173" i="3"/>
  <c r="AY478" i="3"/>
  <c r="AY577" i="3"/>
  <c r="AY279" i="3"/>
  <c r="AY36" i="3"/>
  <c r="AY387" i="3"/>
  <c r="AY398" i="3"/>
  <c r="AY56" i="3"/>
  <c r="AY44" i="3"/>
  <c r="AY441" i="3"/>
  <c r="F25" i="12"/>
  <c r="C26" i="12" s="1"/>
  <c r="D25" i="12"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21" i="3"/>
  <c r="AY296" i="3"/>
  <c r="AY30" i="3"/>
  <c r="AY564" i="3"/>
  <c r="AY418" i="3"/>
  <c r="AY385" i="3"/>
  <c r="AY498" i="3"/>
  <c r="AY416" i="3"/>
  <c r="AY306" i="3"/>
  <c r="AY256" i="3"/>
  <c r="AY179" i="3"/>
  <c r="AY587" i="3"/>
  <c r="AY424" i="3"/>
  <c r="AY314" i="3"/>
  <c r="AY264" i="3"/>
  <c r="AY187" i="3"/>
  <c r="BA6" i="3"/>
  <c r="AY502" i="3"/>
  <c r="AY499" i="3"/>
  <c r="AY442" i="3"/>
  <c r="AY328" i="3"/>
  <c r="AY223" i="3"/>
  <c r="AY282" i="3"/>
  <c r="AY37" i="3"/>
  <c r="AY514" i="3"/>
  <c r="AY419" i="3"/>
  <c r="AY29" i="3"/>
  <c r="AY227" i="3"/>
  <c r="AY100" i="3"/>
  <c r="AY497" i="3"/>
  <c r="AY31" i="3"/>
  <c r="BN6" i="3"/>
  <c r="AY467" i="3"/>
  <c r="BS6" i="3"/>
  <c r="AY302" i="3"/>
  <c r="AY562" i="3"/>
  <c r="AY244" i="3"/>
  <c r="AY501" i="3"/>
  <c r="AY534" i="3"/>
  <c r="AY475" i="3"/>
  <c r="AY353" i="3"/>
  <c r="AY295" i="3"/>
  <c r="AY360" i="3"/>
  <c r="AY230" i="3"/>
  <c r="AY283" i="3"/>
  <c r="AY154" i="3"/>
  <c r="AY97" i="3"/>
  <c r="AY549" i="3"/>
  <c r="AY310" i="3"/>
  <c r="AY260" i="3"/>
  <c r="AY209" i="3"/>
  <c r="AY289" i="3"/>
  <c r="AY335" i="3"/>
  <c r="AY297" i="3"/>
  <c r="AY188"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1" i="6" s="1"/>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F22" i="69"/>
  <c r="F41" i="69" s="1"/>
  <c r="F24" i="15"/>
  <c r="C24" i="15" s="1"/>
  <c r="F22" i="68"/>
  <c r="F41" i="68" s="1"/>
  <c r="F24" i="67"/>
  <c r="C24" i="67" s="1"/>
  <c r="F22" i="11"/>
  <c r="C44" i="11" s="1"/>
  <c r="D41" i="11" s="1"/>
  <c r="G54" i="34"/>
  <c r="H54" i="34" s="1"/>
  <c r="E36" i="36"/>
  <c r="D116" i="43"/>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2" i="6"/>
  <c r="D6" i="6"/>
  <c r="D19"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6" i="69" l="1"/>
  <c r="D22" i="69" s="1"/>
  <c r="D28" i="6"/>
  <c r="H24" i="6"/>
  <c r="D14" i="6"/>
  <c r="D15" i="6"/>
  <c r="D12" i="6"/>
  <c r="D29" i="6"/>
  <c r="M19" i="9"/>
  <c r="C118" i="9" s="1"/>
  <c r="B2" i="74" s="1"/>
  <c r="D8" i="74" s="1"/>
  <c r="D5" i="6"/>
  <c r="L19" i="9"/>
  <c r="D20" i="6"/>
  <c r="D8" i="6"/>
  <c r="D13" i="6"/>
  <c r="D23" i="6"/>
  <c r="H21" i="6"/>
  <c r="R21" i="6" s="1"/>
  <c r="D10" i="6"/>
  <c r="D24" i="6"/>
  <c r="D25" i="6"/>
  <c r="C44" i="69"/>
  <c r="D41" i="69" s="1"/>
  <c r="H26" i="6"/>
  <c r="R26" i="6" s="1"/>
  <c r="D11" i="6"/>
  <c r="C18" i="4"/>
  <c r="A10" i="51" s="1"/>
  <c r="B9" i="72" s="1"/>
  <c r="H22" i="6"/>
  <c r="R22" i="6" s="1"/>
  <c r="D9" i="6"/>
  <c r="D26" i="6"/>
  <c r="H25" i="6"/>
  <c r="C26" i="68"/>
  <c r="D22" i="68" s="1"/>
  <c r="C44" i="68"/>
  <c r="D41" i="68" s="1"/>
  <c r="C25" i="11"/>
  <c r="C24" i="11"/>
  <c r="C23" i="11"/>
  <c r="C26" i="11"/>
  <c r="D22" i="11" s="1"/>
  <c r="T20" i="71"/>
  <c r="D20" i="71"/>
  <c r="U20" i="71" s="1"/>
  <c r="C19" i="7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D27" i="6"/>
  <c r="C10" i="69"/>
  <c r="C8" i="69" s="1"/>
  <c r="C5" i="69" s="1"/>
  <c r="D19" i="69"/>
  <c r="F50" i="69"/>
  <c r="F50" i="11"/>
  <c r="F50" i="68"/>
  <c r="C4" i="52"/>
  <c r="B45"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7" i="74" l="1"/>
  <c r="C22" i="11"/>
  <c r="C31" i="11" s="1"/>
  <c r="D16" i="6"/>
  <c r="D30" i="6"/>
  <c r="D31" i="6" s="1"/>
  <c r="R25" i="6"/>
  <c r="R12" i="1" s="1"/>
  <c r="R23" i="6"/>
  <c r="R10" i="1" s="1"/>
  <c r="A7" i="51"/>
  <c r="B7" i="72" s="1"/>
  <c r="D19" i="7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I6"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R9" i="1" l="1"/>
  <c r="R7" i="1"/>
  <c r="R8" i="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67"/>
  <c r="F35" i="15"/>
  <c r="M21" i="15"/>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1" i="1"/>
  <c r="AO7" i="1"/>
  <c r="AO10" i="1"/>
  <c r="AO9" i="1"/>
  <c r="AO12" i="1"/>
  <c r="R48" i="39" l="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D102" i="9"/>
  <c r="D21" i="9"/>
  <c r="B3" i="15"/>
  <c r="D10" i="71"/>
  <c r="C9"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9" i="71"/>
  <c r="C8" i="71"/>
  <c r="C42" i="40"/>
  <c r="C43" i="40"/>
  <c r="E47" i="40"/>
  <c r="F47" i="40" s="1"/>
  <c r="E46" i="40"/>
  <c r="F46" i="40" s="1"/>
  <c r="I47" i="40"/>
  <c r="J47" i="40" s="1"/>
  <c r="B3" i="39" l="1"/>
  <c r="C6" i="68"/>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7" i="71"/>
  <c r="C6" i="71"/>
  <c r="C23" i="68" l="1"/>
  <c r="C20" i="68"/>
  <c r="D6" i="71"/>
  <c r="C5" i="71"/>
  <c r="D5" i="71" s="1"/>
  <c r="M24" i="43" s="1"/>
  <c r="C28" i="68" l="1"/>
  <c r="C27" i="68" s="1"/>
  <c r="C25" i="68"/>
  <c r="C22" i="68" s="1"/>
  <c r="C31" i="68" l="1"/>
  <c r="C52" i="68" s="1"/>
  <c r="B2" i="68" s="1"/>
  <c r="B3" i="68"/>
  <c r="C19" i="9"/>
  <c r="C20" i="9"/>
  <c r="C57" i="68" l="1"/>
  <c r="C21" i="9"/>
  <c r="C102" i="9"/>
  <c r="G19" i="9"/>
  <c r="G21" i="9" s="1"/>
  <c r="D22" i="9"/>
  <c r="C103" i="9"/>
  <c r="G20" i="9"/>
  <c r="D35" i="9"/>
  <c r="C56" i="68" l="1"/>
  <c r="R24" i="31"/>
  <c r="C32" i="9"/>
  <c r="C35" i="9" s="1"/>
  <c r="C34" i="9" s="1"/>
  <c r="D34" i="9"/>
  <c r="R26" i="31" l="1"/>
  <c r="S26" i="31" s="1"/>
  <c r="D16" i="74" s="1"/>
  <c r="G16" i="74" s="1"/>
  <c r="R27" i="31"/>
  <c r="S27" i="31" s="1"/>
  <c r="D17" i="74" s="1"/>
  <c r="G17" i="74" s="1"/>
  <c r="R25" i="31"/>
  <c r="S25" i="31" s="1"/>
  <c r="D15" i="74" s="1"/>
  <c r="G15" i="74" s="1"/>
  <c r="S24" i="31"/>
  <c r="D14" i="74" s="1"/>
  <c r="E15" i="74" l="1"/>
  <c r="F15" i="74"/>
  <c r="E17" i="74"/>
  <c r="F17" i="74"/>
  <c r="E16" i="74"/>
  <c r="F16" i="74"/>
  <c r="S22" i="31"/>
  <c r="G14" i="74" s="1"/>
  <c r="B6" i="74" s="1"/>
  <c r="D6" i="74" s="1"/>
  <c r="F14" i="74" l="1"/>
  <c r="B5" i="74"/>
  <c r="D5" i="74" s="1"/>
  <c r="E14" i="74"/>
  <c r="R22" i="31"/>
  <c r="B20" i="31"/>
  <c r="B21" i="31" s="1"/>
  <c r="C5" i="74"/>
  <c r="C6" i="74"/>
  <c r="G118" i="9"/>
  <c r="F118" i="9" s="1"/>
  <c r="I118" i="9"/>
  <c r="I4" i="52" s="1"/>
  <c r="G4" i="52" l="1"/>
  <c r="B52" i="72" s="1"/>
  <c r="F119" i="9"/>
  <c r="F5" i="52" s="1"/>
  <c r="B53" i="72" s="1"/>
  <c r="F4" i="52"/>
  <c r="B51" i="72" s="1"/>
  <c r="E118" i="9"/>
  <c r="H102" i="9"/>
  <c r="D7" i="53" s="1"/>
  <c r="B21" i="72" s="1"/>
  <c r="C105" i="9"/>
  <c r="H118" i="9"/>
  <c r="E4" i="52" l="1"/>
  <c r="B48" i="72" s="1"/>
  <c r="D118" i="9"/>
  <c r="H101" i="9"/>
  <c r="C104" i="9"/>
  <c r="H119" i="9"/>
  <c r="H5" i="52" s="1"/>
  <c r="H4" i="52"/>
  <c r="M48" i="9" l="1"/>
  <c r="H107" i="9"/>
  <c r="D5" i="53"/>
  <c r="D45" i="9"/>
  <c r="D119" i="9"/>
  <c r="D5" i="52" s="1"/>
  <c r="B49" i="72" s="1"/>
  <c r="D4" i="52"/>
  <c r="B47" i="72" s="1"/>
  <c r="C72" i="9" l="1"/>
  <c r="C85" i="9"/>
  <c r="D55" i="9"/>
  <c r="M53" i="9" s="1"/>
  <c r="C64" i="9"/>
  <c r="C63" i="9" s="1"/>
  <c r="C67" i="9" s="1"/>
  <c r="C78" i="9"/>
  <c r="C73" i="9" s="1"/>
  <c r="D53" i="9"/>
  <c r="D52" i="9"/>
  <c r="C93" i="9"/>
  <c r="C86" i="9" s="1"/>
  <c r="D6" i="53"/>
  <c r="B22" i="72" s="1"/>
  <c r="B20" i="72"/>
  <c r="D13" i="53"/>
  <c r="M49" i="9"/>
  <c r="H108" i="9"/>
  <c r="D15" i="53" s="1"/>
  <c r="B31" i="72" s="1"/>
  <c r="D122" i="9"/>
  <c r="L65" i="9" l="1"/>
  <c r="M65" i="9" s="1"/>
  <c r="L68" i="9"/>
  <c r="M68" i="9" s="1"/>
  <c r="L67" i="9"/>
  <c r="M67" i="9" s="1"/>
  <c r="L64" i="9"/>
  <c r="M64" i="9" s="1"/>
  <c r="L66" i="9"/>
  <c r="M66" i="9" s="1"/>
  <c r="L63" i="9"/>
  <c r="M63" i="9" s="1"/>
  <c r="D59" i="9"/>
  <c r="M55" i="9" s="1"/>
  <c r="C68" i="9"/>
  <c r="D54" i="9" s="1"/>
  <c r="D14" i="53"/>
  <c r="B32" i="72" s="1"/>
  <c r="B30" i="72"/>
  <c r="D123" i="9"/>
  <c r="D9" i="52" s="1"/>
  <c r="D8" i="52"/>
  <c r="C95" i="9"/>
  <c r="C79" i="9"/>
  <c r="M69" i="9" l="1"/>
  <c r="N69" i="9" s="1"/>
  <c r="C80" i="9"/>
  <c r="E80" i="9" s="1"/>
  <c r="E81" i="9" s="1"/>
  <c r="C96" i="9"/>
  <c r="E96" i="9" s="1"/>
  <c r="E97" i="9" s="1"/>
  <c r="C97" i="9" l="1"/>
  <c r="D58" i="9" s="1"/>
  <c r="D56" i="9" s="1"/>
  <c r="M54" i="9" s="1"/>
  <c r="N57" i="9" s="1"/>
  <c r="C81" i="9"/>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<sst xmlns="http://schemas.openxmlformats.org/spreadsheetml/2006/main" count="8134" uniqueCount="3572">
  <si>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</si>
  <si>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</si>
  <si>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</si>
  <si>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</si>
  <si>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</si>
  <si>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</si>
  <si>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</si>
  <si>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</si>
  <si>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</si>
  <si>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</si>
  <si>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</si>
  <si>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</si>
  <si>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</si>
  <si>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</si>
  <si>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</si>
  <si>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</si>
  <si>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</si>
  <si>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</si>
  <si>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</si>
  <si>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</si>
  <si>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</si>
  <si>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</si>
  <si>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</si>
  <si>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</si>
  <si>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</si>
  <si>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</si>
  <si>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</si>
  <si>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</si>
  <si>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</si>
  <si>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</si>
  <si>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</si>
  <si>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</si>
  <si>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</si>
  <si>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</si>
  <si>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</si>
  <si>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</si>
  <si>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</si>
  <si>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</si>
  <si>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</si>
  <si>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</si>
  <si>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</si>
  <si>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</si>
  <si>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</si>
  <si>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</si>
  <si>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</si>
  <si>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</si>
  <si>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</si>
  <si>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</si>
  <si>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</si>
  <si>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</si>
  <si>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</si>
  <si>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</si>
  <si>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</si>
  <si>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</si>
  <si>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</si>
  <si>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</si>
  <si>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</si>
  <si>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</si>
  <si>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</si>
  <si>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</si>
  <si>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</si>
  <si>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</si>
  <si>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</si>
  <si>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</si>
  <si>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</si>
  <si>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</si>
  <si>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</si>
  <si>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</si>
  <si>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</si>
  <si>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</si>
  <si>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</si>
  <si>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</si>
  <si>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</si>
  <si>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</si>
  <si>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</si>
  <si>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</si>
  <si>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</si>
  <si>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</si>
  <si>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</si>
  <si>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</si>
  <si>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</si>
  <si>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</si>
  <si>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</si>
  <si>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</si>
  <si>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</si>
  <si>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</si>
  <si>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</si>
  <si>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</si>
  <si>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</si>
  <si>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</si>
  <si>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</si>
  <si>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</si>
  <si>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</si>
  <si>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</si>
  <si>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</si>
  <si>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</si>
  <si>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</si>
  <si>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</si>
  <si>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</si>
  <si>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</si>
  <si>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</si>
  <si>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</si>
  <si>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</si>
  <si>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</si>
  <si>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</si>
  <si>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</si>
  <si>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</si>
  <si>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</si>
  <si>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</si>
  <si>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</si>
  <si>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</si>
  <si>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</si>
  <si>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</si>
  <si>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</si>
  <si>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</si>
  <si>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</si>
  <si>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</si>
  <si>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</si>
  <si>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</si>
  <si>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</si>
  <si>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</si>
  <si>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</si>
  <si>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</si>
  <si>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</si>
  <si>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</si>
  <si>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</si>
  <si>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</si>
  <si>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</si>
  <si>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</si>
  <si>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</si>
  <si>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</si>
  <si>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</si>
  <si>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</si>
  <si>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</si>
  <si>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</si>
  <si>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</si>
  <si>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</si>
  <si>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</si>
  <si>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</si>
  <si>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</si>
  <si>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</si>
  <si>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</si>
  <si>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</si>
  <si>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</si>
  <si>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</si>
  <si>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</si>
  <si>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</si>
  <si>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</si>
  <si>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</si>
  <si>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</si>
  <si>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</si>
  <si>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</si>
  <si>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</si>
  <si>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</si>
  <si>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</si>
  <si>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</si>
  <si>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</si>
  <si>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</si>
  <si>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</si>
  <si>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</si>
  <si>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</si>
  <si>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</si>
  <si>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</si>
  <si>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</si>
  <si>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</si>
  <si>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</si>
  <si>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</si>
  <si>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</si>
  <si>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</si>
  <si>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</si>
  <si>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</si>
  <si>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</si>
  <si>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</si>
  <si>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</si>
  <si>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</si>
  <si>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</si>
  <si>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</si>
  <si>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</si>
  <si>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</si>
  <si>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</si>
  <si>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</si>
  <si>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</si>
  <si>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</si>
  <si>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</si>
  <si>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</si>
  <si>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</si>
  <si>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</si>
  <si>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</si>
  <si>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</si>
  <si>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</si>
  <si>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</si>
  <si>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</si>
  <si>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</si>
  <si>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</si>
  <si>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</si>
  <si>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</si>
  <si>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</si>
  <si>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</si>
  <si>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</si>
  <si>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</si>
  <si>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</si>
  <si>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</si>
  <si>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</si>
  <si>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</si>
  <si>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</si>
  <si>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</si>
  <si>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</si>
  <si>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</si>
  <si>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</si>
  <si>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</si>
  <si>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</si>
  <si>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</si>
  <si>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</si>
  <si>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</si>
  <si>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</si>
  <si>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</si>
  <si>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</si>
  <si>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</si>
  <si>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</si>
  <si>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</si>
  <si>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</si>
  <si>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</si>
  <si>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</si>
  <si>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</si>
  <si>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</si>
  <si>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</si>
  <si>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</si>
  <si>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</si>
  <si>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</si>
  <si>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</si>
  <si>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</si>
  <si>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</si>
  <si>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</si>
  <si>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</si>
  <si>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</si>
  <si>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</si>
  <si>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</si>
  <si>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</si>
  <si>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</si>
  <si>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</si>
  <si>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</si>
  <si>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</si>
  <si>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</si>
  <si>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</si>
  <si>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</si>
  <si>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</si>
  <si>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</si>
  <si>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</si>
  <si>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</si>
  <si>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</si>
  <si>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</si>
  <si>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</si>
  <si>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</si>
  <si>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</si>
  <si>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</si>
  <si>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</si>
  <si>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</si>
  <si>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</si>
  <si>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</si>
  <si>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</si>
  <si>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</si>
  <si>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</si>
  <si>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</si>
  <si>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</si>
  <si>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</si>
  <si>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</si>
  <si>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</si>
  <si>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</si>
  <si>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</si>
  <si>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</si>
  <si>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</si>
  <si>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</si>
  <si>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</si>
  <si>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</si>
  <si>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</si>
  <si>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</si>
  <si>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</si>
  <si>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</si>
  <si>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</si>
  <si>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</si>
  <si>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</si>
  <si>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</si>
  <si>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</si>
  <si>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</si>
  <si>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</si>
  <si>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</si>
  <si>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</si>
  <si>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</si>
  <si>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</si>
  <si>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</si>
  <si>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</si>
  <si>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</si>
  <si>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</si>
  <si>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</si>
  <si>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</si>
  <si>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</si>
  <si>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</si>
  <si>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</si>
  <si>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</si>
  <si>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</si>
  <si>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</si>
  <si>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</si>
  <si>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</si>
  <si>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</si>
  <si>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</si>
  <si>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</si>
  <si>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</si>
  <si>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</si>
  <si>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</si>
  <si>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</si>
  <si>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</si>
  <si>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</si>
  <si>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</si>
  <si>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</si>
  <si>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</si>
  <si>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</si>
  <si>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</si>
  <si>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</si>
  <si>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</si>
  <si>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</si>
  <si>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</si>
  <si>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</si>
  <si>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</si>
  <si>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</si>
  <si>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</si>
  <si>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</si>
  <si>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</si>
  <si>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</si>
  <si>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</si>
  <si>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</si>
  <si>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</si>
  <si>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</si>
  <si>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</si>
  <si>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</si>
  <si>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</si>
  <si>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</si>
  <si>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</si>
  <si>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</si>
  <si>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</si>
  <si>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</si>
  <si>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</si>
  <si>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</si>
  <si>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</si>
  <si>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</si>
  <si>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</si>
  <si>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</si>
  <si>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</si>
  <si>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</si>
  <si>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</si>
  <si>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</si>
  <si>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</si>
  <si>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</si>
  <si>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</si>
  <si>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</si>
  <si>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</si>
  <si>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</si>
  <si>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</si>
  <si>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</si>
  <si>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</si>
  <si>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</si>
  <si>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</si>
  <si>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</si>
  <si>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</si>
  <si>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</si>
  <si>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</si>
  <si>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</si>
  <si>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</si>
  <si>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</si>
  <si>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</si>
  <si>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</si>
  <si>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</si>
  <si>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</si>
  <si>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</si>
  <si>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</si>
  <si>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</si>
  <si>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</si>
  <si>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</si>
  <si>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</si>
  <si>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</si>
  <si>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</si>
  <si>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</si>
  <si>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</si>
  <si>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</si>
  <si>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</si>
  <si>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</si>
  <si>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</si>
  <si>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</si>
  <si>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</si>
  <si>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</si>
  <si>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</si>
  <si>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</si>
  <si>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</si>
  <si>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</si>
  <si>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</si>
  <si>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</si>
  <si>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</si>
  <si>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</si>
  <si>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</si>
  <si>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</si>
  <si>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</si>
  <si>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</si>
  <si>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</si>
  <si>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</si>
  <si>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</si>
  <si>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</si>
  <si>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</si>
  <si>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</si>
  <si>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</si>
  <si>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</si>
  <si>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</si>
  <si>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</si>
  <si>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</si>
  <si>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</si>
  <si>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</si>
  <si>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</si>
  <si>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</si>
  <si>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</si>
  <si>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</si>
  <si>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</si>
  <si>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</si>
  <si>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</si>
  <si>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</si>
  <si>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</si>
  <si>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</si>
  <si>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</si>
  <si>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</si>
  <si>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</si>
  <si>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</si>
  <si>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</si>
  <si>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</si>
  <si>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</si>
  <si>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</si>
  <si>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</si>
  <si>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</si>
  <si>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</si>
  <si>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</si>
  <si>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</si>
  <si>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</si>
  <si>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</si>
  <si>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</si>
  <si>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</si>
  <si>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</si>
  <si>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</si>
  <si>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</si>
  <si>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</si>
  <si>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</si>
  <si>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</si>
  <si>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</si>
  <si>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</si>
  <si>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</si>
  <si>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</si>
  <si>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</si>
  <si>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</si>
  <si>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</si>
  <si>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</si>
  <si>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</si>
  <si>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</si>
  <si>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</si>
  <si>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</si>
  <si>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</si>
  <si>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</si>
  <si>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</si>
  <si>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</si>
  <si>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</si>
  <si>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</si>
  <si>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</si>
  <si>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</si>
  <si>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</si>
  <si>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</si>
  <si>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</si>
  <si>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</si>
  <si>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</si>
  <si>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</si>
  <si>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</si>
  <si>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</si>
  <si>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</si>
  <si>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</si>
  <si>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</si>
  <si>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</si>
  <si>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</si>
  <si>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</si>
  <si>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</si>
  <si>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</si>
  <si>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</si>
  <si>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</si>
  <si>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</si>
  <si>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</si>
  <si>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</si>
  <si>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</si>
  <si>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</si>
  <si>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</si>
  <si>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</si>
  <si>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</si>
  <si>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</si>
  <si>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</si>
  <si>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</si>
  <si>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</si>
  <si>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</si>
  <si>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</si>
  <si>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</si>
  <si>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</si>
  <si>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</si>
  <si>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</si>
  <si>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</si>
  <si>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</si>
  <si>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</si>
  <si>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</si>
  <si>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</si>
  <si>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</si>
  <si>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</si>
  <si>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</si>
  <si>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</si>
  <si>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</si>
  <si>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</si>
  <si>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</si>
  <si>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</si>
  <si>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</si>
  <si>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</si>
  <si>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</si>
  <si>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</si>
  <si>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</si>
  <si>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</si>
  <si>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</si>
  <si>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</si>
  <si>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</si>
  <si>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</si>
  <si>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</si>
  <si>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</si>
  <si>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</si>
  <si>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</si>
  <si>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</si>
  <si>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</si>
  <si>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</si>
  <si>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</si>
  <si>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</si>
  <si>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</si>
  <si>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</si>
  <si>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</si>
  <si>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</si>
  <si>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</si>
  <si>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</si>
  <si>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</si>
  <si>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</si>
  <si>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</si>
  <si>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</si>
  <si>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</si>
  <si>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</si>
  <si>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</si>
  <si>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</si>
  <si>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</si>
  <si>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</si>
  <si>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</si>
  <si>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</si>
  <si>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</si>
  <si>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</si>
  <si>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</si>
  <si>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</si>
  <si>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</si>
  <si>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</si>
  <si>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</si>
  <si>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</si>
  <si>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</si>
  <si>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</si>
  <si>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</si>
  <si>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</si>
  <si>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</si>
  <si>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</si>
  <si>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</si>
  <si>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</si>
  <si>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</si>
  <si>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</si>
  <si>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</si>
  <si>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</si>
  <si>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</si>
  <si>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</si>
  <si>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</si>
  <si>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</si>
  <si>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</si>
  <si>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</si>
  <si>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</si>
  <si>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</si>
  <si>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</si>
  <si>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</si>
  <si>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</si>
  <si>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</si>
  <si>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</si>
  <si>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</si>
  <si>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</si>
  <si>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</si>
  <si>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</si>
  <si>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</si>
  <si>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</si>
  <si>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</si>
  <si>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</si>
  <si>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</si>
  <si>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</si>
  <si>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</si>
  <si>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</si>
  <si>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</si>
  <si>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</si>
  <si>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</si>
  <si>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</si>
  <si>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</si>
  <si>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</si>
  <si>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</si>
  <si>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</si>
  <si>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</si>
  <si>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</si>
  <si>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</si>
  <si>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</si>
  <si>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</si>
  <si>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</si>
  <si>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</si>
  <si>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</si>
  <si>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</si>
  <si>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</si>
  <si>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</si>
  <si>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</si>
  <si>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</si>
  <si>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</si>
  <si>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</si>
  <si>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</si>
  <si>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</si>
  <si>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</si>
  <si>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</si>
  <si>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</si>
  <si>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</si>
  <si>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</si>
  <si>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</si>
  <si>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</si>
  <si>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</si>
  <si>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</si>
  <si>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</si>
  <si>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</si>
  <si>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</si>
  <si>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</si>
  <si>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</si>
  <si>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</si>
  <si>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</si>
  <si>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</si>
  <si>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</si>
  <si>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</si>
  <si>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</si>
  <si>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</si>
  <si>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</si>
  <si>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</si>
  <si>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</si>
  <si>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</si>
  <si>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</si>
  <si>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</si>
  <si>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</si>
  <si>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</si>
  <si>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</si>
  <si>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</si>
  <si>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</si>
  <si>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</si>
  <si>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</si>
  <si>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</si>
  <si>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</si>
  <si>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</si>
  <si>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</si>
  <si>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</si>
  <si>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</si>
  <si>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</si>
  <si>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</si>
  <si>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</si>
  <si>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</si>
  <si>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</si>
  <si>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</si>
  <si>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</si>
  <si>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</si>
  <si>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</si>
  <si>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</si>
  <si>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</si>
  <si>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</si>
  <si>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</si>
  <si>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</si>
  <si>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</si>
  <si>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</si>
  <si>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</si>
  <si>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</si>
  <si>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</si>
  <si>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</si>
  <si>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</si>
  <si>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</si>
  <si>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</si>
  <si>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</si>
  <si>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</si>
  <si>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</si>
  <si>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</si>
  <si>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</si>
  <si>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</si>
  <si>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</si>
  <si>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</si>
  <si>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</si>
  <si>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</si>
  <si>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</si>
  <si>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</si>
  <si>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</si>
  <si>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</si>
  <si>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</si>
  <si>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</si>
  <si>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</si>
  <si>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</si>
  <si>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</si>
  <si>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</si>
  <si>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</si>
  <si>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</si>
  <si>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</si>
  <si>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</si>
  <si>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</si>
  <si>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</si>
  <si>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</si>
  <si>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</si>
  <si>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</si>
  <si>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</si>
  <si>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</si>
  <si>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</si>
  <si>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</si>
  <si>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</si>
  <si>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</si>
  <si>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</si>
  <si>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</si>
  <si>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</si>
  <si>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</si>
  <si>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</si>
  <si>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</si>
  <si>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</si>
  <si>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</si>
  <si>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</si>
  <si>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</si>
  <si>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</si>
  <si>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</si>
  <si>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</si>
  <si>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</si>
  <si>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</si>
  <si>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</si>
  <si>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</si>
  <si>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</si>
  <si>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</si>
  <si>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</si>
  <si>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</si>
  <si>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</si>
  <si>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</si>
  <si>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</si>
  <si>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</si>
  <si>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</si>
  <si>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</si>
  <si>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</si>
  <si>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</si>
  <si>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</si>
  <si>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</si>
  <si>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</si>
  <si>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</si>
  <si>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</si>
  <si>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</si>
  <si>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</si>
  <si>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</si>
  <si>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</si>
  <si>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</si>
  <si>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</si>
  <si>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</si>
  <si>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</si>
  <si>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</si>
  <si>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</si>
  <si>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</si>
  <si>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</si>
  <si>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</si>
  <si>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</si>
  <si>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</si>
  <si>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</si>
  <si>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</si>
  <si>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</si>
  <si>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</si>
  <si>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</si>
  <si>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</si>
  <si>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</si>
  <si>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</si>
  <si>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</si>
  <si>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</si>
  <si>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</si>
  <si>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</si>
  <si>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</si>
  <si>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</si>
  <si>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</si>
  <si>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</si>
  <si>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</si>
  <si>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</si>
  <si>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</si>
  <si>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</si>
  <si>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</si>
  <si>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</si>
  <si>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</si>
  <si>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</si>
  <si>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</si>
  <si>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</si>
  <si>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</si>
  <si>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</si>
  <si>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</si>
  <si>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</si>
  <si>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</si>
  <si>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</si>
  <si>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</si>
  <si>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</si>
  <si>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</si>
  <si>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</si>
  <si>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</si>
  <si>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</si>
  <si>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</si>
  <si>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</si>
  <si>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</si>
  <si>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</si>
  <si>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</si>
  <si>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</si>
  <si>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</si>
  <si>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</si>
  <si>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</si>
  <si>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</si>
  <si>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</si>
  <si>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</si>
  <si>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</si>
  <si>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</si>
  <si>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</si>
  <si>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</si>
  <si>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</si>
  <si>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</si>
  <si>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</si>
  <si>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</si>
  <si>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</si>
  <si>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</si>
  <si>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</si>
  <si>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</si>
  <si>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</si>
  <si>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</si>
  <si>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</si>
  <si>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</si>
  <si>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</si>
  <si>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</si>
  <si>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</si>
  <si>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</si>
  <si>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</si>
  <si>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</si>
  <si>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</si>
  <si>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</si>
  <si>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</si>
  <si>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</si>
  <si>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</si>
  <si>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</si>
  <si>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</si>
  <si>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</si>
  <si>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</si>
  <si>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</si>
  <si>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</si>
  <si>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</si>
  <si>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</si>
  <si>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</si>
  <si>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</si>
  <si>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</si>
  <si>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</si>
  <si>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</si>
  <si>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</si>
  <si>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</si>
  <si>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</si>
  <si>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</si>
  <si>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</si>
  <si>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</si>
  <si>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</si>
  <si>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</si>
  <si>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</si>
  <si>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</si>
  <si>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</si>
  <si>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</si>
  <si>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</si>
  <si>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</si>
  <si>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</si>
  <si>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</si>
  <si>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</si>
  <si>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</si>
  <si>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</si>
  <si>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</si>
  <si>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</si>
  <si>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</si>
  <si>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</si>
  <si>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</si>
  <si>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</si>
  <si>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</si>
  <si>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</si>
  <si>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</si>
  <si>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</si>
  <si>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</si>
  <si>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</si>
  <si>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</si>
  <si>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</si>
  <si>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</si>
  <si>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</si>
  <si>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</si>
  <si>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</si>
  <si>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</si>
  <si>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</si>
  <si>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</si>
  <si>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</si>
  <si>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</si>
  <si>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</si>
  <si>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</si>
  <si>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</si>
  <si>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</si>
  <si>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</si>
  <si>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</si>
  <si>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</si>
  <si>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</si>
  <si>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</si>
  <si>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</si>
  <si>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</si>
  <si>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</si>
  <si>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</si>
  <si>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</si>
  <si>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</si>
  <si>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</si>
  <si>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</si>
  <si>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</si>
  <si>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</si>
  <si>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</si>
  <si>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</si>
  <si>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</si>
  <si>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</si>
  <si>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</si>
  <si>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</si>
  <si>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</si>
  <si>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</si>
  <si>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</si>
  <si>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</si>
  <si>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</si>
  <si>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</si>
  <si>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</si>
  <si>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</si>
  <si>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</si>
  <si>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</si>
  <si>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</si>
  <si>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</si>
  <si>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</si>
  <si>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</si>
  <si>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</si>
  <si>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</si>
  <si>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</si>
  <si>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</si>
  <si>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</si>
  <si>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</si>
  <si>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</si>
  <si>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</si>
  <si>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</si>
  <si>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</si>
  <si>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</si>
  <si>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</si>
  <si>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</si>
  <si>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</si>
  <si>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</si>
  <si>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</si>
  <si>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</si>
  <si>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</si>
  <si>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</si>
  <si>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</si>
  <si>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</si>
  <si>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</si>
  <si>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</si>
  <si>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</si>
  <si>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</si>
  <si>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</si>
  <si>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</si>
  <si>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</si>
  <si>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</si>
  <si>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</si>
  <si>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</si>
  <si>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</si>
  <si>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</si>
  <si>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</si>
  <si>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</si>
  <si>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</si>
  <si>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</si>
  <si>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</si>
  <si>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</si>
  <si>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</si>
  <si>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</si>
  <si>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</si>
  <si>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</si>
  <si>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</si>
  <si>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</si>
  <si>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</si>
  <si>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</si>
  <si>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</si>
  <si>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</si>
  <si>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</si>
  <si>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</si>
  <si>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</si>
  <si>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</si>
  <si>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</si>
  <si>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</si>
  <si>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</si>
  <si>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</si>
  <si>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</si>
  <si>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</si>
  <si>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</si>
  <si>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</si>
  <si>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</si>
  <si>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</si>
  <si>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</si>
  <si>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</si>
  <si>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</si>
  <si>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</si>
  <si>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</si>
  <si>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</si>
  <si>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</si>
  <si>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</si>
  <si>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</si>
  <si>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</si>
  <si>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</si>
  <si>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</si>
  <si>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</si>
  <si>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</si>
  <si>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</si>
  <si>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</si>
  <si>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</si>
  <si>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</si>
  <si>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</si>
  <si>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</si>
  <si>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</si>
  <si>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</si>
  <si>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</si>
  <si>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</si>
  <si>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</si>
  <si>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</si>
  <si>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</si>
  <si>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</si>
  <si>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</si>
  <si>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</si>
  <si>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</si>
  <si>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</si>
  <si>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</si>
  <si>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</si>
  <si>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</si>
  <si>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</si>
  <si>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</si>
  <si>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</si>
  <si>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</si>
  <si>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</si>
  <si>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</si>
  <si>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</si>
  <si>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</si>
  <si>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</si>
  <si>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</si>
  <si>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</si>
  <si>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</si>
  <si>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</si>
  <si>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</si>
  <si>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</si>
  <si>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</si>
  <si>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</si>
  <si>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</si>
  <si>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</si>
  <si>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</si>
  <si>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</si>
  <si>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</si>
  <si>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</si>
  <si>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</si>
  <si>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</si>
  <si>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</si>
  <si>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</si>
  <si>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</si>
  <si>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</si>
  <si>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</si>
  <si>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</si>
  <si>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</si>
  <si>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</si>
  <si>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</si>
  <si>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</si>
  <si>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</si>
  <si>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</si>
  <si>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</si>
  <si>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</si>
  <si>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</si>
  <si>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</si>
  <si>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</si>
  <si>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</si>
  <si>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</si>
  <si>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</si>
  <si>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</si>
  <si>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</si>
  <si>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</si>
  <si>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</si>
  <si>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</si>
  <si>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</si>
  <si>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</si>
  <si>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</si>
  <si>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</si>
  <si>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</si>
  <si>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</si>
  <si>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</si>
  <si>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</si>
  <si>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</si>
  <si>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</si>
  <si>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</si>
  <si>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</si>
  <si>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</si>
  <si>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</si>
  <si>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</si>
  <si>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</si>
  <si>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</si>
  <si>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</si>
  <si>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</si>
  <si>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</si>
  <si>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</si>
  <si>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</si>
  <si>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</si>
  <si>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</si>
  <si>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</si>
  <si>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</si>
  <si>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</si>
  <si>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</si>
  <si>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</si>
  <si>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</si>
  <si>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</si>
  <si>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</si>
  <si>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</si>
  <si>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</si>
  <si>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</si>
  <si>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</si>
  <si>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</si>
  <si>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</si>
  <si>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</si>
  <si>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</si>
  <si>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</si>
  <si>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</si>
  <si>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</si>
  <si>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</si>
  <si>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</si>
  <si>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</si>
  <si>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</si>
  <si>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</si>
  <si>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</si>
  <si>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</si>
  <si>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</si>
  <si>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</si>
  <si>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</si>
  <si>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</si>
  <si>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</si>
  <si>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</si>
  <si>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</si>
  <si>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</si>
  <si>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</si>
  <si>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</si>
  <si>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</si>
  <si>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</si>
  <si>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</si>
  <si>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</si>
  <si>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</si>
  <si>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</si>
  <si>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</si>
  <si>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</si>
  <si>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</si>
  <si>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</si>
  <si>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</si>
  <si>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</si>
  <si>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</si>
  <si>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</si>
  <si>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</si>
  <si>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</si>
  <si>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</si>
  <si>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</si>
  <si>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</si>
  <si>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</si>
  <si>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</si>
  <si>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</si>
  <si>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</si>
  <si>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</si>
  <si>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</si>
  <si>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</si>
  <si>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</si>
  <si>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</si>
  <si>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</si>
  <si>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</si>
  <si>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</si>
  <si>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</si>
  <si>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</si>
  <si>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</si>
  <si>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</si>
  <si>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</si>
  <si>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</si>
  <si>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</si>
  <si>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</si>
  <si>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</si>
  <si>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</si>
  <si>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</si>
  <si>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</si>
  <si>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</si>
  <si>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</si>
  <si>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</si>
  <si>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</si>
  <si>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</si>
  <si>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</si>
  <si>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</si>
  <si>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</si>
  <si>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</si>
  <si>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</si>
  <si>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</si>
  <si>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</si>
  <si>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</si>
  <si>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</si>
  <si>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</si>
  <si>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</si>
  <si>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</si>
  <si>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</si>
  <si>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</si>
  <si>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</si>
  <si>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</si>
  <si>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</si>
  <si>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</si>
  <si>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</si>
  <si>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</si>
  <si>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</si>
  <si>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</si>
  <si>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</si>
  <si>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</si>
  <si>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</si>
  <si>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</si>
  <si>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</si>
  <si>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</si>
  <si>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</si>
  <si>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</si>
  <si>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</si>
  <si>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</si>
  <si>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</si>
  <si>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</si>
  <si>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</si>
  <si>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</si>
  <si>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</si>
  <si>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</si>
  <si>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</si>
  <si>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</si>
  <si>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</si>
  <si>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</si>
  <si>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</si>
  <si>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</si>
  <si>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</si>
  <si>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</si>
  <si>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</si>
  <si>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</si>
  <si>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</si>
  <si>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</si>
  <si>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</si>
  <si>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</si>
  <si>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</si>
  <si>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</si>
  <si>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</si>
  <si>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</si>
  <si>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</si>
  <si>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</si>
  <si>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</si>
  <si>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</si>
  <si>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</si>
  <si>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</si>
  <si>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</si>
  <si>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</si>
  <si>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</si>
  <si>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</si>
  <si>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</si>
  <si>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</si>
  <si>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</si>
  <si>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</si>
  <si>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</si>
  <si>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</si>
  <si>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</si>
  <si>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</si>
  <si>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</si>
  <si>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</si>
  <si>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</si>
  <si>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</si>
  <si>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</si>
  <si>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</si>
  <si>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</si>
  <si>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</si>
  <si>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</si>
  <si>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</si>
  <si>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</si>
  <si>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</si>
  <si>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</si>
  <si>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</si>
  <si>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</si>
  <si>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</si>
  <si>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</si>
  <si>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</si>
  <si>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</si>
  <si>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</si>
  <si>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</si>
  <si>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</si>
  <si>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</si>
  <si>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</si>
  <si>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</si>
  <si>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</si>
  <si>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</si>
  <si>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</si>
  <si>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</si>
  <si>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</si>
  <si>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</si>
  <si>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</si>
  <si>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</si>
  <si>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</si>
  <si>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</si>
  <si>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</si>
  <si>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</si>
  <si>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</si>
  <si>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</si>
  <si>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</si>
  <si>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</si>
  <si>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</si>
  <si>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</si>
  <si>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</si>
  <si>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</si>
  <si>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</si>
  <si>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</si>
  <si>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</si>
  <si>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</si>
  <si>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</si>
  <si>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</si>
  <si>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</si>
  <si>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</si>
  <si>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</si>
  <si>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</si>
  <si>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</si>
  <si>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</si>
  <si>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</si>
  <si>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</si>
  <si>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</si>
  <si>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</si>
  <si>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</si>
  <si>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</si>
  <si>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</si>
  <si>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</si>
  <si>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</si>
  <si>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</si>
  <si>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</si>
  <si>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</si>
  <si>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</si>
  <si>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</si>
  <si>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</si>
  <si>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</si>
  <si>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</si>
  <si>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</si>
  <si>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</si>
  <si>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</si>
  <si>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</si>
  <si>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</si>
  <si>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</si>
  <si>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</si>
  <si>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</si>
  <si>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</si>
  <si>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</si>
  <si>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</si>
  <si>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</si>
  <si>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</si>
  <si>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</si>
  <si>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</si>
  <si>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</si>
  <si>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</si>
  <si>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</si>
  <si>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</si>
  <si>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</si>
  <si>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</si>
  <si>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</si>
  <si>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</si>
  <si>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</si>
  <si>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</si>
  <si>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</si>
  <si>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</si>
  <si>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</si>
  <si>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</si>
  <si>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</si>
  <si>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</si>
  <si>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</si>
  <si>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</si>
  <si>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</si>
  <si>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</si>
  <si>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</si>
  <si>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</si>
  <si>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</si>
  <si>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</si>
  <si>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</si>
  <si>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</si>
  <si>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</si>
  <si>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</si>
  <si>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</si>
  <si>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</si>
  <si>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</si>
  <si>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</si>
  <si>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</si>
  <si>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</si>
  <si>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</si>
  <si>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</si>
  <si>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</si>
  <si>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</si>
  <si>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</si>
  <si>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</si>
  <si>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</si>
  <si>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</si>
  <si>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</si>
  <si>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</si>
  <si>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</si>
  <si>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</si>
  <si>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</si>
  <si>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</si>
  <si>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</si>
  <si>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</si>
  <si>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</si>
  <si>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</si>
  <si>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</si>
  <si>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</si>
  <si>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</si>
  <si>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</si>
  <si>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</si>
  <si>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</si>
  <si>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</si>
  <si>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</si>
  <si>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</si>
  <si>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</si>
  <si>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</si>
  <si>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</si>
  <si>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</si>
  <si>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</si>
  <si>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</si>
  <si>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</si>
  <si>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</si>
  <si>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</si>
  <si>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</si>
  <si>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</si>
  <si>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</si>
  <si>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</si>
  <si>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</si>
  <si>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</si>
  <si>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</si>
  <si>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</si>
  <si>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</si>
  <si>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</si>
  <si>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</si>
  <si>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</si>
  <si>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</si>
  <si>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</si>
  <si>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</si>
  <si>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</si>
  <si>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</si>
  <si>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</si>
  <si>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</si>
  <si>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</si>
  <si>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</si>
  <si>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</si>
  <si>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</si>
  <si>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</si>
  <si>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</si>
  <si>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</si>
  <si>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</si>
  <si>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</si>
  <si>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</si>
  <si>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</si>
  <si>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</si>
  <si>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</si>
  <si>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</si>
  <si>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</si>
  <si>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</si>
  <si>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</si>
  <si>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</si>
  <si>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</si>
  <si>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</si>
  <si>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</si>
  <si>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</si>
  <si>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</si>
  <si>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</si>
  <si>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</si>
  <si>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</si>
  <si>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</si>
  <si>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</si>
  <si>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</si>
  <si>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</si>
  <si>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</si>
  <si>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</si>
  <si>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</si>
  <si>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</si>
  <si>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</si>
  <si>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</si>
  <si>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</si>
  <si>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</si>
  <si>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</si>
  <si>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</si>
  <si>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</si>
  <si>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</si>
  <si>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</si>
  <si>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</si>
  <si>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</si>
  <si>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</si>
  <si>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</si>
  <si>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</si>
  <si>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</si>
  <si>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</si>
  <si>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</si>
  <si>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</si>
  <si>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</si>
  <si>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</si>
  <si>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</si>
  <si>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</si>
  <si>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</si>
  <si>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</si>
  <si>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</si>
  <si>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</si>
  <si>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</si>
  <si>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</si>
  <si>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</si>
  <si>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</si>
  <si>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</si>
  <si>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</si>
  <si>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</si>
  <si>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</si>
  <si>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</si>
  <si>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</si>
  <si>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</si>
  <si>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</si>
  <si>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</si>
  <si>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</si>
  <si>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</si>
  <si>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</si>
  <si>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</si>
  <si>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</si>
  <si>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</si>
  <si>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</si>
  <si>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</si>
  <si>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</si>
  <si>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</si>
  <si>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</si>
  <si>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</si>
  <si>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</si>
  <si>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</si>
  <si>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</si>
  <si>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</si>
  <si>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</si>
  <si>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</si>
  <si>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</si>
  <si>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</si>
  <si>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</si>
  <si>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</si>
  <si>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</si>
  <si>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</si>
  <si>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</si>
  <si>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</si>
  <si>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</si>
  <si>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</si>
  <si>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</si>
  <si>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</si>
  <si>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</si>
  <si>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</si>
  <si>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</si>
  <si>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</si>
  <si>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</si>
  <si>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</si>
  <si>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</si>
  <si>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</si>
  <si>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</si>
  <si>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</si>
  <si>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</si>
  <si>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</si>
  <si>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</si>
  <si>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</si>
  <si>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</si>
  <si>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</si>
  <si>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</si>
  <si>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</si>
  <si>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</si>
  <si>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</si>
  <si>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</si>
  <si>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</si>
  <si>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</si>
  <si>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</si>
  <si>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</si>
  <si>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</si>
  <si>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</si>
  <si>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</si>
  <si>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</si>
  <si>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</si>
  <si>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</si>
  <si>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</si>
  <si>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</si>
  <si>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</si>
  <si>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</si>
  <si>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</si>
  <si>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</si>
  <si>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</si>
  <si>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</si>
  <si>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</si>
  <si>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</si>
  <si>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</si>
  <si>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</si>
  <si>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</si>
  <si>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</si>
  <si>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</si>
  <si>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</si>
  <si>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</si>
  <si>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</si>
  <si>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</si>
  <si>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</si>
  <si>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</si>
  <si>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</si>
  <si>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</si>
  <si>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</si>
  <si>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</si>
  <si>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</si>
  <si>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</si>
  <si>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</si>
  <si>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</si>
  <si>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</si>
  <si>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</si>
  <si>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</si>
  <si>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</si>
  <si>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</si>
  <si>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</si>
  <si>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</si>
  <si>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</si>
  <si>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</si>
  <si>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</si>
  <si>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</si>
  <si>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</si>
  <si>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</si>
  <si>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</si>
  <si>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</si>
  <si>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</si>
  <si>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</si>
  <si>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</si>
  <si>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</si>
  <si>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</si>
  <si>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</si>
  <si>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</si>
  <si>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</si>
  <si>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</si>
  <si>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</si>
  <si>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</si>
  <si>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</si>
  <si>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</si>
  <si>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</si>
  <si>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</si>
  <si>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</si>
  <si>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</si>
  <si>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</si>
  <si>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</si>
  <si>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</si>
  <si>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</si>
  <si>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</si>
  <si>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</si>
  <si>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</si>
  <si>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</si>
  <si>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</si>
  <si>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</si>
  <si>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</si>
  <si>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</si>
  <si>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</si>
  <si>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</si>
  <si>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</si>
  <si>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</si>
  <si>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</si>
  <si>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</si>
  <si>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</si>
  <si>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</si>
  <si>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</si>
  <si>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</si>
  <si>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</si>
  <si>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</si>
  <si>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</si>
  <si>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</si>
  <si>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</si>
  <si>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</si>
  <si>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</si>
  <si>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</si>
  <si>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</si>
  <si>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</si>
  <si>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</si>
  <si>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</si>
  <si>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</si>
  <si>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</si>
  <si>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</si>
  <si>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</si>
  <si>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</si>
  <si>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</si>
  <si>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</si>
  <si>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</si>
  <si>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</si>
  <si>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</si>
  <si>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</si>
  <si>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</si>
  <si>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</si>
  <si>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</si>
  <si>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</si>
  <si>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</si>
  <si>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</si>
  <si>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</si>
  <si>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</si>
  <si>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</si>
  <si>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</si>
  <si>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</si>
  <si>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</si>
  <si>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</si>
  <si>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</si>
  <si>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</si>
  <si>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</si>
  <si>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</si>
  <si>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</si>
  <si>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</si>
  <si>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</si>
  <si>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</si>
  <si>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</si>
  <si>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</si>
  <si>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</si>
  <si>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</si>
  <si>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</si>
  <si>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</si>
  <si>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</si>
  <si>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</si>
  <si>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</si>
  <si>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</si>
  <si>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</si>
  <si>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</si>
  <si>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</si>
  <si>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</si>
  <si>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</si>
  <si>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</si>
  <si>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</si>
  <si>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</si>
  <si>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</si>
  <si>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</si>
  <si>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</si>
  <si>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</si>
  <si>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</si>
  <si>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</si>
  <si>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</si>
  <si>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</si>
  <si>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</si>
  <si>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</si>
  <si>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</si>
  <si>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</si>
  <si>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</si>
  <si>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</si>
  <si>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</si>
  <si>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</si>
  <si>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</si>
  <si>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</si>
  <si>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</si>
  <si>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</si>
  <si>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</si>
  <si>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</si>
  <si>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</si>
  <si>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</si>
  <si>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</si>
  <si>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</si>
  <si>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</si>
  <si>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</si>
  <si>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</si>
  <si>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</si>
  <si>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</si>
  <si>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</si>
  <si>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</si>
  <si>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</si>
  <si>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</si>
  <si>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</si>
  <si>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</si>
  <si>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</si>
  <si>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</si>
  <si>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</si>
  <si>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</si>
  <si>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</si>
  <si>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</si>
  <si>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</si>
  <si>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</si>
  <si>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</si>
  <si>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</si>
  <si>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</si>
  <si>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</si>
  <si>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</si>
  <si>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</si>
  <si>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</si>
  <si>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</si>
  <si>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</si>
  <si>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</si>
  <si>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</si>
  <si>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</si>
  <si>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</si>
  <si>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</si>
  <si>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</si>
  <si>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</si>
  <si>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</si>
  <si>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</si>
  <si>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</si>
  <si>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</si>
  <si>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</si>
  <si>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</si>
  <si>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</si>
  <si>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</si>
  <si>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</si>
  <si>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</si>
  <si>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</si>
  <si>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</si>
  <si>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</si>
  <si>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</si>
  <si>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</si>
  <si>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</si>
  <si>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</si>
  <si>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</si>
  <si>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</si>
  <si>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</si>
  <si>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</si>
  <si>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</si>
  <si>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</si>
  <si>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</si>
  <si>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</si>
  <si>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</si>
  <si>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</si>
  <si>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</si>
  <si>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</si>
  <si>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</si>
  <si>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</si>
  <si>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</si>
  <si>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</si>
  <si>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</si>
  <si>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</si>
  <si>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</si>
  <si>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</si>
  <si>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</si>
  <si>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</si>
  <si>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</si>
  <si>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</si>
  <si>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</si>
  <si>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</si>
  <si>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</si>
  <si>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</si>
  <si>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</si>
  <si>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</si>
  <si>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</si>
  <si>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</si>
  <si>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</si>
  <si>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</si>
  <si>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</si>
  <si>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</si>
  <si>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</si>
  <si>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</si>
  <si>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</si>
  <si>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</si>
  <si>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</si>
  <si>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</si>
  <si>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</si>
  <si>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</si>
  <si>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</si>
  <si>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</si>
  <si>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</si>
  <si>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</si>
  <si>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</si>
  <si>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</si>
  <si>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</si>
  <si>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</si>
  <si>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</si>
  <si>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</si>
  <si>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</si>
  <si>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</si>
  <si>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</si>
  <si>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</si>
  <si>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</si>
  <si>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</si>
  <si>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</si>
  <si>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</si>
  <si>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</si>
  <si>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</si>
  <si>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</si>
  <si>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</si>
  <si>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</si>
  <si>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</si>
  <si>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</si>
  <si>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</si>
  <si>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</si>
  <si>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</si>
  <si>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</si>
  <si>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</si>
  <si>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</si>
  <si>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</si>
  <si>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</si>
  <si>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</si>
  <si>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</si>
  <si>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</si>
  <si>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</si>
  <si>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</si>
  <si>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</si>
  <si>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</si>
  <si>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</si>
  <si>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</si>
  <si>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</si>
  <si>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</si>
  <si>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</si>
  <si>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</si>
  <si>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</si>
  <si>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</si>
  <si>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</si>
  <si>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</si>
  <si>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</si>
  <si>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</si>
  <si>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</si>
  <si>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</si>
  <si>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</si>
  <si>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</si>
  <si>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</si>
  <si>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</si>
  <si>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</si>
  <si>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</si>
  <si>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</si>
  <si>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</si>
  <si>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</si>
  <si>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</si>
  <si>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</si>
  <si>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</si>
  <si>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</si>
  <si>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</si>
  <si>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</si>
  <si>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</si>
  <si>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</si>
  <si>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</si>
  <si>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</si>
  <si>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</si>
  <si>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</si>
  <si>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</si>
  <si>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</si>
  <si>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</si>
  <si>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</si>
  <si>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</si>
  <si>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</si>
  <si>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</si>
  <si>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</si>
  <si>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</si>
  <si>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</si>
  <si>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</si>
  <si>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</si>
  <si>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</si>
  <si>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</si>
  <si>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</si>
  <si>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</si>
  <si>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</si>
  <si>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</si>
  <si>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</si>
  <si>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</si>
  <si>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</si>
  <si>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</si>
  <si>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</si>
  <si>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</si>
  <si>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</si>
  <si>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</si>
  <si>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</si>
  <si>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</si>
  <si>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</si>
  <si>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</si>
  <si>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</si>
  <si>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</si>
  <si>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</si>
  <si>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</si>
  <si>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</si>
  <si>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</si>
  <si>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</si>
  <si>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</si>
  <si>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</si>
  <si>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</si>
  <si>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</si>
  <si>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</si>
  <si>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</si>
  <si>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</si>
  <si>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</si>
  <si>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</si>
  <si>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</si>
  <si>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</si>
  <si>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</si>
  <si>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</si>
  <si>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</si>
  <si>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</si>
  <si>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</si>
  <si>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</si>
  <si>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</si>
  <si>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</si>
  <si>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</si>
  <si>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</si>
  <si>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</si>
  <si>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</si>
  <si>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</si>
  <si>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</si>
  <si>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</si>
  <si>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</si>
  <si>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</si>
  <si>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</si>
  <si>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</si>
  <si>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</si>
  <si>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</si>
  <si>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</si>
  <si>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</si>
  <si>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</si>
  <si>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</si>
  <si>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</si>
  <si>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</si>
  <si>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</si>
  <si>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</si>
  <si>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</si>
  <si>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</si>
  <si>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</si>
  <si>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</si>
  <si>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</si>
  <si>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</si>
  <si>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</si>
  <si>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</si>
  <si>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</si>
  <si>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</si>
  <si>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</si>
  <si>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</si>
  <si>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</si>
  <si>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</si>
  <si>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</si>
  <si>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</si>
  <si>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</si>
  <si>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</si>
  <si>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</si>
  <si>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</si>
  <si>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</si>
  <si>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</si>
  <si>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</si>
  <si>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</si>
  <si>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</si>
  <si>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</si>
  <si>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</si>
  <si>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</si>
  <si>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</si>
  <si>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</si>
  <si>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</si>
  <si>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</si>
  <si>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</si>
  <si>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</si>
  <si>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</si>
  <si>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</si>
  <si>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</si>
  <si>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</si>
  <si>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</si>
  <si>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</si>
  <si>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</si>
  <si>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</si>
  <si>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</si>
  <si>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</si>
  <si>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</si>
  <si>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</si>
  <si>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</si>
  <si>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</si>
  <si>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</si>
  <si>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</si>
  <si>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</si>
  <si>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</si>
  <si>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</si>
  <si>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</si>
  <si>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</si>
  <si>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</si>
  <si>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</si>
  <si>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</si>
  <si>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</si>
  <si>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</si>
  <si>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</si>
  <si>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</si>
  <si>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</si>
  <si>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</si>
  <si>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</si>
  <si>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</si>
  <si>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</si>
  <si>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</si>
  <si>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</si>
  <si>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</si>
  <si>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</si>
  <si>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</si>
  <si>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</si>
  <si>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</si>
  <si>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</si>
  <si>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</si>
  <si>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</si>
  <si>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</si>
  <si>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</si>
  <si>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</si>
  <si>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</si>
  <si>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</si>
  <si>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</si>
  <si>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</si>
  <si>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</si>
  <si>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</si>
  <si>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</si>
  <si>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</si>
  <si>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</si>
  <si>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</si>
  <si>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</si>
  <si>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</si>
  <si>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</si>
  <si>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</si>
  <si>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</si>
  <si>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</si>
  <si>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</si>
  <si>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</si>
  <si>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</si>
  <si>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</si>
  <si>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</si>
  <si>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</si>
  <si>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</si>
  <si>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</si>
  <si>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</si>
  <si>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</si>
  <si>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</si>
  <si>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</si>
  <si>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</si>
  <si>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</si>
  <si>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</si>
  <si>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</si>
  <si>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</si>
  <si>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</si>
  <si>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</si>
  <si>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</si>
  <si>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</si>
  <si>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</si>
  <si>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</si>
  <si>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</si>
  <si>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</si>
  <si>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</si>
  <si>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</si>
  <si>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</si>
  <si>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</si>
  <si>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</si>
  <si>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</si>
  <si>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</si>
  <si>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</si>
  <si>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</si>
  <si>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</si>
  <si>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</si>
  <si>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</si>
  <si>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</si>
  <si>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</si>
  <si>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</si>
  <si>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</si>
  <si>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</si>
  <si>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</si>
  <si>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</si>
  <si>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</si>
  <si>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</si>
  <si>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</si>
  <si>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</si>
  <si>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</si>
  <si>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</si>
  <si>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</si>
  <si>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</si>
  <si>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</si>
  <si>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</si>
  <si>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</si>
  <si>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</si>
  <si>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</si>
  <si>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</si>
  <si>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</si>
  <si>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</si>
  <si>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</si>
  <si>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</si>
  <si>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</si>
  <si>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</si>
  <si>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</si>
  <si>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</si>
  <si>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</si>
  <si>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</si>
  <si>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</si>
  <si>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</si>
  <si>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</si>
  <si>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</si>
  <si>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</si>
  <si>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</si>
  <si>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</si>
  <si>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</si>
  <si>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</si>
  <si>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</si>
  <si>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</si>
  <si>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</si>
  <si>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</si>
  <si>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</si>
  <si>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</si>
  <si>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</si>
  <si>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</si>
  <si>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</si>
  <si>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</si>
  <si>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</si>
  <si>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</si>
  <si>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</si>
  <si>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</si>
  <si>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</si>
  <si>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</si>
  <si>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</si>
  <si>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</si>
  <si>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</si>
  <si>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</si>
  <si>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</si>
  <si>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</si>
  <si>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</si>
  <si>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</si>
  <si>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</si>
  <si>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</si>
  <si>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</si>
  <si>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</si>
  <si>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</si>
  <si>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</si>
  <si>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</si>
  <si>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</si>
  <si>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</si>
  <si>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</si>
  <si>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</si>
  <si>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</si>
  <si>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</si>
  <si>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</si>
  <si>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</si>
  <si>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</si>
  <si>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</si>
  <si>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</si>
  <si>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</si>
  <si>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</si>
  <si>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</si>
  <si>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</si>
  <si>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</si>
  <si>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</si>
  <si>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</si>
  <si>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</si>
  <si>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</si>
  <si>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</si>
  <si>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</si>
  <si>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</si>
  <si>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</si>
  <si>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</si>
  <si>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</si>
  <si>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</si>
  <si>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</si>
  <si>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</si>
  <si>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</si>
  <si>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</si>
  <si>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</si>
  <si>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</si>
  <si>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</si>
  <si>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</si>
  <si>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</si>
  <si>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</si>
  <si>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</si>
  <si>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</si>
  <si>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</si>
  <si>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</si>
  <si>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</si>
  <si>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</si>
  <si>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</si>
  <si>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</si>
  <si>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</si>
  <si>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</si>
  <si>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</si>
  <si>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</si>
  <si>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</si>
  <si>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</si>
  <si>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</si>
  <si>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</si>
  <si>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</si>
  <si>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</si>
  <si>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</si>
  <si>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</si>
  <si>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</si>
  <si>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</si>
  <si>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</si>
  <si>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</si>
  <si>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</si>
  <si>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</si>
  <si>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</si>
  <si>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</si>
  <si>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</si>
  <si>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</si>
  <si>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</si>
  <si>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</si>
  <si>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</si>
  <si>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</si>
  <si>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</si>
  <si>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</si>
  <si>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</si>
  <si>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</si>
  <si>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</si>
  <si>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</si>
  <si>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</si>
  <si>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</si>
  <si>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</si>
  <si>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</si>
  <si>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</si>
  <si>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</si>
  <si>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</si>
  <si>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</si>
  <si>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</si>
  <si>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</si>
  <si>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</si>
  <si>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</si>
  <si>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</si>
  <si>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</si>
  <si>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</si>
  <si>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</si>
  <si>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</si>
  <si>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</si>
  <si>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</si>
  <si>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</si>
  <si>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</si>
  <si>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</si>
  <si>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</si>
  <si>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</si>
  <si>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</si>
  <si>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</si>
  <si>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</si>
  <si>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</si>
  <si>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</si>
  <si>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</si>
  <si>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</si>
  <si>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</si>
  <si>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</si>
  <si>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</si>
  <si>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</si>
  <si>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</si>
  <si>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</si>
  <si>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</si>
  <si>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</si>
  <si>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</si>
  <si>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</si>
  <si>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</si>
  <si>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</si>
  <si>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</si>
  <si>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</si>
  <si>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</si>
  <si>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</si>
  <si>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</si>
  <si>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</si>
  <si>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</si>
  <si>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</si>
  <si>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</si>
  <si>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</si>
  <si>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</si>
  <si>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</si>
  <si>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</si>
  <si>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</si>
  <si>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</si>
  <si>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</si>
  <si>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</si>
  <si>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</si>
  <si>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</si>
  <si>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</si>
  <si>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</si>
  <si>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</si>
  <si>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</si>
  <si>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</si>
  <si>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</si>
  <si>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</si>
  <si>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</si>
  <si>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</si>
  <si>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</si>
  <si>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</si>
  <si>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</si>
  <si>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</si>
  <si>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</si>
  <si>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</si>
  <si>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</si>
  <si>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</si>
  <si>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</si>
  <si>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</si>
  <si>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</si>
  <si>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</si>
  <si>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</si>
  <si>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</si>
  <si>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</si>
  <si>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</si>
  <si>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</si>
  <si>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</si>
  <si>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</si>
  <si>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</si>
  <si>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</si>
  <si>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</si>
  <si>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</si>
  <si>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</si>
  <si>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</si>
  <si>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</si>
  <si>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</si>
  <si>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</si>
  <si>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</si>
  <si>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</si>
  <si>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</si>
  <si>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</si>
  <si>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</si>
  <si>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</si>
  <si>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</si>
  <si>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</si>
  <si>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</si>
  <si>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</si>
  <si>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</si>
  <si>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</si>
  <si>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</si>
  <si>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</si>
  <si>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</si>
  <si>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</si>
  <si>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</si>
  <si>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</si>
  <si>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</si>
  <si>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</si>
  <si>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</si>
  <si>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</si>
  <si>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</si>
  <si>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</si>
  <si>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</si>
  <si>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</si>
  <si>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</si>
  <si>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</si>
  <si>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</si>
  <si>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</si>
  <si>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</si>
  <si>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</si>
  <si>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</si>
  <si>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</si>
  <si>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</si>
  <si>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</si>
  <si>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</si>
  <si>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</si>
  <si>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</si>
  <si>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</si>
  <si>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</si>
  <si>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</si>
  <si>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</si>
  <si>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</si>
  <si>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</si>
  <si>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</si>
  <si>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</si>
  <si>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</si>
  <si>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</si>
  <si>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</si>
  <si>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</si>
  <si>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</si>
  <si>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</si>
  <si>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</si>
  <si>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</si>
  <si>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</si>
  <si>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</si>
  <si>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</si>
  <si>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</si>
  <si>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</si>
  <si>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</si>
  <si>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</si>
  <si>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</si>
  <si>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</si>
  <si>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</si>
  <si>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</si>
  <si>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</si>
  <si>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</si>
  <si>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</si>
  <si>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</si>
  <si>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</si>
  <si>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</si>
  <si>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</si>
  <si>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</si>
  <si>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</si>
  <si>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</si>
  <si>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</si>
  <si>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</si>
  <si>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</si>
  <si>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</si>
  <si>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</si>
  <si>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</si>
  <si>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</si>
  <si>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</si>
  <si>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</si>
  <si>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</si>
  <si>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</si>
  <si>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</si>
  <si>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</si>
  <si>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</si>
  <si>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</si>
  <si>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</si>
  <si>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</si>
  <si>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</si>
  <si>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</si>
  <si>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</si>
  <si>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</si>
  <si>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</si>
  <si>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</si>
  <si>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</si>
  <si>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</si>
  <si>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</si>
  <si>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</si>
  <si>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</si>
  <si>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</si>
  <si>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</si>
  <si>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</si>
  <si>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</si>
  <si>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</si>
  <si>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</si>
  <si>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</si>
  <si>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</si>
  <si>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</si>
  <si>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</si>
  <si>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</si>
  <si>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</si>
  <si>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</si>
  <si>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</si>
  <si>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</si>
  <si>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</si>
  <si>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</si>
  <si>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</si>
  <si>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</si>
  <si>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</si>
  <si>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</si>
  <si>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</si>
  <si>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</si>
  <si>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</si>
  <si>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</si>
  <si>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</si>
  <si>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</si>
  <si>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</si>
  <si>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</si>
  <si>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</si>
  <si>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</si>
  <si>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</si>
  <si>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</si>
  <si>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</si>
  <si>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</si>
  <si>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</si>
  <si>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</si>
  <si>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</si>
  <si>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</si>
  <si>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</si>
  <si>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</si>
  <si>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</si>
  <si>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</si>
  <si>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</si>
  <si>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</si>
  <si>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</si>
  <si>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</si>
  <si>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</si>
  <si>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</si>
  <si>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</si>
  <si>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</si>
  <si>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</si>
  <si>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</si>
  <si>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</si>
  <si>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</si>
  <si>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</si>
  <si>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</si>
  <si>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</si>
  <si>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</si>
  <si>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</si>
  <si>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</si>
  <si>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</si>
  <si>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</si>
  <si>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</si>
  <si>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</si>
  <si>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</si>
  <si>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</si>
  <si>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</si>
  <si>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</si>
  <si>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</si>
  <si>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</si>
  <si>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</si>
  <si>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</si>
  <si>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</si>
  <si>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</si>
  <si>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</si>
  <si>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</si>
  <si>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</si>
  <si>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</si>
  <si>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</si>
  <si>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</si>
  <si>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</si>
  <si>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</si>
  <si>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</si>
  <si>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</si>
  <si>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</si>
  <si>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</si>
  <si>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</si>
  <si>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</si>
  <si>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</si>
  <si>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</si>
  <si>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</si>
  <si>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</si>
  <si>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</si>
  <si>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</si>
  <si>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</si>
  <si>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</si>
  <si>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</si>
  <si>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</si>
  <si>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</si>
  <si>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</si>
  <si>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</si>
  <si>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</si>
  <si>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</si>
  <si>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</si>
  <si>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</si>
  <si>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</si>
  <si>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</si>
  <si>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</si>
  <si>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</si>
  <si>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</si>
  <si>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</si>
  <si>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</si>
  <si>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</si>
  <si>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</si>
  <si>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</si>
  <si>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</si>
  <si>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</si>
  <si>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</si>
  <si>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</si>
  <si>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</si>
  <si>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</si>
  <si>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</si>
  <si>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</si>
  <si>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</si>
  <si>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</si>
  <si>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</si>
  <si>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</si>
  <si>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</si>
  <si>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</si>
  <si>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</si>
  <si>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</si>
  <si>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</si>
  <si>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</si>
  <si>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</si>
  <si>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</si>
  <si>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</si>
  <si>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</si>
  <si>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</si>
  <si>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</si>
  <si>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</si>
  <si>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</si>
  <si>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</si>
  <si>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</si>
  <si>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</si>
  <si>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</si>
  <si>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</si>
  <si>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</si>
  <si>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</si>
  <si>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</si>
  <si>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</si>
  <si>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</si>
  <si>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</si>
  <si>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</si>
  <si>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</si>
  <si>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</si>
  <si>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</si>
  <si>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</si>
  <si>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</si>
  <si>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</si>
  <si>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</si>
  <si>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</si>
  <si>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</si>
  <si>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</si>
  <si>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</si>
  <si>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</si>
  <si>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</si>
  <si>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</si>
  <si>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</si>
  <si>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</si>
  <si>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</si>
  <si>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</si>
  <si>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</si>
  <si>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</si>
  <si>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</si>
  <si>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</si>
  <si>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</si>
  <si>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</si>
  <si>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</si>
  <si>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</si>
  <si>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</si>
  <si>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</si>
  <si>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</si>
  <si>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</si>
  <si>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</si>
  <si>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</si>
  <si>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</si>
  <si>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</si>
  <si>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</si>
  <si>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</si>
  <si>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</si>
  <si>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</si>
  <si>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</si>
  <si>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</si>
  <si>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</si>
  <si>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</si>
  <si>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</si>
  <si>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</si>
  <si>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</si>
  <si>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</si>
  <si>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</si>
  <si>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</si>
  <si>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</si>
  <si>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</si>
  <si>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</si>
  <si>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</si>
  <si>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</si>
  <si>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</si>
  <si>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</si>
  <si>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</si>
  <si>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</si>
  <si>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</si>
  <si>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</si>
  <si>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</si>
  <si>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</si>
  <si>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</si>
  <si>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</si>
  <si>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</si>
  <si>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</si>
  <si>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</si>
  <si>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</si>
  <si>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</si>
  <si>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</si>
  <si>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</si>
  <si>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</si>
  <si>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</si>
  <si>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</si>
  <si>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</si>
  <si>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</si>
  <si>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</si>
  <si>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</si>
  <si>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</si>
  <si>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</si>
  <si>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</si>
  <si>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</si>
  <si>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</si>
  <si>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</si>
  <si>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</si>
  <si>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</si>
  <si>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</si>
  <si>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</si>
  <si>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</si>
  <si>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</si>
  <si>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</si>
  <si>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</si>
  <si>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</si>
  <si>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</si>
  <si>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</si>
  <si>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</si>
  <si>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</si>
  <si>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</si>
  <si>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</si>
  <si>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</si>
  <si>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</si>
  <si>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</si>
  <si>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</si>
  <si>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</si>
  <si>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</si>
  <si>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</si>
  <si>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</si>
  <si>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</si>
  <si>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</si>
  <si>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</si>
  <si>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</si>
  <si>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</si>
  <si>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</si>
  <si>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</si>
  <si>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</si>
  <si>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</si>
  <si>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</si>
  <si>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</si>
  <si>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</si>
  <si>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</si>
  <si>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</si>
  <si>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</si>
  <si>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</si>
  <si>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</si>
  <si>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</si>
  <si>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</si>
  <si>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</si>
  <si>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</si>
  <si>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</si>
  <si>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</si>
  <si>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</si>
  <si>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</si>
  <si>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</si>
  <si>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</si>
  <si>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</si>
  <si>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</si>
  <si>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</si>
  <si>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</si>
  <si>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</si>
  <si>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</si>
  <si>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</si>
  <si>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</si>
  <si>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</si>
  <si>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</si>
  <si>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</si>
  <si>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</si>
  <si>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</si>
  <si>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</si>
  <si>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</si>
  <si>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</si>
  <si>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</si>
  <si>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</si>
  <si>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</si>
  <si>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</si>
  <si>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</si>
  <si>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</si>
  <si>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</si>
  <si>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</si>
  <si>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</si>
  <si>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</si>
  <si>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</si>
  <si>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</si>
  <si>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</si>
  <si>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</si>
  <si>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</si>
  <si>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</si>
  <si>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</si>
  <si>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</si>
  <si>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</si>
  <si>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</si>
  <si>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</si>
  <si>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</si>
  <si>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</si>
  <si>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</si>
  <si>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</si>
  <si>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</si>
  <si>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</si>
  <si>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</si>
  <si>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</si>
  <si>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</si>
  <si>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</si>
  <si>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</si>
  <si>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</si>
  <si>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</si>
  <si>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</si>
  <si>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</si>
  <si>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</si>
  <si>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</si>
  <si>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</si>
  <si>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</si>
  <si>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</si>
  <si>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</si>
  <si>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</si>
  <si>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</si>
  <si>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</si>
  <si>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</si>
  <si>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</si>
  <si>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</si>
  <si>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</si>
  <si>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</si>
  <si>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</si>
  <si>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</si>
  <si>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</si>
  <si>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</si>
  <si>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</si>
  <si>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</si>
  <si>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</si>
  <si>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</si>
  <si>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</si>
  <si>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</si>
  <si>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</si>
  <si>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</si>
  <si>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</si>
  <si>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</si>
  <si>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</si>
  <si>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</si>
  <si>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</si>
  <si>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</si>
  <si>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</si>
  <si>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</si>
  <si>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</si>
  <si>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</si>
  <si>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</si>
  <si>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</si>
  <si>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</si>
  <si>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</si>
  <si>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</si>
  <si>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</si>
  <si>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</si>
  <si>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</si>
  <si>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</si>
  <si>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</si>
  <si>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</si>
  <si>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</si>
  <si>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</si>
  <si>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</si>
  <si>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</si>
  <si>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</si>
  <si>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</si>
  <si>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</si>
  <si>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</si>
  <si>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</si>
  <si>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</si>
  <si>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</si>
  <si>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</si>
  <si>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</si>
  <si>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</si>
  <si>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</si>
  <si>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</si>
  <si>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</si>
  <si>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</si>
  <si>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</si>
  <si>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</si>
  <si>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</si>
  <si>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</si>
  <si>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</si>
  <si>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</si>
  <si>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</si>
  <si>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</si>
  <si>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</si>
  <si>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</si>
  <si>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</si>
  <si>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</si>
  <si>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</si>
  <si>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</si>
  <si>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</si>
  <si>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</si>
  <si>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</si>
  <si>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</si>
  <si>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</si>
  <si>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</si>
  <si>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</si>
  <si>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</si>
  <si>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</si>
  <si>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</si>
  <si>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</si>
  <si>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</si>
  <si>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</si>
  <si>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</si>
  <si>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</si>
  <si>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</si>
  <si>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</si>
  <si>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</si>
  <si>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</si>
  <si>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</si>
  <si>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</si>
  <si>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</si>
  <si>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</si>
  <si>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</si>
  <si>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</si>
  <si>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</si>
  <si>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</si>
  <si>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</si>
  <si>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</si>
  <si>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</si>
  <si>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</si>
  <si>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</si>
  <si>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</si>
  <si>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</si>
  <si>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</si>
  <si>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</si>
  <si>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</si>
  <si>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</si>
  <si>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</si>
  <si>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</si>
  <si>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</si>
  <si>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</si>
  <si>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</si>
  <si>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</si>
  <si>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</si>
  <si>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</si>
  <si>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</si>
  <si>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</si>
  <si>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</si>
  <si>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</si>
  <si>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</si>
  <si>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</si>
  <si>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</si>
  <si>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</si>
  <si>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</si>
  <si>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</si>
  <si>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</si>
  <si>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</si>
  <si>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</si>
  <si>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</si>
  <si>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</si>
  <si>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</si>
  <si>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</si>
  <si>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</si>
  <si>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</si>
  <si>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</si>
  <si>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</si>
  <si>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</si>
  <si>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</si>
  <si>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</si>
  <si>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</si>
  <si>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</si>
  <si>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</si>
  <si>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</si>
  <si>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</si>
  <si>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</si>
  <si>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</si>
  <si>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</si>
  <si>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</si>
  <si>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</si>
  <si>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</si>
  <si>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</si>
  <si>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</si>
  <si>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</si>
  <si>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</si>
  <si>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</si>
  <si>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</si>
  <si>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</si>
  <si>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</si>
  <si>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</si>
  <si>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</si>
  <si>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</si>
  <si>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</si>
  <si>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</si>
  <si>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</si>
  <si>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</si>
  <si>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</si>
  <si>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</si>
  <si>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</si>
  <si>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</si>
  <si>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</si>
  <si>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</si>
  <si>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</si>
  <si>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</si>
  <si>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</si>
  <si>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</si>
  <si>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</si>
  <si>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</si>
  <si>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</si>
  <si>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</si>
  <si>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</si>
  <si>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</si>
  <si>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</si>
  <si>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</si>
  <si>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</si>
  <si>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</si>
  <si>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</si>
  <si>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</si>
  <si>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</si>
  <si>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</si>
  <si>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</si>
  <si>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</si>
  <si>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</si>
  <si>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</si>
  <si>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</si>
  <si>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</si>
  <si>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</si>
  <si>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</si>
  <si>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</si>
  <si>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</si>
  <si>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</si>
  <si>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</si>
  <si>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</si>
  <si>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</si>
  <si>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</si>
  <si>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</si>
  <si>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</si>
  <si>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</si>
  <si>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</si>
  <si>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</si>
  <si>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</si>
  <si>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</si>
  <si>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</si>
  <si>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</si>
  <si>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</si>
  <si>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</si>
  <si>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</si>
  <si>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</si>
  <si>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</si>
  <si>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</si>
  <si>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</si>
  <si>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</si>
  <si>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</si>
  <si>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</si>
  <si>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</si>
  <si>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</si>
  <si>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</si>
  <si>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</si>
  <si>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</si>
  <si>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</si>
  <si>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</si>
  <si>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</si>
  <si>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</si>
  <si>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</si>
  <si>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</si>
  <si>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</si>
  <si>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</si>
  <si>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</si>
  <si>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</si>
  <si>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</si>
  <si>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</si>
  <si>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</si>
  <si>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</si>
  <si>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</si>
  <si>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</si>
  <si>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</si>
  <si>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</si>
  <si>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</si>
  <si>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</si>
  <si>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</si>
  <si>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</si>
  <si>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</si>
  <si>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</si>
  <si>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</si>
  <si>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</si>
  <si>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</si>
  <si>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</si>
  <si>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</si>
  <si>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</si>
  <si>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</si>
  <si>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</si>
  <si>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</si>
  <si>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</si>
  <si>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</si>
  <si>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</si>
  <si>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</si>
  <si>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</si>
  <si>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</si>
  <si>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</si>
  <si>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</si>
  <si>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</si>
  <si>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</si>
  <si>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</si>
  <si>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</si>
  <si>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</si>
  <si>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</si>
  <si>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</si>
  <si>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</si>
  <si>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</si>
  <si>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</si>
  <si>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</si>
  <si>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</si>
  <si>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</si>
  <si>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</si>
  <si>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</si>
  <si>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</si>
  <si>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</si>
  <si>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</si>
  <si>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</si>
  <si>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</si>
  <si>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</si>
  <si>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</si>
  <si>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</si>
  <si>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</si>
  <si>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</si>
  <si>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</si>
  <si>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</si>
  <si>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</si>
  <si>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</si>
  <si>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</si>
  <si>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</si>
  <si>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</si>
  <si>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</si>
  <si>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</si>
  <si>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</si>
  <si>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</si>
  <si>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</si>
  <si>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</si>
  <si>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</si>
  <si>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</si>
  <si>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</si>
  <si>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</si>
  <si>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</si>
  <si>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</si>
  <si>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</si>
  <si>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</si>
  <si>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</si>
  <si>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</si>
  <si>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</si>
  <si>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</si>
  <si>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</si>
  <si>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</si>
  <si>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</si>
  <si>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</si>
  <si>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</si>
  <si>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</si>
  <si>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</si>
  <si>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</si>
  <si>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</si>
  <si>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</si>
  <si>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</si>
  <si>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</si>
  <si>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</si>
  <si>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</si>
  <si>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</si>
  <si>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</si>
  <si>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</si>
  <si>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</si>
  <si>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</si>
  <si>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</si>
  <si>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</si>
  <si>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</si>
  <si>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</si>
  <si>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</si>
  <si>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</si>
  <si>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</si>
  <si>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</si>
  <si>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</si>
  <si>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</si>
  <si>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</si>
  <si>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</si>
  <si>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</si>
  <si>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</si>
  <si>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</si>
  <si>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</si>
  <si>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</si>
  <si>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</si>
  <si>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</si>
  <si>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</si>
  <si>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</si>
  <si>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</si>
  <si>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</si>
  <si>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</si>
  <si>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</si>
  <si>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</si>
  <si>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</si>
  <si>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</si>
  <si>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</si>
  <si>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</si>
  <si>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</si>
  <si>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</si>
  <si>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</si>
  <si>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</si>
  <si>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</si>
  <si>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</si>
  <si>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</si>
  <si>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</si>
  <si>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</si>
  <si>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</si>
  <si>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</si>
  <si>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</si>
  <si>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</si>
  <si>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</si>
  <si>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</si>
  <si>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</si>
  <si>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</si>
  <si>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</si>
  <si>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</si>
  <si>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</si>
  <si>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</si>
  <si>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</si>
  <si>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</si>
  <si>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</si>
  <si>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</si>
  <si>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</si>
  <si>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</si>
  <si>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</si>
  <si>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</si>
  <si>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</si>
  <si>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</si>
  <si>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</si>
  <si>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</si>
  <si>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</si>
  <si>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</si>
  <si>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</si>
  <si>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</si>
  <si>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</si>
  <si>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</si>
  <si>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</si>
  <si>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</si>
  <si>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</si>
  <si>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</si>
  <si>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</si>
  <si>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</si>
  <si>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</si>
  <si>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</si>
  <si>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</si>
  <si>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</si>
  <si>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</si>
  <si>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</si>
  <si>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</si>
  <si>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</si>
  <si>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</si>
  <si>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</si>
  <si>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</si>
  <si>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</si>
  <si>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</si>
  <si>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</si>
  <si>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</si>
  <si>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</si>
  <si>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</si>
  <si>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</si>
  <si>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</si>
  <si>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</si>
  <si>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</si>
  <si>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</si>
  <si>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</si>
  <si>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</si>
  <si>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</si>
  <si>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</si>
  <si>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</si>
  <si>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</si>
  <si>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</si>
  <si>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</si>
  <si>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</si>
  <si>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</si>
  <si>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</si>
  <si>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</si>
  <si>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</si>
  <si>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</si>
  <si>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</si>
  <si>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</si>
  <si>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</si>
  <si>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</si>
  <si>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</si>
  <si>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</si>
  <si>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</si>
  <si>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</si>
  <si>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</si>
  <si>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</si>
  <si>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</si>
  <si>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</si>
  <si>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</si>
  <si>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</si>
  <si>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</si>
  <si>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</si>
  <si>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</si>
  <si>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</si>
  <si>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</si>
  <si>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</si>
  <si>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</si>
  <si>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</si>
  <si>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</si>
  <si>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</si>
  <si>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</si>
  <si>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</si>
  <si>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</si>
  <si>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</si>
  <si>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</si>
  <si>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</si>
  <si>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</si>
  <si>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</si>
  <si>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</si>
  <si>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</si>
  <si>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</si>
  <si>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</si>
  <si>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</si>
  <si>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</si>
  <si>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</si>
  <si>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</si>
  <si>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</si>
  <si>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</si>
  <si>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</si>
  <si>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</si>
  <si>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</si>
  <si>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</si>
  <si>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</si>
  <si>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</si>
  <si>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</si>
  <si>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</si>
  <si>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</si>
  <si>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</si>
  <si>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</si>
  <si>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</si>
  <si>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</si>
  <si>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</si>
  <si>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</si>
  <si>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</si>
  <si>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</si>
  <si>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</si>
  <si>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</si>
  <si>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</si>
  <si>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</si>
  <si>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</si>
  <si>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</si>
  <si>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</si>
  <si>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</si>
  <si>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</si>
  <si>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</si>
  <si>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</si>
  <si>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</si>
  <si>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</si>
  <si>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</si>
  <si>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</si>
  <si>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</si>
  <si>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</si>
  <si>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</si>
  <si>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</si>
  <si>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</si>
  <si>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</si>
  <si>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</si>
  <si>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</si>
  <si>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</si>
  <si>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</si>
  <si>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</si>
  <si>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</si>
  <si>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</si>
  <si>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</si>
  <si>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</si>
  <si>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</si>
  <si>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</si>
  <si>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</si>
  <si>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</si>
  <si>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</si>
  <si>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</si>
  <si>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</si>
  <si>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</si>
  <si>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其他：</t>
  </si>
  <si>
    <t>企业</t>
  </si>
  <si>
    <t>坐落</t>
    <phoneticPr fontId="134" type="noConversion"/>
  </si>
  <si>
    <t>建筑面积</t>
  </si>
  <si>
    <t>建筑面积</t>
    <phoneticPr fontId="134" type="noConversion"/>
  </si>
  <si>
    <t>分摊土地面积</t>
    <phoneticPr fontId="134" type="noConversion"/>
  </si>
  <si>
    <t>楼层</t>
    <phoneticPr fontId="134" type="noConversion"/>
  </si>
  <si>
    <t>商业</t>
    <phoneticPr fontId="134" type="noConversion"/>
  </si>
  <si>
    <t>金融行政服务中心4号楼商场201</t>
    <phoneticPr fontId="134" type="noConversion"/>
  </si>
  <si>
    <t>金融行政服务中心4号楼商场301</t>
    <phoneticPr fontId="134" type="noConversion"/>
  </si>
  <si>
    <t>金融行政服务中心4号楼商场302</t>
    <phoneticPr fontId="134" type="noConversion"/>
  </si>
  <si>
    <t>终止日期</t>
    <phoneticPr fontId="134" type="noConversion"/>
  </si>
  <si>
    <t>金融行政服务中心5号楼商场202</t>
    <phoneticPr fontId="134" type="noConversion"/>
  </si>
  <si>
    <t>4号楼201</t>
  </si>
  <si>
    <t>4号楼201</t>
    <phoneticPr fontId="134" type="noConversion"/>
  </si>
  <si>
    <t>5号楼202</t>
    <phoneticPr fontId="134" type="noConversion"/>
  </si>
  <si>
    <t>4号楼301</t>
    <phoneticPr fontId="134" type="noConversion"/>
  </si>
  <si>
    <t>4号楼302</t>
    <phoneticPr fontId="134" type="noConversion"/>
  </si>
  <si>
    <t>是</t>
  </si>
  <si>
    <t>地上</t>
  </si>
  <si>
    <t>成新度</t>
  </si>
  <si>
    <t>成本法</t>
  </si>
  <si>
    <t>收益法</t>
  </si>
  <si>
    <t>押一</t>
  </si>
  <si>
    <t>钢混</t>
  </si>
  <si>
    <t>非生产用房</t>
  </si>
  <si>
    <t>楼层</t>
    <phoneticPr fontId="3" type="noConversion"/>
  </si>
  <si>
    <t>租金</t>
    <phoneticPr fontId="3" type="noConversion"/>
  </si>
  <si>
    <t>系数</t>
    <phoneticPr fontId="3" type="noConversion"/>
  </si>
  <si>
    <t>序号</t>
  </si>
  <si>
    <t>类型</t>
  </si>
  <si>
    <t>《房屋所有权证》</t>
  </si>
  <si>
    <t>证号</t>
  </si>
  <si>
    <t>《国有土地使用证》</t>
  </si>
  <si>
    <t>房屋坐落</t>
  </si>
  <si>
    <t>（㎡）</t>
  </si>
  <si>
    <t>评估价值</t>
  </si>
  <si>
    <t>（万元）</t>
  </si>
  <si>
    <t>房产</t>
  </si>
  <si>
    <t xml:space="preserve">安房权证城厢镇字 </t>
  </si>
  <si>
    <t xml:space="preserve">第 201601490 号 </t>
  </si>
  <si>
    <t xml:space="preserve">安国用（2016）第 </t>
  </si>
  <si>
    <t xml:space="preserve">0050418 号 </t>
  </si>
  <si>
    <t xml:space="preserve">福建省泉州市安溪县 </t>
  </si>
  <si>
    <t xml:space="preserve">城厢镇二环南路 1 号 </t>
  </si>
  <si>
    <t xml:space="preserve">金融行政服务中心 </t>
  </si>
  <si>
    <t xml:space="preserve">4 号楼商场 201 </t>
  </si>
  <si>
    <t>第 201601491 号</t>
  </si>
  <si>
    <t>0050419 号</t>
  </si>
  <si>
    <t xml:space="preserve">4 号楼商场 301 </t>
  </si>
  <si>
    <t>第 201601492 号</t>
  </si>
  <si>
    <t>0050420 号</t>
  </si>
  <si>
    <t xml:space="preserve">4 号楼商场 302 </t>
  </si>
  <si>
    <t>第 201601494 号</t>
  </si>
  <si>
    <t>0050422 号</t>
  </si>
  <si>
    <t xml:space="preserve">5 号楼商场 202 </t>
  </si>
  <si>
    <t>合计</t>
  </si>
  <si>
    <t>正常</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</si>
  <si>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</si>
  <si>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</si>
  <si>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</si>
  <si>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</si>
  <si>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</si>
  <si>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</si>
  <si>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</si>
  <si>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</si>
  <si>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</si>
  <si>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</si>
  <si>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</si>
  <si>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</si>
  <si>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</si>
  <si>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</si>
  <si>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</si>
  <si>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</si>
  <si>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</si>
  <si>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</si>
  <si>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</si>
  <si>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</si>
  <si>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金融行政服务中心C地块</t>
  </si>
  <si>
    <t>泉州市</t>
  </si>
  <si>
    <t>2011-15</t>
  </si>
  <si>
    <t>商业/办公用地</t>
  </si>
  <si>
    <t>≤3.3</t>
  </si>
  <si>
    <t>挂牌</t>
  </si>
  <si>
    <t/>
  </si>
  <si>
    <t>2011-06-07</t>
  </si>
  <si>
    <t>已成交</t>
  </si>
  <si>
    <t>安溪县小城镇建设投资有限公司</t>
  </si>
  <si>
    <t>金融行政服务中心A地块</t>
  </si>
  <si>
    <t>2011-14</t>
  </si>
  <si>
    <t>≤2.5</t>
  </si>
  <si>
    <t>地面价</t>
    <phoneticPr fontId="134" type="noConversion"/>
  </si>
  <si>
    <t>成交土地单价(元/㎡)</t>
  </si>
  <si>
    <t>成交每亩价(万元/亩)</t>
  </si>
  <si>
    <t>安溪县尚卿乡科名村中部SQ-B-01地块</t>
  </si>
  <si>
    <t>安2024-10</t>
  </si>
  <si>
    <t>1.000&lt;并且≤2.000</t>
  </si>
  <si>
    <t>拍卖</t>
  </si>
  <si>
    <t>2024-11-18</t>
  </si>
  <si>
    <t>2024-11-19</t>
  </si>
  <si>
    <t>福建三铁荟萃文旅发展有限公司</t>
  </si>
  <si>
    <t>2024-11-15 00:00</t>
  </si>
  <si>
    <t>安溪县尚卿乡科名村中部SQ-B-04地块</t>
  </si>
  <si>
    <t>安2024-11</t>
  </si>
  <si>
    <t>1.000&lt;并且≤1.500</t>
  </si>
  <si>
    <t>安溪县尚卿乡科名村中部SQ-B-06地块</t>
  </si>
  <si>
    <t>安2024-12</t>
  </si>
  <si>
    <t>安溪县参内镇学院路以北片区L-16地块</t>
  </si>
  <si>
    <t>安2024-7</t>
  </si>
  <si>
    <t>其他商业服务业用地</t>
  </si>
  <si>
    <t>1.000&lt;并且≤2.500</t>
  </si>
  <si>
    <t>2024-08-02</t>
  </si>
  <si>
    <t>福建省安溪瑞之星汽车销售服务有限公司</t>
  </si>
  <si>
    <t>2024-08-01 00:00</t>
  </si>
  <si>
    <t>安溪县参内镇学院路以北片区G-18地块</t>
  </si>
  <si>
    <t>安2024-3</t>
  </si>
  <si>
    <t>2024-07-11</t>
  </si>
  <si>
    <t>福建银领置业有限公司</t>
  </si>
  <si>
    <t>2024-07-10 00:00</t>
  </si>
  <si>
    <t>泉州白濑水利枢纽工程参内安置区SC地块</t>
  </si>
  <si>
    <t>安2023-8</t>
  </si>
  <si>
    <t>1.000&lt; 并且 ≤1.200</t>
  </si>
  <si>
    <t>2023-09-13</t>
  </si>
  <si>
    <t>福建安溪城市建设发展有限公司</t>
  </si>
  <si>
    <t>2023-09-12 00:00</t>
  </si>
  <si>
    <t>凤城镇</t>
  </si>
  <si>
    <t>安2023-7</t>
  </si>
  <si>
    <t>1.000&lt; 并且 ≤2.000</t>
  </si>
  <si>
    <t>2023-08-16</t>
  </si>
  <si>
    <t>许建平</t>
  </si>
  <si>
    <t>2023-08-15 00:00</t>
  </si>
  <si>
    <t>感德</t>
  </si>
  <si>
    <t>2022-15</t>
  </si>
  <si>
    <t>1.000&lt; 并且 ≤5.200</t>
  </si>
  <si>
    <t>2023-07-07</t>
  </si>
  <si>
    <t>安溪县感德供销合作社</t>
  </si>
  <si>
    <t>2023-07-06 00:00</t>
  </si>
  <si>
    <t>湖头镇湖滨商住区(A-02)地块</t>
  </si>
  <si>
    <t>安2023-5</t>
  </si>
  <si>
    <t>1.000&lt; 并且 ≤3.000</t>
  </si>
  <si>
    <t>2023-07-13</t>
  </si>
  <si>
    <t>李平油</t>
  </si>
  <si>
    <t>2023-07-11 00:00</t>
  </si>
  <si>
    <t>蓝田乡</t>
  </si>
  <si>
    <t>2023-2</t>
  </si>
  <si>
    <t>商务金融用地</t>
  </si>
  <si>
    <t>大于0并且小于或等于2.2</t>
  </si>
  <si>
    <t>2023-05-05</t>
  </si>
  <si>
    <t>安溪县蓝田商会</t>
  </si>
  <si>
    <t>2023-05-04 17:00</t>
  </si>
  <si>
    <t>感德镇B-16地块</t>
  </si>
  <si>
    <t>2023-1</t>
  </si>
  <si>
    <t>大于1并且小于或等于1.8</t>
  </si>
  <si>
    <t>2023-02-08</t>
  </si>
  <si>
    <t>安溪新德投资有限公司</t>
  </si>
  <si>
    <t>2023-02-06 17:00</t>
  </si>
  <si>
    <t>湖头镇光电A-38地块</t>
  </si>
  <si>
    <t>2022-4</t>
  </si>
  <si>
    <t>大于1并且小于或等于2.5</t>
  </si>
  <si>
    <t>2022-06-08</t>
  </si>
  <si>
    <t>福建四美投资开发有限公司</t>
  </si>
  <si>
    <t>2022-06-06 17:00</t>
  </si>
  <si>
    <t>安溪县350524-CQ-B-51地块</t>
  </si>
  <si>
    <t>2022-2</t>
  </si>
  <si>
    <t>大于1并且小于或等于2.8</t>
  </si>
  <si>
    <t>2022-05-11</t>
  </si>
  <si>
    <t>王美镇</t>
  </si>
  <si>
    <t>2022-05-10 17:00</t>
  </si>
  <si>
    <t>西坪镇</t>
  </si>
  <si>
    <t>2021-12</t>
  </si>
  <si>
    <t>大于1并且小于或等于2.9</t>
  </si>
  <si>
    <t>2022-02-16</t>
  </si>
  <si>
    <t>陈志东</t>
  </si>
  <si>
    <t>2022-02-15 17:00</t>
  </si>
  <si>
    <t>参洋片区L-07-18地块</t>
  </si>
  <si>
    <t>2021-10</t>
  </si>
  <si>
    <t>大于0并且小于或等于2.5</t>
  </si>
  <si>
    <t>2021-12-02</t>
  </si>
  <si>
    <t>林炳灿</t>
  </si>
  <si>
    <t>2021-11-30 17:00</t>
  </si>
  <si>
    <t>未包含在土地购买价格中</t>
  </si>
  <si>
    <t>全部缴纳</t>
  </si>
  <si>
    <t>已包含在土地取得成本中</t>
  </si>
  <si>
    <t>现房</t>
  </si>
  <si>
    <t>项目局部</t>
  </si>
  <si>
    <t>楼面地价</t>
  </si>
  <si>
    <t xml:space="preserve">福建省泉州市安溪县 </t>
    <phoneticPr fontId="134" type="noConversion"/>
  </si>
  <si>
    <t xml:space="preserve">城厢镇二环南路 1 号 </t>
    <phoneticPr fontId="134" type="noConversion"/>
  </si>
  <si>
    <t xml:space="preserve">金融行政服务中心 </t>
    <phoneticPr fontId="134" type="noConversion"/>
  </si>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</sst>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0" fillId="0" borderId="0" xfId="0" applyNumberFormat="1">
      <alignment vertical="center"/>
    </xf>
    <xf numFmtId="0" fontId="270" fillId="0" borderId="0" xfId="0" applyFont="1">
      <alignment vertical="center"/>
    </xf>
    <xf numFmtId="0" fontId="77" fillId="12" borderId="0" xfId="0" applyFont="1" applyFill="1" applyProtection="1">
      <alignment vertical="center"/>
      <protection locked="0"/>
    </xf>
    <xf numFmtId="0" fontId="122" fillId="0" borderId="31" xfId="0" applyFont="1" applyBorder="1" applyAlignment="1">
      <alignment horizontal="center" vertical="center" wrapText="1"/>
    </xf>
    <xf numFmtId="0" fontId="163" fillId="0" borderId="31" xfId="0" applyFont="1" applyBorder="1" applyAlignment="1">
      <alignment horizontal="center" vertical="center" wrapText="1"/>
    </xf>
    <xf numFmtId="0" fontId="163" fillId="0" borderId="43" xfId="0" applyFont="1" applyBorder="1" applyAlignment="1">
      <alignment horizontal="center" vertical="center" wrapText="1"/>
    </xf>
    <xf numFmtId="0" fontId="122" fillId="0" borderId="43" xfId="0" applyFont="1" applyBorder="1" applyAlignment="1">
      <alignment horizontal="center" vertical="center" wrapText="1"/>
    </xf>
    <xf numFmtId="0" fontId="163" fillId="0" borderId="56" xfId="0" applyFont="1" applyBorder="1" applyAlignment="1">
      <alignment horizontal="center" vertical="center" wrapText="1"/>
    </xf>
    <xf numFmtId="0" fontId="0" fillId="0" borderId="56" xfId="0" applyBorder="1" applyAlignment="1">
      <alignment vertical="center" wrapText="1"/>
    </xf>
    <xf numFmtId="0" fontId="0" fillId="0" borderId="43" xfId="0" applyBorder="1" applyAlignment="1">
      <alignment vertical="center" wrapText="1"/>
    </xf>
    <xf numFmtId="0" fontId="122" fillId="0" borderId="81" xfId="0" applyFont="1" applyBorder="1" applyAlignment="1">
      <alignment horizontal="center" vertical="center" wrapText="1"/>
    </xf>
    <xf numFmtId="0" fontId="122" fillId="0" borderId="27" xfId="0" applyFont="1" applyBorder="1" applyAlignment="1">
      <alignment horizontal="center" vertical="center" wrapText="1"/>
    </xf>
    <xf numFmtId="0" fontId="122" fillId="0" borderId="81" xfId="0" applyFont="1" applyBorder="1" applyAlignment="1">
      <alignment horizontal="center" vertical="center" wrapText="1"/>
    </xf>
    <xf numFmtId="0" fontId="122" fillId="0" borderId="80" xfId="0" applyFont="1" applyBorder="1" applyAlignment="1">
      <alignment horizontal="center" vertical="center" wrapText="1"/>
    </xf>
    <xf numFmtId="0" fontId="163" fillId="0" borderId="27" xfId="0" applyFont="1" applyBorder="1" applyAlignment="1">
      <alignment horizontal="center" vertical="center" wrapText="1"/>
    </xf>
    <xf numFmtId="0" fontId="163" fillId="0" borderId="80" xfId="0" applyFont="1" applyBorder="1" applyAlignment="1">
      <alignment horizontal="center" vertical="center" wrapText="1"/>
    </xf>
    <xf numFmtId="0" fontId="163" fillId="0" borderId="81" xfId="0" applyFont="1" applyBorder="1" applyAlignment="1">
      <alignment horizontal="center" vertical="center" wrapText="1"/>
    </xf>
    <xf numFmtId="0" fontId="271" fillId="0" borderId="0" xfId="19"/>
    <xf numFmtId="0" fontId="271" fillId="9" borderId="0" xfId="19" applyFill="1"/>
    <xf numFmtId="0" fontId="0" fillId="9" borderId="0" xfId="0" applyFill="1">
      <alignment vertical="center"/>
    </xf>
    <xf numFmtId="0" fontId="271" fillId="5" borderId="0" xfId="19" applyFill="1"/>
    <xf numFmtId="0" fontId="0" fillId="5" borderId="0" xfId="0" applyFill="1">
      <alignment vertical="center"/>
    </xf>
  </cellXfs>
  <cellStyles count="20">
    <cellStyle name="百分比" xfId="17" builtinId="5"/>
    <cellStyle name="百分比 2" xfId="14" xr:uid="{00000000-0005-0000-0000-000001000000}"/>
    <cellStyle name="常规" xfId="0" builtinId="0"/>
    <cellStyle name="常规 10" xfId="19" xr:uid="{979608FF-4EC2-44AF-8A20-701FDB16A58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95250</xdr:rowOff>
    </xdr:from>
    <xdr:to>
      <xdr:col>7</xdr:col>
      <xdr:colOff>132533</xdr:colOff>
      <xdr:row>44</xdr:row>
      <xdr:rowOff>18332</xdr:rowOff>
    </xdr:to>
    <xdr:pic>
      <xdr:nvPicPr>
        <xdr:cNvPr id="2" name="图片 1">
          <a:extLst>
            <a:ext uri="{FF2B5EF4-FFF2-40B4-BE49-F238E27FC236}">
              <a16:creationId xmlns:a16="http://schemas.microsoft.com/office/drawing/2014/main" id="{224077E5-988E-8475-6E06-B5564FF9E471}"/>
            </a:ext>
          </a:extLst>
        </xdr:cNvPr>
        <xdr:cNvPicPr>
          <a:picLocks noChangeAspect="1"/>
        </xdr:cNvPicPr>
      </xdr:nvPicPr>
      <xdr:blipFill>
        <a:blip xmlns:r="http://schemas.openxmlformats.org/officeDocument/2006/relationships" r:embed="rId1"/>
        <a:stretch>
          <a:fillRect/>
        </a:stretch>
      </xdr:blipFill>
      <xdr:spPr>
        <a:xfrm>
          <a:off x="0" y="2667000"/>
          <a:ext cx="6533333" cy="5742857"/>
        </a:xfrm>
        <a:prstGeom prst="rect">
          <a:avLst/>
        </a:prstGeom>
      </xdr:spPr>
    </xdr:pic>
    <xdr:clientData/>
  </xdr:twoCellAnchor>
  <xdr:twoCellAnchor editAs="oneCell">
    <xdr:from>
      <xdr:col>7</xdr:col>
      <xdr:colOff>685800</xdr:colOff>
      <xdr:row>24</xdr:row>
      <xdr:rowOff>85725</xdr:rowOff>
    </xdr:from>
    <xdr:to>
      <xdr:col>24</xdr:col>
      <xdr:colOff>389090</xdr:colOff>
      <xdr:row>54</xdr:row>
      <xdr:rowOff>8892</xdr:rowOff>
    </xdr:to>
    <xdr:pic>
      <xdr:nvPicPr>
        <xdr:cNvPr id="3" name="图片 2">
          <a:extLst>
            <a:ext uri="{FF2B5EF4-FFF2-40B4-BE49-F238E27FC236}">
              <a16:creationId xmlns:a16="http://schemas.microsoft.com/office/drawing/2014/main" id="{5379FED9-8A4F-6AEA-E01B-623C5471CD89}"/>
            </a:ext>
          </a:extLst>
        </xdr:cNvPr>
        <xdr:cNvPicPr>
          <a:picLocks noChangeAspect="1"/>
        </xdr:cNvPicPr>
      </xdr:nvPicPr>
      <xdr:blipFill>
        <a:blip xmlns:r="http://schemas.openxmlformats.org/officeDocument/2006/relationships" r:embed="rId2"/>
        <a:stretch>
          <a:fillRect/>
        </a:stretch>
      </xdr:blipFill>
      <xdr:spPr>
        <a:xfrm>
          <a:off x="7086600" y="7134225"/>
          <a:ext cx="11476190" cy="5066667"/>
        </a:xfrm>
        <a:prstGeom prst="rect">
          <a:avLst/>
        </a:prstGeom>
      </xdr:spPr>
    </xdr:pic>
    <xdr:clientData/>
  </xdr:twoCellAnchor>
  <xdr:twoCellAnchor editAs="oneCell">
    <xdr:from>
      <xdr:col>0</xdr:col>
      <xdr:colOff>0</xdr:colOff>
      <xdr:row>78</xdr:row>
      <xdr:rowOff>133350</xdr:rowOff>
    </xdr:from>
    <xdr:to>
      <xdr:col>9</xdr:col>
      <xdr:colOff>522824</xdr:colOff>
      <xdr:row>107</xdr:row>
      <xdr:rowOff>94633</xdr:rowOff>
    </xdr:to>
    <xdr:pic>
      <xdr:nvPicPr>
        <xdr:cNvPr id="4" name="图片 3">
          <a:extLst>
            <a:ext uri="{FF2B5EF4-FFF2-40B4-BE49-F238E27FC236}">
              <a16:creationId xmlns:a16="http://schemas.microsoft.com/office/drawing/2014/main" id="{A3BDC00F-C2A8-FE4D-8F06-3D7638BDA5CD}"/>
            </a:ext>
          </a:extLst>
        </xdr:cNvPr>
        <xdr:cNvPicPr>
          <a:picLocks noChangeAspect="1"/>
        </xdr:cNvPicPr>
      </xdr:nvPicPr>
      <xdr:blipFill>
        <a:blip xmlns:r="http://schemas.openxmlformats.org/officeDocument/2006/relationships" r:embed="rId3"/>
        <a:stretch>
          <a:fillRect/>
        </a:stretch>
      </xdr:blipFill>
      <xdr:spPr>
        <a:xfrm>
          <a:off x="0" y="13506450"/>
          <a:ext cx="8409524" cy="4933333"/>
        </a:xfrm>
        <a:prstGeom prst="rect">
          <a:avLst/>
        </a:prstGeom>
      </xdr:spPr>
    </xdr:pic>
    <xdr:clientData/>
  </xdr:twoCellAnchor>
  <xdr:twoCellAnchor editAs="oneCell">
    <xdr:from>
      <xdr:col>10</xdr:col>
      <xdr:colOff>38100</xdr:colOff>
      <xdr:row>47</xdr:row>
      <xdr:rowOff>66675</xdr:rowOff>
    </xdr:from>
    <xdr:to>
      <xdr:col>23</xdr:col>
      <xdr:colOff>275081</xdr:colOff>
      <xdr:row>85</xdr:row>
      <xdr:rowOff>75384</xdr:rowOff>
    </xdr:to>
    <xdr:pic>
      <xdr:nvPicPr>
        <xdr:cNvPr id="5" name="图片 4">
          <a:extLst>
            <a:ext uri="{FF2B5EF4-FFF2-40B4-BE49-F238E27FC236}">
              <a16:creationId xmlns:a16="http://schemas.microsoft.com/office/drawing/2014/main" id="{23E0D2BF-63AA-7B6D-0B53-195C2E3DB264}"/>
            </a:ext>
          </a:extLst>
        </xdr:cNvPr>
        <xdr:cNvPicPr>
          <a:picLocks noChangeAspect="1"/>
        </xdr:cNvPicPr>
      </xdr:nvPicPr>
      <xdr:blipFill>
        <a:blip xmlns:r="http://schemas.openxmlformats.org/officeDocument/2006/relationships" r:embed="rId4"/>
        <a:stretch>
          <a:fillRect/>
        </a:stretch>
      </xdr:blipFill>
      <xdr:spPr>
        <a:xfrm>
          <a:off x="8610600" y="8124825"/>
          <a:ext cx="9152381" cy="6523809"/>
        </a:xfrm>
        <a:prstGeom prst="rect">
          <a:avLst/>
        </a:prstGeom>
      </xdr:spPr>
    </xdr:pic>
    <xdr:clientData/>
  </xdr:twoCellAnchor>
  <xdr:twoCellAnchor editAs="oneCell">
    <xdr:from>
      <xdr:col>0</xdr:col>
      <xdr:colOff>1</xdr:colOff>
      <xdr:row>46</xdr:row>
      <xdr:rowOff>85726</xdr:rowOff>
    </xdr:from>
    <xdr:to>
      <xdr:col>9</xdr:col>
      <xdr:colOff>371417</xdr:colOff>
      <xdr:row>78</xdr:row>
      <xdr:rowOff>9526</xdr:rowOff>
    </xdr:to>
    <xdr:pic>
      <xdr:nvPicPr>
        <xdr:cNvPr id="6" name="图片 5">
          <a:extLst>
            <a:ext uri="{FF2B5EF4-FFF2-40B4-BE49-F238E27FC236}">
              <a16:creationId xmlns:a16="http://schemas.microsoft.com/office/drawing/2014/main" id="{314ACB00-B069-094B-6D3B-CC76B2319C5C}"/>
            </a:ext>
          </a:extLst>
        </xdr:cNvPr>
        <xdr:cNvPicPr>
          <a:picLocks noChangeAspect="1"/>
        </xdr:cNvPicPr>
      </xdr:nvPicPr>
      <xdr:blipFill>
        <a:blip xmlns:r="http://schemas.openxmlformats.org/officeDocument/2006/relationships" r:embed="rId5"/>
        <a:stretch>
          <a:fillRect/>
        </a:stretch>
      </xdr:blipFill>
      <xdr:spPr>
        <a:xfrm>
          <a:off x="1" y="7972426"/>
          <a:ext cx="8258116" cy="541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7</xdr:col>
      <xdr:colOff>646839</xdr:colOff>
      <xdr:row>53</xdr:row>
      <xdr:rowOff>94638</xdr:rowOff>
    </xdr:to>
    <xdr:pic>
      <xdr:nvPicPr>
        <xdr:cNvPr id="3" name="图片 2">
          <a:extLst>
            <a:ext uri="{FF2B5EF4-FFF2-40B4-BE49-F238E27FC236}">
              <a16:creationId xmlns:a16="http://schemas.microsoft.com/office/drawing/2014/main" id="{12DA9DF5-8C08-060E-D992-084669F494F3}"/>
            </a:ext>
          </a:extLst>
        </xdr:cNvPr>
        <xdr:cNvPicPr>
          <a:picLocks noChangeAspect="1"/>
        </xdr:cNvPicPr>
      </xdr:nvPicPr>
      <xdr:blipFill>
        <a:blip xmlns:r="http://schemas.openxmlformats.org/officeDocument/2006/relationships" r:embed="rId1"/>
        <a:stretch>
          <a:fillRect/>
        </a:stretch>
      </xdr:blipFill>
      <xdr:spPr>
        <a:xfrm>
          <a:off x="0" y="4467225"/>
          <a:ext cx="6885714" cy="4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133350</xdr:colOff>
      <xdr:row>33</xdr:row>
      <xdr:rowOff>6389</xdr:rowOff>
    </xdr:to>
    <xdr:pic>
      <xdr:nvPicPr>
        <xdr:cNvPr id="2" name="图片 1">
          <a:extLst>
            <a:ext uri="{FF2B5EF4-FFF2-40B4-BE49-F238E27FC236}">
              <a16:creationId xmlns:a16="http://schemas.microsoft.com/office/drawing/2014/main" id="{D15C47AE-A480-D31C-3D28-D3CA1B9EA9E2}"/>
            </a:ext>
          </a:extLst>
        </xdr:cNvPr>
        <xdr:cNvPicPr>
          <a:picLocks noChangeAspect="1"/>
        </xdr:cNvPicPr>
      </xdr:nvPicPr>
      <xdr:blipFill>
        <a:blip xmlns:r="http://schemas.openxmlformats.org/officeDocument/2006/relationships" r:embed="rId1"/>
        <a:stretch>
          <a:fillRect/>
        </a:stretch>
      </xdr:blipFill>
      <xdr:spPr>
        <a:xfrm>
          <a:off x="0" y="0"/>
          <a:ext cx="7677150" cy="5664239"/>
        </a:xfrm>
        <a:prstGeom prst="rect">
          <a:avLst/>
        </a:prstGeom>
      </xdr:spPr>
    </xdr:pic>
    <xdr:clientData/>
  </xdr:twoCellAnchor>
  <xdr:twoCellAnchor editAs="oneCell">
    <xdr:from>
      <xdr:col>0</xdr:col>
      <xdr:colOff>0</xdr:colOff>
      <xdr:row>33</xdr:row>
      <xdr:rowOff>114300</xdr:rowOff>
    </xdr:from>
    <xdr:to>
      <xdr:col>13</xdr:col>
      <xdr:colOff>522695</xdr:colOff>
      <xdr:row>64</xdr:row>
      <xdr:rowOff>66017</xdr:rowOff>
    </xdr:to>
    <xdr:pic>
      <xdr:nvPicPr>
        <xdr:cNvPr id="3" name="图片 2">
          <a:extLst>
            <a:ext uri="{FF2B5EF4-FFF2-40B4-BE49-F238E27FC236}">
              <a16:creationId xmlns:a16="http://schemas.microsoft.com/office/drawing/2014/main" id="{A104AEF3-C069-6A60-7318-01431F5CE8A1}"/>
            </a:ext>
          </a:extLst>
        </xdr:cNvPr>
        <xdr:cNvPicPr>
          <a:picLocks noChangeAspect="1"/>
        </xdr:cNvPicPr>
      </xdr:nvPicPr>
      <xdr:blipFill>
        <a:blip xmlns:r="http://schemas.openxmlformats.org/officeDocument/2006/relationships" r:embed="rId2"/>
        <a:stretch>
          <a:fillRect/>
        </a:stretch>
      </xdr:blipFill>
      <xdr:spPr>
        <a:xfrm>
          <a:off x="0" y="5772150"/>
          <a:ext cx="9438095" cy="5266667"/>
        </a:xfrm>
        <a:prstGeom prst="rect">
          <a:avLst/>
        </a:prstGeom>
      </xdr:spPr>
    </xdr:pic>
    <xdr:clientData/>
  </xdr:twoCellAnchor>
  <xdr:twoCellAnchor editAs="oneCell">
    <xdr:from>
      <xdr:col>17</xdr:col>
      <xdr:colOff>536864</xdr:colOff>
      <xdr:row>0</xdr:row>
      <xdr:rowOff>0</xdr:rowOff>
    </xdr:from>
    <xdr:to>
      <xdr:col>30</xdr:col>
      <xdr:colOff>328823</xdr:colOff>
      <xdr:row>42</xdr:row>
      <xdr:rowOff>75290</xdr:rowOff>
    </xdr:to>
    <xdr:pic>
      <xdr:nvPicPr>
        <xdr:cNvPr id="4" name="图片 3">
          <a:extLst>
            <a:ext uri="{FF2B5EF4-FFF2-40B4-BE49-F238E27FC236}">
              <a16:creationId xmlns:a16="http://schemas.microsoft.com/office/drawing/2014/main" id="{BC724AFB-73BC-3699-39A5-5A81777E5A3D}"/>
            </a:ext>
          </a:extLst>
        </xdr:cNvPr>
        <xdr:cNvPicPr>
          <a:picLocks noChangeAspect="1"/>
        </xdr:cNvPicPr>
      </xdr:nvPicPr>
      <xdr:blipFill>
        <a:blip xmlns:r="http://schemas.openxmlformats.org/officeDocument/2006/relationships" r:embed="rId3"/>
        <a:stretch>
          <a:fillRect/>
        </a:stretch>
      </xdr:blipFill>
      <xdr:spPr>
        <a:xfrm>
          <a:off x="12313228" y="0"/>
          <a:ext cx="8797413" cy="7348926"/>
        </a:xfrm>
        <a:prstGeom prst="rect">
          <a:avLst/>
        </a:prstGeom>
      </xdr:spPr>
    </xdr:pic>
    <xdr:clientData/>
  </xdr:twoCellAnchor>
  <xdr:twoCellAnchor editAs="oneCell">
    <xdr:from>
      <xdr:col>0</xdr:col>
      <xdr:colOff>0</xdr:colOff>
      <xdr:row>65</xdr:row>
      <xdr:rowOff>19050</xdr:rowOff>
    </xdr:from>
    <xdr:to>
      <xdr:col>16</xdr:col>
      <xdr:colOff>389105</xdr:colOff>
      <xdr:row>95</xdr:row>
      <xdr:rowOff>142217</xdr:rowOff>
    </xdr:to>
    <xdr:pic>
      <xdr:nvPicPr>
        <xdr:cNvPr id="5" name="图片 4">
          <a:extLst>
            <a:ext uri="{FF2B5EF4-FFF2-40B4-BE49-F238E27FC236}">
              <a16:creationId xmlns:a16="http://schemas.microsoft.com/office/drawing/2014/main" id="{E7C9A7BA-FC85-2508-696E-AF62438519D2}"/>
            </a:ext>
          </a:extLst>
        </xdr:cNvPr>
        <xdr:cNvPicPr>
          <a:picLocks noChangeAspect="1"/>
        </xdr:cNvPicPr>
      </xdr:nvPicPr>
      <xdr:blipFill>
        <a:blip xmlns:r="http://schemas.openxmlformats.org/officeDocument/2006/relationships" r:embed="rId4"/>
        <a:stretch>
          <a:fillRect/>
        </a:stretch>
      </xdr:blipFill>
      <xdr:spPr>
        <a:xfrm>
          <a:off x="0" y="11163300"/>
          <a:ext cx="11361905" cy="5266667"/>
        </a:xfrm>
        <a:prstGeom prst="rect">
          <a:avLst/>
        </a:prstGeom>
      </xdr:spPr>
    </xdr:pic>
    <xdr:clientData/>
  </xdr:twoCellAnchor>
  <xdr:twoCellAnchor editAs="oneCell">
    <xdr:from>
      <xdr:col>17</xdr:col>
      <xdr:colOff>606136</xdr:colOff>
      <xdr:row>43</xdr:row>
      <xdr:rowOff>86591</xdr:rowOff>
    </xdr:from>
    <xdr:to>
      <xdr:col>30</xdr:col>
      <xdr:colOff>181634</xdr:colOff>
      <xdr:row>90</xdr:row>
      <xdr:rowOff>23235</xdr:rowOff>
    </xdr:to>
    <xdr:pic>
      <xdr:nvPicPr>
        <xdr:cNvPr id="6" name="图片 5">
          <a:extLst>
            <a:ext uri="{FF2B5EF4-FFF2-40B4-BE49-F238E27FC236}">
              <a16:creationId xmlns:a16="http://schemas.microsoft.com/office/drawing/2014/main" id="{50EC3963-D361-8E9D-3209-CFCA92C7EAB4}"/>
            </a:ext>
          </a:extLst>
        </xdr:cNvPr>
        <xdr:cNvPicPr>
          <a:picLocks noChangeAspect="1"/>
        </xdr:cNvPicPr>
      </xdr:nvPicPr>
      <xdr:blipFill>
        <a:blip xmlns:r="http://schemas.openxmlformats.org/officeDocument/2006/relationships" r:embed="rId5"/>
        <a:stretch>
          <a:fillRect/>
        </a:stretch>
      </xdr:blipFill>
      <xdr:spPr>
        <a:xfrm>
          <a:off x="12382500" y="7533409"/>
          <a:ext cx="8580952" cy="8076190"/>
        </a:xfrm>
        <a:prstGeom prst="rect">
          <a:avLst/>
        </a:prstGeom>
      </xdr:spPr>
    </xdr:pic>
    <xdr:clientData/>
  </xdr:twoCellAnchor>
  <xdr:twoCellAnchor editAs="oneCell">
    <xdr:from>
      <xdr:col>32</xdr:col>
      <xdr:colOff>34636</xdr:colOff>
      <xdr:row>0</xdr:row>
      <xdr:rowOff>0</xdr:rowOff>
    </xdr:from>
    <xdr:to>
      <xdr:col>45</xdr:col>
      <xdr:colOff>486325</xdr:colOff>
      <xdr:row>30</xdr:row>
      <xdr:rowOff>128354</xdr:rowOff>
    </xdr:to>
    <xdr:pic>
      <xdr:nvPicPr>
        <xdr:cNvPr id="7" name="图片 6">
          <a:extLst>
            <a:ext uri="{FF2B5EF4-FFF2-40B4-BE49-F238E27FC236}">
              <a16:creationId xmlns:a16="http://schemas.microsoft.com/office/drawing/2014/main" id="{DE86FDFB-AF0B-3A59-0ED7-2CD4835FA7D5}"/>
            </a:ext>
          </a:extLst>
        </xdr:cNvPr>
        <xdr:cNvPicPr>
          <a:picLocks noChangeAspect="1"/>
        </xdr:cNvPicPr>
      </xdr:nvPicPr>
      <xdr:blipFill>
        <a:blip xmlns:r="http://schemas.openxmlformats.org/officeDocument/2006/relationships" r:embed="rId6"/>
        <a:stretch>
          <a:fillRect/>
        </a:stretch>
      </xdr:blipFill>
      <xdr:spPr>
        <a:xfrm>
          <a:off x="22201909" y="0"/>
          <a:ext cx="9457143" cy="5323809"/>
        </a:xfrm>
        <a:prstGeom prst="rect">
          <a:avLst/>
        </a:prstGeom>
      </xdr:spPr>
    </xdr:pic>
    <xdr:clientData/>
  </xdr:twoCellAnchor>
  <xdr:twoCellAnchor editAs="oneCell">
    <xdr:from>
      <xdr:col>32</xdr:col>
      <xdr:colOff>242455</xdr:colOff>
      <xdr:row>30</xdr:row>
      <xdr:rowOff>155863</xdr:rowOff>
    </xdr:from>
    <xdr:to>
      <xdr:col>45</xdr:col>
      <xdr:colOff>484620</xdr:colOff>
      <xdr:row>71</xdr:row>
      <xdr:rowOff>45885</xdr:rowOff>
    </xdr:to>
    <xdr:pic>
      <xdr:nvPicPr>
        <xdr:cNvPr id="8" name="图片 7">
          <a:extLst>
            <a:ext uri="{FF2B5EF4-FFF2-40B4-BE49-F238E27FC236}">
              <a16:creationId xmlns:a16="http://schemas.microsoft.com/office/drawing/2014/main" id="{7F4E041B-2B70-CAFC-69FD-09FD351E9860}"/>
            </a:ext>
          </a:extLst>
        </xdr:cNvPr>
        <xdr:cNvPicPr>
          <a:picLocks noChangeAspect="1"/>
        </xdr:cNvPicPr>
      </xdr:nvPicPr>
      <xdr:blipFill>
        <a:blip xmlns:r="http://schemas.openxmlformats.org/officeDocument/2006/relationships" r:embed="rId7"/>
        <a:stretch>
          <a:fillRect/>
        </a:stretch>
      </xdr:blipFill>
      <xdr:spPr>
        <a:xfrm>
          <a:off x="22409728" y="5351318"/>
          <a:ext cx="9247619" cy="6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估价对象为房地产，为所有。根据《国有土地使用证》[]，估价对象（分摊）出让国有建设用地使用权面积为881.68平方米，建筑面积为8821.64平方米。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估价对象为房地产,属开发建设的，该项目尚在开发建设中。根据《国有土地使用证》[]，估价对象（分摊）出让国有建设用地使用权面积为881.68平方米，规划建筑面积为8821.64平方米。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2024年12月2日（评估专业人员实地查勘之日）</v>
      </c>
    </row>
    <row r="13" spans="1:2">
      <c r="A13" s="1119" t="s">
        <v>529</v>
      </c>
      <c r="B13" s="1120" t="str">
        <f>'预评函-1'!A18</f>
        <v>本次估价的“房地产价值”是指在正常市场情况下，在价值时点2024年12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1662</v>
      </c>
    </row>
    <row r="21" spans="1:2">
      <c r="A21" s="1119" t="s">
        <v>537</v>
      </c>
      <c r="B21" s="1120">
        <f ca="1">'预评函-2'!D7</f>
        <v>8795</v>
      </c>
    </row>
    <row r="22" spans="1:2">
      <c r="A22" s="1119" t="s">
        <v>538</v>
      </c>
      <c r="B22" s="1120" t="str">
        <f ca="1">'预评函-2'!D6</f>
        <v>壹仟陆佰陆拾贰万元整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1662</v>
      </c>
    </row>
    <row r="31" spans="1:2">
      <c r="A31" s="1119" t="s">
        <v>576</v>
      </c>
      <c r="B31" s="1120">
        <f ca="1">'预评函-2'!D15</f>
        <v>8795</v>
      </c>
    </row>
    <row r="32" spans="1:2">
      <c r="A32" s="1119" t="s">
        <v>543</v>
      </c>
      <c r="B32" s="1120" t="str">
        <f ca="1">'预评函-2'!D14</f>
        <v>壹仟陆佰陆拾贰万元整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8821.64</v>
      </c>
    </row>
    <row r="44" spans="1:2">
      <c r="A44" s="1119" t="s">
        <v>575</v>
      </c>
      <c r="B44" s="1120" t="str">
        <f>'预评函-3'!C2</f>
        <v>(分摊)土地面积</v>
      </c>
    </row>
    <row r="45" spans="1:2">
      <c r="A45" s="1119" t="s">
        <v>547</v>
      </c>
      <c r="B45" s="1120">
        <f>'预评函-3'!C4</f>
        <v>881.68</v>
      </c>
    </row>
    <row r="46" spans="1:2">
      <c r="A46" s="1119" t="s">
        <v>573</v>
      </c>
      <c r="B46" s="1120" t="str">
        <f>'预评函-3'!D2</f>
        <v>出让国有建设用地使用权价值</v>
      </c>
    </row>
    <row r="47" spans="1:2">
      <c r="A47" s="1119" t="s">
        <v>548</v>
      </c>
      <c r="B47" s="1120">
        <f ca="1">'预评函-3'!D4</f>
        <v>405</v>
      </c>
    </row>
    <row r="48" spans="1:2">
      <c r="A48" s="1119" t="s">
        <v>549</v>
      </c>
      <c r="B48" s="1120">
        <f ca="1">'预评函-3'!E4</f>
        <v>2146</v>
      </c>
    </row>
    <row r="49" spans="1:2">
      <c r="A49" s="1119" t="s">
        <v>550</v>
      </c>
      <c r="B49" s="1120" t="str">
        <f ca="1">'预评函-3'!D5</f>
        <v>肆佰零伍万元整</v>
      </c>
    </row>
    <row r="50" spans="1:2">
      <c r="A50" s="1119" t="s">
        <v>574</v>
      </c>
      <c r="B50" s="1120" t="str">
        <f>'预评函-3'!F2</f>
        <v>在建建筑物价值</v>
      </c>
    </row>
    <row r="51" spans="1:2">
      <c r="A51" s="1119" t="s">
        <v>551</v>
      </c>
      <c r="B51" s="1120">
        <f ca="1">'预评函-3'!F4</f>
        <v>1256</v>
      </c>
    </row>
    <row r="52" spans="1:2">
      <c r="A52" s="1119" t="s">
        <v>552</v>
      </c>
      <c r="B52" s="1120">
        <f ca="1">'预评函-3'!G4</f>
        <v>6649</v>
      </c>
    </row>
    <row r="53" spans="1:2">
      <c r="A53" s="1119" t="s">
        <v>580</v>
      </c>
      <c r="B53" s="1120" t="str">
        <f ca="1">'预评函-3'!F5</f>
        <v>壹仟贰佰伍拾陆万元整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2282</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86" t="s">
        <v>2571</v>
      </c>
      <c r="J2" s="3186"/>
      <c r="K2" s="3186"/>
      <c r="L2" s="3186"/>
      <c r="M2" s="3186"/>
      <c r="N2" s="3186"/>
      <c r="O2" s="3186"/>
      <c r="P2" s="3186"/>
      <c r="Q2" s="3186"/>
      <c r="R2" s="3186"/>
    </row>
    <row r="3" spans="1:18">
      <c r="A3" s="2763" t="s">
        <v>2492</v>
      </c>
      <c r="B3" s="2764">
        <f>项目基本情况!D3</f>
        <v>45628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12.05</v>
      </c>
      <c r="D6" s="2768">
        <f>IF(ISERROR(ROUND(POWER(1+E6,A6-C6)*(POWER(1+E6,C6)-1)/(POWER(1+E6,A6)-1),3)),0,ROUND(POWER(1+E6,A6-C6)*(POWER(1+E6,C6)-1)/(POWER(1+E6,A6)-1),4))</f>
        <v>0.43830000000000002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3">
      <c r="A17" s="2763" t="s">
        <v>2508</v>
      </c>
      <c r="B17" s="2771">
        <v>4810</v>
      </c>
      <c r="C17" s="2765"/>
      <c r="D17" s="2761"/>
      <c r="E17" s="2761"/>
      <c r="F17" s="2762"/>
    </row>
    <row r="18" spans="1:13" ht="14.25" thickBot="1">
      <c r="A18" s="2773" t="s">
        <v>2507</v>
      </c>
      <c r="B18" s="2774">
        <f>ROUND(B17*F11/F12,2)</f>
        <v>5541.87</v>
      </c>
      <c r="C18" s="2774">
        <f>ROUND(F11/F12,4)</f>
        <v>1.1521999999999999</v>
      </c>
      <c r="D18" s="2775"/>
      <c r="E18" s="2775"/>
      <c r="F18" s="2776"/>
    </row>
    <row r="19" spans="1:13" ht="14.25" thickBot="1"/>
    <row r="20" spans="1:13" s="2809" customFormat="1" ht="14.25" thickTop="1">
      <c r="A20" s="2806" t="s">
        <v>2510</v>
      </c>
      <c r="B20" s="2807"/>
      <c r="C20" s="2807"/>
      <c r="D20" s="2807"/>
      <c r="E20" s="2807"/>
      <c r="F20" s="2807"/>
      <c r="G20" s="2808"/>
      <c r="I20" s="2810" t="s">
        <v>2555</v>
      </c>
      <c r="J20" s="2810" t="s">
        <v>2560</v>
      </c>
      <c r="K20" s="2810"/>
      <c r="L20" s="2810"/>
      <c r="M20" s="2810"/>
    </row>
    <row r="21" spans="1:13">
      <c r="A21" s="2777"/>
      <c r="B21" s="2778" t="s">
        <v>2511</v>
      </c>
      <c r="C21" s="2778" t="s">
        <v>2512</v>
      </c>
      <c r="D21" s="2778" t="s">
        <v>2513</v>
      </c>
      <c r="E21" s="2778" t="s">
        <v>2514</v>
      </c>
      <c r="F21" s="2778" t="s">
        <v>2515</v>
      </c>
      <c r="G21" s="2779" t="s">
        <v>2516</v>
      </c>
      <c r="I21" s="2800">
        <v>5</v>
      </c>
      <c r="J21" s="2800">
        <v>54.2</v>
      </c>
    </row>
    <row r="22" spans="1:13">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M23" s="2800" t="s">
        <v>2559</v>
      </c>
    </row>
    <row r="24" spans="1:13">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M24" s="2800">
        <v>10</v>
      </c>
    </row>
    <row r="25" spans="1:13">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M25" s="2800">
        <v>8</v>
      </c>
    </row>
    <row r="26" spans="1:13">
      <c r="A26" s="2782"/>
      <c r="B26" s="2783"/>
      <c r="C26" s="2783"/>
      <c r="D26" s="2783"/>
      <c r="E26" s="2783"/>
      <c r="F26" s="2783"/>
      <c r="G26" s="2784"/>
      <c r="I26" s="2800">
        <v>30</v>
      </c>
      <c r="J26" s="2800">
        <v>90.5</v>
      </c>
      <c r="K26" s="2800">
        <f t="shared" si="2"/>
        <v>4.2000000000000028</v>
      </c>
      <c r="L26" s="2800" t="s">
        <v>2562</v>
      </c>
      <c r="M26" s="2800">
        <v>5</v>
      </c>
    </row>
    <row r="27" spans="1:13">
      <c r="A27" s="2782" t="s">
        <v>2521</v>
      </c>
      <c r="B27" s="2783"/>
      <c r="C27" s="2783"/>
      <c r="D27" s="2783"/>
      <c r="E27" s="2783"/>
      <c r="F27" s="2783"/>
      <c r="G27" s="2784"/>
      <c r="I27" s="2800">
        <v>35</v>
      </c>
      <c r="J27" s="2800">
        <v>93.8</v>
      </c>
      <c r="K27" s="2800">
        <f t="shared" si="2"/>
        <v>3.2999999999999972</v>
      </c>
      <c r="L27" s="2800" t="s">
        <v>2563</v>
      </c>
      <c r="M27" s="2800">
        <v>3</v>
      </c>
    </row>
    <row r="28" spans="1:13">
      <c r="A28" s="2782" t="s">
        <v>2522</v>
      </c>
      <c r="B28" s="2783"/>
      <c r="C28" s="2783"/>
      <c r="D28" s="2783"/>
      <c r="E28" s="2783"/>
      <c r="F28" s="2783"/>
      <c r="G28" s="2784"/>
      <c r="I28" s="2800">
        <v>40</v>
      </c>
      <c r="J28" s="2800">
        <v>96.4</v>
      </c>
      <c r="K28" s="2800">
        <f t="shared" si="2"/>
        <v>2.6000000000000085</v>
      </c>
      <c r="L28" s="2800" t="s">
        <v>2564</v>
      </c>
      <c r="M28" s="2800">
        <v>2</v>
      </c>
    </row>
    <row r="29" spans="1:13">
      <c r="A29" s="2782" t="s">
        <v>2523</v>
      </c>
      <c r="B29" s="2783"/>
      <c r="C29" s="2783"/>
      <c r="D29" s="2783"/>
      <c r="E29" s="2783"/>
      <c r="F29" s="2783"/>
      <c r="G29" s="2784"/>
      <c r="I29" s="2800">
        <v>45</v>
      </c>
      <c r="J29" s="2800">
        <v>98.4</v>
      </c>
      <c r="K29" s="2800">
        <f t="shared" si="2"/>
        <v>2</v>
      </c>
    </row>
    <row r="30" spans="1:13">
      <c r="A30" s="2782" t="s">
        <v>2524</v>
      </c>
      <c r="B30" s="2783"/>
      <c r="C30" s="2783"/>
      <c r="D30" s="2783"/>
      <c r="E30" s="2783"/>
      <c r="F30" s="2783"/>
      <c r="G30" s="2784"/>
      <c r="I30" s="2800">
        <v>50</v>
      </c>
      <c r="J30" s="2800">
        <v>100</v>
      </c>
      <c r="K30" s="2800">
        <f t="shared" si="2"/>
        <v>1.5999999999999943</v>
      </c>
    </row>
    <row r="31" spans="1:13">
      <c r="A31" s="2782" t="s">
        <v>2525</v>
      </c>
      <c r="B31" s="2783"/>
      <c r="C31" s="2783"/>
      <c r="D31" s="2783"/>
      <c r="E31" s="2783"/>
      <c r="F31" s="2783"/>
      <c r="G31" s="2784"/>
      <c r="I31" s="2800" t="s">
        <v>2556</v>
      </c>
    </row>
    <row r="32" spans="1:13">
      <c r="A32" s="2782" t="s">
        <v>2526</v>
      </c>
      <c r="B32" s="2783"/>
      <c r="C32" s="2783"/>
      <c r="D32" s="2783"/>
      <c r="E32" s="2783"/>
      <c r="F32" s="2783"/>
      <c r="G32" s="2784"/>
    </row>
    <row r="33" spans="1:13">
      <c r="A33" s="2782" t="s">
        <v>2527</v>
      </c>
      <c r="B33" s="2783"/>
      <c r="C33" s="2783"/>
      <c r="D33" s="2783"/>
      <c r="E33" s="2783"/>
      <c r="F33" s="2783"/>
      <c r="G33" s="2784"/>
      <c r="I33" s="2800" t="s">
        <v>2555</v>
      </c>
      <c r="J33" s="2800" t="s">
        <v>2565</v>
      </c>
    </row>
    <row r="34" spans="1:13">
      <c r="A34" s="2782" t="s">
        <v>2528</v>
      </c>
      <c r="B34" s="2783"/>
      <c r="C34" s="2783"/>
      <c r="D34" s="2783"/>
      <c r="E34" s="2783"/>
      <c r="F34" s="2783"/>
      <c r="G34" s="2784"/>
      <c r="I34" s="2800">
        <v>5</v>
      </c>
      <c r="J34" s="2800">
        <v>55.1</v>
      </c>
    </row>
    <row r="35" spans="1:13">
      <c r="A35" s="2782" t="s">
        <v>2529</v>
      </c>
      <c r="B35" s="2783"/>
      <c r="C35" s="2783"/>
      <c r="D35" s="2783"/>
      <c r="E35" s="2783"/>
      <c r="F35" s="2783"/>
      <c r="G35" s="2784"/>
      <c r="I35" s="2800">
        <v>10</v>
      </c>
      <c r="J35" s="2800">
        <v>67</v>
      </c>
      <c r="K35" s="2800">
        <f>J35-J34</f>
        <v>11.899999999999999</v>
      </c>
    </row>
    <row r="36" spans="1:13">
      <c r="A36" s="2782" t="s">
        <v>2530</v>
      </c>
      <c r="B36" s="2783"/>
      <c r="C36" s="2783"/>
      <c r="D36" s="2783"/>
      <c r="E36" s="2783"/>
      <c r="F36" s="2783"/>
      <c r="G36" s="2784"/>
      <c r="I36" s="2800">
        <v>15</v>
      </c>
      <c r="J36" s="2800">
        <v>76.3</v>
      </c>
      <c r="K36" s="2800">
        <f t="shared" ref="K36:K41" si="3">J36-J35</f>
        <v>9.2999999999999972</v>
      </c>
      <c r="L36" s="2800" t="s">
        <v>2558</v>
      </c>
      <c r="M36" s="2800" t="s">
        <v>2559</v>
      </c>
    </row>
    <row r="37" spans="1:13">
      <c r="A37" s="2782" t="s">
        <v>2531</v>
      </c>
      <c r="B37" s="2783"/>
      <c r="C37" s="2783"/>
      <c r="D37" s="2783"/>
      <c r="E37" s="2783"/>
      <c r="F37" s="2783"/>
      <c r="G37" s="2784"/>
      <c r="I37" s="2800">
        <v>20</v>
      </c>
      <c r="J37" s="2800">
        <v>83.6</v>
      </c>
      <c r="K37" s="2800">
        <f t="shared" si="3"/>
        <v>7.2999999999999972</v>
      </c>
      <c r="L37" s="2800" t="s">
        <v>2557</v>
      </c>
      <c r="M37" s="2800">
        <v>10</v>
      </c>
    </row>
    <row r="38" spans="1:13">
      <c r="A38" s="2782" t="s">
        <v>2532</v>
      </c>
      <c r="B38" s="2783"/>
      <c r="C38" s="2783"/>
      <c r="D38" s="2783"/>
      <c r="E38" s="2783"/>
      <c r="F38" s="2783"/>
      <c r="G38" s="2784"/>
      <c r="I38" s="2800">
        <v>25</v>
      </c>
      <c r="J38" s="2800">
        <v>89.3</v>
      </c>
      <c r="K38" s="2800">
        <f t="shared" si="3"/>
        <v>5.7000000000000028</v>
      </c>
      <c r="L38" s="2800" t="s">
        <v>2561</v>
      </c>
      <c r="M38" s="2800">
        <v>8</v>
      </c>
    </row>
    <row r="39" spans="1:13">
      <c r="A39" s="2782"/>
      <c r="B39" s="2783"/>
      <c r="C39" s="2783"/>
      <c r="D39" s="2783"/>
      <c r="E39" s="2783"/>
      <c r="F39" s="2783"/>
      <c r="G39" s="2784"/>
      <c r="I39" s="2800">
        <v>30</v>
      </c>
      <c r="J39" s="2800">
        <v>93.8</v>
      </c>
      <c r="K39" s="2800">
        <f t="shared" si="3"/>
        <v>4.5</v>
      </c>
      <c r="L39" s="2800" t="s">
        <v>2562</v>
      </c>
      <c r="M39" s="2800">
        <v>6</v>
      </c>
    </row>
    <row r="40" spans="1:13">
      <c r="A40" s="2785" t="s">
        <v>2533</v>
      </c>
      <c r="B40" s="2786"/>
      <c r="C40" s="2786"/>
      <c r="D40" s="2786"/>
      <c r="E40" s="2786"/>
      <c r="F40" s="2786"/>
      <c r="G40" s="2787"/>
      <c r="I40" s="2800">
        <v>35</v>
      </c>
      <c r="J40" s="2800">
        <v>97.2</v>
      </c>
      <c r="K40" s="2800">
        <f t="shared" si="3"/>
        <v>3.4000000000000057</v>
      </c>
      <c r="L40" s="2800" t="s">
        <v>2563</v>
      </c>
      <c r="M40" s="2800">
        <v>3</v>
      </c>
    </row>
    <row r="41" spans="1:13">
      <c r="A41" s="2788" t="s">
        <v>2534</v>
      </c>
      <c r="B41" s="2789" t="s">
        <v>2535</v>
      </c>
      <c r="C41" s="2790" t="s">
        <v>2536</v>
      </c>
      <c r="D41" s="2790" t="s">
        <v>2537</v>
      </c>
      <c r="E41" s="2791"/>
      <c r="F41" s="2792"/>
      <c r="G41" s="2793"/>
      <c r="I41" s="2800">
        <v>40</v>
      </c>
      <c r="J41" s="2800">
        <v>100</v>
      </c>
      <c r="K41" s="2800">
        <f t="shared" si="3"/>
        <v>2.7999999999999972</v>
      </c>
    </row>
    <row r="42" spans="1:13">
      <c r="A42" s="2788" t="s">
        <v>2538</v>
      </c>
      <c r="B42" s="2789" t="s">
        <v>2539</v>
      </c>
      <c r="C42" s="2790" t="s">
        <v>2540</v>
      </c>
      <c r="D42" s="2794" t="s">
        <v>2541</v>
      </c>
      <c r="E42" s="2786" t="s">
        <v>2542</v>
      </c>
      <c r="F42" s="2786"/>
      <c r="G42" s="2787"/>
    </row>
    <row r="43" spans="1:13">
      <c r="A43" s="2788" t="s">
        <v>2543</v>
      </c>
      <c r="B43" s="2789" t="s">
        <v>2544</v>
      </c>
      <c r="C43" s="2790" t="s">
        <v>2545</v>
      </c>
      <c r="D43" s="2790" t="s">
        <v>2546</v>
      </c>
      <c r="E43" s="2791" t="s">
        <v>2547</v>
      </c>
      <c r="F43" s="2792"/>
      <c r="G43" s="2793"/>
      <c r="I43" s="2800" t="s">
        <v>2555</v>
      </c>
      <c r="J43" s="2800" t="s">
        <v>2566</v>
      </c>
    </row>
    <row r="44" spans="1:13">
      <c r="A44" s="2788" t="s">
        <v>2548</v>
      </c>
      <c r="B44" s="2789" t="s">
        <v>2549</v>
      </c>
      <c r="C44" s="2790" t="s">
        <v>2550</v>
      </c>
      <c r="D44" s="2794">
        <v>0.5</v>
      </c>
      <c r="E44" s="2791" t="s">
        <v>2551</v>
      </c>
      <c r="F44" s="2792"/>
      <c r="G44" s="2793"/>
      <c r="I44" s="2800">
        <v>30</v>
      </c>
      <c r="J44" s="2800">
        <v>81.7</v>
      </c>
    </row>
    <row r="45" spans="1:13" ht="14.25" thickBot="1">
      <c r="A45" s="2795" t="s">
        <v>2552</v>
      </c>
      <c r="B45" s="2796" t="s">
        <v>2539</v>
      </c>
      <c r="C45" s="2797" t="s">
        <v>2539</v>
      </c>
      <c r="D45" s="2797" t="s">
        <v>2553</v>
      </c>
      <c r="E45" s="2798" t="s">
        <v>2554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194" t="str">
        <f>IF(B10="北京市","北京市",C10)&amp;F10&amp;IF(结果表!G1="在建","出让国有建设用地使用权及在建建筑物",IF(结果表!G1="土地","出让国有建设用地使用权",))&amp;B9&amp;"预评估"</f>
        <v>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45628</v>
      </c>
      <c r="C3" s="2186" t="s">
        <v>2169</v>
      </c>
      <c r="D3" s="2185">
        <v>45628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3379</v>
      </c>
      <c r="C8" s="2201"/>
      <c r="D8" s="3197" t="s">
        <v>2175</v>
      </c>
      <c r="E8" s="2202" t="s">
        <v>3380</v>
      </c>
      <c r="F8" s="2203"/>
      <c r="G8" s="2442"/>
      <c r="H8" s="2442"/>
      <c r="I8" s="2442"/>
      <c r="J8" s="2245"/>
      <c r="K8" s="2400"/>
      <c r="L8" s="2399"/>
      <c r="M8" s="2399"/>
      <c r="N8" s="2245"/>
      <c r="O8" s="1670"/>
      <c r="P8" s="2245"/>
      <c r="Q8" s="2245"/>
      <c r="R8" s="2245"/>
    </row>
    <row r="9" spans="1:30" ht="13.5" thickBot="1">
      <c r="A9" s="2204" t="s">
        <v>2176</v>
      </c>
      <c r="B9" s="2205" t="s">
        <v>3380</v>
      </c>
      <c r="C9" s="2206"/>
      <c r="D9" s="3198"/>
      <c r="E9" s="2205" t="s">
        <v>43</v>
      </c>
      <c r="F9" s="2207"/>
      <c r="G9" s="2443"/>
      <c r="H9" s="2443"/>
      <c r="I9" s="2443"/>
      <c r="J9" s="2245"/>
      <c r="K9" s="2402"/>
      <c r="L9" s="2399"/>
      <c r="M9" s="2399"/>
      <c r="N9" s="2245"/>
      <c r="O9" s="1670"/>
      <c r="P9" s="2245"/>
      <c r="Q9" s="2245"/>
      <c r="R9" s="2245"/>
    </row>
    <row r="10" spans="1:30" ht="13.5" thickTop="1">
      <c r="A10" s="2208" t="s">
        <v>2177</v>
      </c>
      <c r="B10" s="2209" t="s">
        <v>3381</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3382</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2567</v>
      </c>
      <c r="J12" s="2803"/>
      <c r="K12" s="2399"/>
      <c r="L12" s="2399"/>
      <c r="M12" s="2245"/>
      <c r="N12" s="1670"/>
      <c r="O12" s="2245"/>
      <c r="P12" s="2245"/>
      <c r="Q12" s="2245"/>
      <c r="AD12" s="1618"/>
    </row>
    <row r="13" spans="1:30">
      <c r="A13" s="3122" t="s">
        <v>3323</v>
      </c>
      <c r="B13" s="2218" t="s">
        <v>2188</v>
      </c>
      <c r="C13" s="803"/>
      <c r="D13" s="803">
        <f>面积!H3</f>
        <v>55324</v>
      </c>
      <c r="E13" s="803"/>
      <c r="F13" s="803"/>
      <c r="G13" s="803"/>
      <c r="H13" s="803"/>
      <c r="I13" s="803"/>
      <c r="J13" s="2803"/>
      <c r="K13" s="2399"/>
      <c r="L13" s="2399"/>
      <c r="M13" s="2245"/>
      <c r="N13" s="1670"/>
      <c r="O13" s="2245"/>
      <c r="P13" s="2245"/>
      <c r="Q13" s="2245"/>
      <c r="AD13" s="1618"/>
    </row>
    <row r="14" spans="1:30">
      <c r="A14" s="1018"/>
      <c r="B14" s="2218" t="s">
        <v>2189</v>
      </c>
      <c r="C14" s="2219"/>
      <c r="D14" s="2219">
        <v>40</v>
      </c>
      <c r="E14" s="2219"/>
      <c r="F14" s="2219"/>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f>IF(A13="出让",IF(D13="","",ROUNDDOWN(MIN((D13-$D$3)/365,D14),2)),D14)</f>
        <v>26.56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04"/>
      <c r="C16" s="3205"/>
      <c r="D16" s="3206"/>
      <c r="E16" s="2222" t="s">
        <v>2192</v>
      </c>
      <c r="F16" s="3207"/>
      <c r="G16" s="3208"/>
      <c r="H16" s="3208"/>
      <c r="I16" s="3209"/>
      <c r="J16" s="2245"/>
      <c r="K16" s="2403"/>
      <c r="L16" s="1670"/>
      <c r="M16" s="1670"/>
      <c r="N16" s="2245"/>
      <c r="O16" s="1670"/>
      <c r="P16" s="2245"/>
      <c r="Q16" s="2245"/>
      <c r="R16" s="2245"/>
    </row>
    <row r="17" spans="1:28">
      <c r="A17" s="305" t="s">
        <v>2193</v>
      </c>
      <c r="B17" s="294" t="s">
        <v>2194</v>
      </c>
      <c r="C17" s="8">
        <f>'数据-汇总表'!E3</f>
        <v>8821.64</v>
      </c>
      <c r="D17" s="1256" t="s">
        <v>2195</v>
      </c>
      <c r="E17" s="3210" t="s">
        <v>2196</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881.68</v>
      </c>
      <c r="D18" s="1029" t="s">
        <v>2199</v>
      </c>
      <c r="E18" s="3213" t="s">
        <v>2200</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00" t="s">
        <v>2204</v>
      </c>
      <c r="C20" s="3201"/>
      <c r="D20" s="3202" t="s">
        <v>2205</v>
      </c>
      <c r="E20" s="3203"/>
      <c r="F20" s="2430" t="s">
        <v>1056</v>
      </c>
      <c r="G20" s="2442"/>
      <c r="H20" s="2442"/>
      <c r="I20" s="2442"/>
      <c r="J20" s="2245"/>
      <c r="K20" s="319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2216</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187" t="s">
        <v>2226</v>
      </c>
      <c r="T34" s="315" t="str">
        <f>NUMBERSTRING(7-K34,1)&amp;"通"</f>
        <v>七通</v>
      </c>
      <c r="U34" s="2245"/>
      <c r="V34" s="2245"/>
    </row>
    <row r="35" spans="1:30">
      <c r="A35" s="2236"/>
      <c r="B35" s="3187" t="s">
        <v>2227</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2570</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SUM(面积!F3:F6,2)</f>
        <v>881.68000000000006</v>
      </c>
      <c r="B3" s="11">
        <f>IF(C3="否",G5-AT5,G5)</f>
        <v>8821.64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8821.64</v>
      </c>
      <c r="H5" s="13">
        <f t="shared" ref="H5:AT5" si="0">SUM(H13:H656)</f>
        <v>8821.64</v>
      </c>
      <c r="I5" s="13">
        <f t="shared" si="0"/>
        <v>8821.64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8821.64</v>
      </c>
      <c r="BA5" s="15">
        <f t="shared" si="1"/>
        <v>8821.64</v>
      </c>
      <c r="BB5" s="15">
        <f t="shared" si="1"/>
        <v>8821.64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881.68</v>
      </c>
      <c r="F6" s="13" t="s">
        <v>0</v>
      </c>
      <c r="G6" s="13" t="s">
        <v>1</v>
      </c>
      <c r="H6" s="17">
        <f>SUMIF(I$12:AB$12,"总值",I6:AB6)</f>
        <v>881.68</v>
      </c>
      <c r="I6" s="13">
        <f t="shared" ref="I6:AB6" si="2">ROUND($A$3*I5/$B$3,2)</f>
        <v>881.68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881.68</v>
      </c>
      <c r="AZ6" s="13" t="s">
        <v>2</v>
      </c>
      <c r="BA6" s="13">
        <f>ROUND($AY$6*BA5/$AZ$5,2)</f>
        <v>881.68</v>
      </c>
      <c r="BB6" s="13">
        <f>ROUND($AY$6*BB5/$AZ$5,2)</f>
        <v>881.68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面积!C3</f>
        <v>4号楼201</v>
      </c>
      <c r="D13" s="1513" t="s">
        <v>3399</v>
      </c>
      <c r="E13" s="13">
        <f>IF($C$3="是",ROUND($A$3*G13/$B$3,2),ROUND($A$3*(G13-AT13)/$B$3,2))</f>
        <v>188.85</v>
      </c>
      <c r="F13" s="29"/>
      <c r="G13" s="30">
        <f>H13+AC13+AT13</f>
        <v>1889.55</v>
      </c>
      <c r="H13" s="17">
        <f>SUMIF(I$12:AB$12,"总值",I13:AB13)</f>
        <v>1889.55</v>
      </c>
      <c r="I13" s="1514">
        <f>面积!E3</f>
        <v>1889.55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4号楼201</v>
      </c>
      <c r="AY13" s="1260">
        <f>ROUND($AY$6*AZ13/$AZ$5,2)</f>
        <v>188.85</v>
      </c>
      <c r="AZ13" s="13">
        <f>BA13+BL13</f>
        <v>1889.55</v>
      </c>
      <c r="BA13" s="13">
        <f>SUM(BB13:BK13)</f>
        <v>1889.55</v>
      </c>
      <c r="BB13" s="13">
        <f>IF($D13="是",I13-J13,0)</f>
        <v>1889.55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面积!C4</f>
        <v>5号楼202</v>
      </c>
      <c r="D14" s="1513" t="s">
        <v>3399</v>
      </c>
      <c r="E14" s="13">
        <f>IF($C$3="是",ROUND($A$3*G14/$B$3,2),ROUND($A$3*(G14-AT14)/$B$3,2))</f>
        <v>264.45</v>
      </c>
      <c r="F14" s="29"/>
      <c r="G14" s="30">
        <f>H14+AC14+AT14</f>
        <v>2645.92</v>
      </c>
      <c r="H14" s="17">
        <f>SUMIF(I$12:AB$12,"总值",I14:AB14)</f>
        <v>2645.92</v>
      </c>
      <c r="I14" s="1514">
        <f>面积!E4</f>
        <v>2645.92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5号楼202</v>
      </c>
      <c r="AY14" s="1260">
        <f>ROUND($AY$6*AZ14/$AZ$5,2)</f>
        <v>264.45</v>
      </c>
      <c r="AZ14" s="13">
        <f>BA14+BL14</f>
        <v>2645.92</v>
      </c>
      <c r="BA14" s="13">
        <f>SUM(BB14:BK14)</f>
        <v>2645.92</v>
      </c>
      <c r="BB14" s="13">
        <f>IF($D14="是",I14-J14,0)</f>
        <v>2645.92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面积!C5</f>
        <v>4号楼301</v>
      </c>
      <c r="D15" s="1513" t="s">
        <v>3399</v>
      </c>
      <c r="E15" s="13">
        <f>IF($C$3="是",ROUND($A$3*G15/$B$3,2),ROUND($A$3*(G15-AT15)/$B$3,2))</f>
        <v>219.25</v>
      </c>
      <c r="F15" s="29"/>
      <c r="G15" s="30">
        <f>H15+AC15+AT15</f>
        <v>2193.71</v>
      </c>
      <c r="H15" s="17">
        <f>SUMIF(I$12:AB$12,"总值",I15:AB15)</f>
        <v>2193.71</v>
      </c>
      <c r="I15" s="1514">
        <f>面积!E5</f>
        <v>2193.71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4号楼301</v>
      </c>
      <c r="AY15" s="1260">
        <f>ROUND($AY$6*AZ15/$AZ$5,2)</f>
        <v>219.25</v>
      </c>
      <c r="AZ15" s="13">
        <f>BA15+BL15</f>
        <v>2193.71</v>
      </c>
      <c r="BA15" s="13">
        <f>SUM(BB15:BK15)</f>
        <v>2193.71</v>
      </c>
      <c r="BB15" s="13">
        <f>IF($D15="是",I15-J15,0)</f>
        <v>2193.71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面积!C6</f>
        <v>4号楼302</v>
      </c>
      <c r="D16" s="1513" t="s">
        <v>3399</v>
      </c>
      <c r="E16" s="13">
        <f>IF($C$3="是",ROUND($A$3*G16/$B$3,2),ROUND($A$3*(G16-AT16)/$B$3,2))</f>
        <v>209.13</v>
      </c>
      <c r="F16" s="29"/>
      <c r="G16" s="30">
        <f>H16+AC16+AT16</f>
        <v>2092.46</v>
      </c>
      <c r="H16" s="17">
        <f>SUMIF(I$12:AB$12,"总值",I16:AB16)</f>
        <v>2092.46</v>
      </c>
      <c r="I16" s="1514">
        <f>面积!E6</f>
        <v>2092.46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4号楼302</v>
      </c>
      <c r="AY16" s="1260">
        <f>ROUND($AY$6*AZ16/$AZ$5,2)</f>
        <v>209.13</v>
      </c>
      <c r="AZ16" s="13">
        <f>BA16+BL16</f>
        <v>2092.46</v>
      </c>
      <c r="BA16" s="13">
        <f>SUM(BB16:BK16)</f>
        <v>2092.46</v>
      </c>
      <c r="BB16" s="13">
        <f>IF($D16="是",I16-J16,0)</f>
        <v>2092.46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E4837-9A2D-47DC-B922-C70631D9428E}">
  <dimension ref="C1:T23"/>
  <sheetViews>
    <sheetView topLeftCell="F1" workbookViewId="0">
      <selection activeCell="V12" sqref="V12"/>
    </sheetView>
  </sheetViews>
  <sheetFormatPr defaultRowHeight="13.5"/>
  <cols>
    <col min="3" max="3" width="30" bestFit="1" customWidth="1"/>
    <col min="8" max="8" width="10.5" bestFit="1" customWidth="1"/>
  </cols>
  <sheetData>
    <row r="1" spans="3:20" ht="24">
      <c r="L1" s="3491" t="s">
        <v>3410</v>
      </c>
      <c r="M1" s="3491" t="s">
        <v>3411</v>
      </c>
      <c r="N1" s="3484" t="s">
        <v>3412</v>
      </c>
      <c r="O1" s="3484" t="s">
        <v>3414</v>
      </c>
      <c r="P1" s="3491" t="s">
        <v>3415</v>
      </c>
      <c r="Q1" s="3491" t="s">
        <v>672</v>
      </c>
      <c r="R1" s="3483" t="s">
        <v>3384</v>
      </c>
      <c r="S1" s="3483" t="s">
        <v>3417</v>
      </c>
    </row>
    <row r="2" spans="3:20" ht="14.25" thickBot="1">
      <c r="C2" s="1405" t="s">
        <v>3383</v>
      </c>
      <c r="D2" s="1405" t="s">
        <v>2534</v>
      </c>
      <c r="E2" s="1405" t="s">
        <v>3385</v>
      </c>
      <c r="F2" s="1405" t="s">
        <v>3386</v>
      </c>
      <c r="G2" s="1405" t="s">
        <v>3387</v>
      </c>
      <c r="H2" s="1405" t="s">
        <v>3392</v>
      </c>
      <c r="L2" s="3492"/>
      <c r="M2" s="3492"/>
      <c r="N2" s="3485" t="s">
        <v>3413</v>
      </c>
      <c r="O2" s="3485" t="s">
        <v>3413</v>
      </c>
      <c r="P2" s="3492"/>
      <c r="Q2" s="3492"/>
      <c r="R2" s="3486" t="s">
        <v>3416</v>
      </c>
      <c r="S2" s="3486" t="s">
        <v>3418</v>
      </c>
    </row>
    <row r="3" spans="3:20" ht="24">
      <c r="C3" s="1405" t="s">
        <v>3395</v>
      </c>
      <c r="D3" s="1405" t="s">
        <v>3388</v>
      </c>
      <c r="E3">
        <v>1889.55</v>
      </c>
      <c r="F3">
        <v>194.38</v>
      </c>
      <c r="G3">
        <v>2</v>
      </c>
      <c r="H3" s="3480">
        <v>55324</v>
      </c>
      <c r="I3">
        <f>E3/F3</f>
        <v>9.7209075007716841</v>
      </c>
      <c r="L3" s="3491">
        <v>1</v>
      </c>
      <c r="M3" s="3491" t="s">
        <v>3419</v>
      </c>
      <c r="N3" s="3487" t="s">
        <v>3420</v>
      </c>
      <c r="O3" s="3487" t="s">
        <v>3422</v>
      </c>
      <c r="P3" s="3487" t="s">
        <v>3567</v>
      </c>
      <c r="Q3" s="3494" t="s">
        <v>673</v>
      </c>
      <c r="R3" s="3494">
        <v>1889.55</v>
      </c>
      <c r="S3" s="3494">
        <v>3401.19</v>
      </c>
    </row>
    <row r="4" spans="3:20" ht="36">
      <c r="C4" s="3481" t="s">
        <v>3396</v>
      </c>
      <c r="D4" s="1405" t="s">
        <v>3388</v>
      </c>
      <c r="E4">
        <v>2645.92</v>
      </c>
      <c r="F4">
        <v>244.35</v>
      </c>
      <c r="G4">
        <v>2</v>
      </c>
      <c r="H4" s="3480">
        <v>55324</v>
      </c>
      <c r="I4">
        <f t="shared" ref="I4:I6" si="0">E4/F4</f>
        <v>10.828401882545529</v>
      </c>
      <c r="L4" s="3493"/>
      <c r="M4" s="3493"/>
      <c r="N4" s="3487" t="s">
        <v>3421</v>
      </c>
      <c r="O4" s="3487" t="s">
        <v>3423</v>
      </c>
      <c r="P4" s="3487" t="s">
        <v>3568</v>
      </c>
      <c r="Q4" s="3495"/>
      <c r="R4" s="3495"/>
      <c r="S4" s="3495"/>
      <c r="T4">
        <f>S3*10000/R3</f>
        <v>18000</v>
      </c>
    </row>
    <row r="5" spans="3:20" ht="24">
      <c r="C5" s="1405" t="s">
        <v>3397</v>
      </c>
      <c r="D5" s="1405" t="s">
        <v>3388</v>
      </c>
      <c r="E5">
        <v>2193.71</v>
      </c>
      <c r="F5">
        <v>225.69</v>
      </c>
      <c r="G5">
        <v>3</v>
      </c>
      <c r="H5" s="3480">
        <v>55324</v>
      </c>
      <c r="I5">
        <f t="shared" si="0"/>
        <v>9.720014178740751</v>
      </c>
      <c r="L5" s="3493"/>
      <c r="M5" s="3493"/>
      <c r="N5" s="3487"/>
      <c r="O5" s="3487"/>
      <c r="P5" s="3487" t="s">
        <v>3569</v>
      </c>
      <c r="Q5" s="3495"/>
      <c r="R5" s="3495"/>
      <c r="S5" s="3495"/>
    </row>
    <row r="6" spans="3:20" ht="24">
      <c r="C6" s="1405" t="s">
        <v>3398</v>
      </c>
      <c r="D6" s="1405" t="s">
        <v>3388</v>
      </c>
      <c r="E6">
        <v>2092.46</v>
      </c>
      <c r="F6">
        <v>215.26</v>
      </c>
      <c r="G6">
        <v>3</v>
      </c>
      <c r="H6" s="3480">
        <v>55324</v>
      </c>
      <c r="I6">
        <f t="shared" si="0"/>
        <v>9.7206169283656987</v>
      </c>
      <c r="L6" s="3493"/>
      <c r="M6" s="3493"/>
      <c r="N6" s="3488"/>
      <c r="O6" s="3488"/>
      <c r="P6" s="3487" t="s">
        <v>3427</v>
      </c>
      <c r="Q6" s="3495"/>
      <c r="R6" s="3495"/>
      <c r="S6" s="3495"/>
    </row>
    <row r="7" spans="3:20" ht="14.25" thickBot="1">
      <c r="E7">
        <f>SUM(E3:E6)</f>
        <v>8821.64</v>
      </c>
      <c r="F7">
        <f>SUM(F3:F6)</f>
        <v>879.68000000000006</v>
      </c>
      <c r="L7" s="3492"/>
      <c r="M7" s="3492"/>
      <c r="N7" s="3489"/>
      <c r="O7" s="3489"/>
      <c r="P7" s="3485"/>
      <c r="Q7" s="3496"/>
      <c r="R7" s="3496"/>
      <c r="S7" s="3496"/>
    </row>
    <row r="8" spans="3:20" ht="24">
      <c r="L8" s="3491">
        <v>2</v>
      </c>
      <c r="M8" s="3491" t="s">
        <v>3419</v>
      </c>
      <c r="N8" s="3487" t="s">
        <v>3420</v>
      </c>
      <c r="O8" s="3487" t="s">
        <v>3422</v>
      </c>
      <c r="P8" s="3487" t="s">
        <v>3424</v>
      </c>
      <c r="Q8" s="3494" t="s">
        <v>673</v>
      </c>
      <c r="R8" s="3494">
        <v>2193.71</v>
      </c>
      <c r="S8" s="3494">
        <v>3158.94</v>
      </c>
    </row>
    <row r="9" spans="3:20" ht="36">
      <c r="L9" s="3493"/>
      <c r="M9" s="3493"/>
      <c r="N9" s="3487" t="s">
        <v>3428</v>
      </c>
      <c r="O9" s="3487" t="s">
        <v>3429</v>
      </c>
      <c r="P9" s="3487" t="s">
        <v>3425</v>
      </c>
      <c r="Q9" s="3495"/>
      <c r="R9" s="3495"/>
      <c r="S9" s="3495"/>
      <c r="T9">
        <f>S8*10000/R8</f>
        <v>14399.989059629577</v>
      </c>
    </row>
    <row r="10" spans="3:20" ht="24">
      <c r="C10" s="1405" t="s">
        <v>3389</v>
      </c>
      <c r="L10" s="3493"/>
      <c r="M10" s="3493"/>
      <c r="N10" s="3487"/>
      <c r="O10" s="3487"/>
      <c r="P10" s="3487" t="s">
        <v>3426</v>
      </c>
      <c r="Q10" s="3495"/>
      <c r="R10" s="3495"/>
      <c r="S10" s="3495"/>
    </row>
    <row r="11" spans="3:20" ht="24">
      <c r="C11" s="3481" t="s">
        <v>3393</v>
      </c>
      <c r="L11" s="3493"/>
      <c r="M11" s="3493"/>
      <c r="N11" s="3488"/>
      <c r="O11" s="3488"/>
      <c r="P11" s="3487" t="s">
        <v>3430</v>
      </c>
      <c r="Q11" s="3495"/>
      <c r="R11" s="3495"/>
      <c r="S11" s="3495"/>
    </row>
    <row r="12" spans="3:20" ht="14.25" thickBot="1">
      <c r="C12" s="1405" t="s">
        <v>3390</v>
      </c>
      <c r="L12" s="3492"/>
      <c r="M12" s="3492"/>
      <c r="N12" s="3489"/>
      <c r="O12" s="3489"/>
      <c r="P12" s="3485"/>
      <c r="Q12" s="3496"/>
      <c r="R12" s="3496"/>
      <c r="S12" s="3496"/>
    </row>
    <row r="13" spans="3:20" ht="24">
      <c r="C13" s="1405" t="s">
        <v>3391</v>
      </c>
      <c r="L13" s="3491">
        <v>3</v>
      </c>
      <c r="M13" s="3491" t="s">
        <v>3419</v>
      </c>
      <c r="N13" s="3487" t="s">
        <v>3420</v>
      </c>
      <c r="O13" s="3487" t="s">
        <v>3422</v>
      </c>
      <c r="P13" s="3487" t="s">
        <v>3424</v>
      </c>
      <c r="Q13" s="3494" t="s">
        <v>673</v>
      </c>
      <c r="R13" s="3494">
        <v>2092.46</v>
      </c>
      <c r="S13" s="3494">
        <v>3013.14</v>
      </c>
    </row>
    <row r="14" spans="3:20" ht="36">
      <c r="L14" s="3493"/>
      <c r="M14" s="3493"/>
      <c r="N14" s="3487" t="s">
        <v>3431</v>
      </c>
      <c r="O14" s="3487" t="s">
        <v>3432</v>
      </c>
      <c r="P14" s="3487" t="s">
        <v>3425</v>
      </c>
      <c r="Q14" s="3495"/>
      <c r="R14" s="3495"/>
      <c r="S14" s="3495"/>
      <c r="T14">
        <f>S13*10000/R13</f>
        <v>14399.988530246696</v>
      </c>
    </row>
    <row r="15" spans="3:20" ht="24">
      <c r="L15" s="3493"/>
      <c r="M15" s="3493"/>
      <c r="N15" s="3487"/>
      <c r="O15" s="3487"/>
      <c r="P15" s="3487" t="s">
        <v>3426</v>
      </c>
      <c r="Q15" s="3495"/>
      <c r="R15" s="3495"/>
      <c r="S15" s="3495"/>
    </row>
    <row r="16" spans="3:20" ht="24">
      <c r="L16" s="3493"/>
      <c r="M16" s="3493"/>
      <c r="N16" s="3488"/>
      <c r="O16" s="3488"/>
      <c r="P16" s="3487" t="s">
        <v>3433</v>
      </c>
      <c r="Q16" s="3495"/>
      <c r="R16" s="3495"/>
      <c r="S16" s="3495"/>
    </row>
    <row r="17" spans="12:20" ht="14.25" thickBot="1">
      <c r="L17" s="3492"/>
      <c r="M17" s="3492"/>
      <c r="N17" s="3489"/>
      <c r="O17" s="3489"/>
      <c r="P17" s="3485"/>
      <c r="Q17" s="3496"/>
      <c r="R17" s="3496"/>
      <c r="S17" s="3496"/>
    </row>
    <row r="18" spans="12:20" ht="24">
      <c r="L18" s="3491">
        <v>4</v>
      </c>
      <c r="M18" s="3491" t="s">
        <v>3419</v>
      </c>
      <c r="N18" s="3487" t="s">
        <v>3420</v>
      </c>
      <c r="O18" s="3487" t="s">
        <v>3422</v>
      </c>
      <c r="P18" s="3487" t="s">
        <v>3424</v>
      </c>
      <c r="Q18" s="3494" t="s">
        <v>673</v>
      </c>
      <c r="R18" s="3494">
        <v>2645.92</v>
      </c>
      <c r="S18" s="3494">
        <v>4762.66</v>
      </c>
    </row>
    <row r="19" spans="12:20" ht="36">
      <c r="L19" s="3493"/>
      <c r="M19" s="3493"/>
      <c r="N19" s="3487" t="s">
        <v>3434</v>
      </c>
      <c r="O19" s="3487" t="s">
        <v>3435</v>
      </c>
      <c r="P19" s="3487" t="s">
        <v>3425</v>
      </c>
      <c r="Q19" s="3495"/>
      <c r="R19" s="3495"/>
      <c r="S19" s="3495"/>
      <c r="T19">
        <f>S18*10000/R18</f>
        <v>18000.015117615043</v>
      </c>
    </row>
    <row r="20" spans="12:20" ht="24">
      <c r="L20" s="3493"/>
      <c r="M20" s="3493"/>
      <c r="N20" s="3487"/>
      <c r="O20" s="3487"/>
      <c r="P20" s="3487" t="s">
        <v>3426</v>
      </c>
      <c r="Q20" s="3495"/>
      <c r="R20" s="3495"/>
      <c r="S20" s="3495"/>
    </row>
    <row r="21" spans="12:20" ht="24">
      <c r="L21" s="3493"/>
      <c r="M21" s="3493"/>
      <c r="N21" s="3488"/>
      <c r="O21" s="3488"/>
      <c r="P21" s="3487" t="s">
        <v>3436</v>
      </c>
      <c r="Q21" s="3495"/>
      <c r="R21" s="3495"/>
      <c r="S21" s="3495"/>
    </row>
    <row r="22" spans="12:20" ht="14.25" thickBot="1">
      <c r="L22" s="3492"/>
      <c r="M22" s="3492"/>
      <c r="N22" s="3489"/>
      <c r="O22" s="3489"/>
      <c r="P22" s="3485"/>
      <c r="Q22" s="3496"/>
      <c r="R22" s="3496"/>
      <c r="S22" s="3496"/>
    </row>
    <row r="23" spans="12:20" ht="14.25" thickBot="1">
      <c r="L23" s="3490" t="s">
        <v>3437</v>
      </c>
      <c r="M23" s="3486"/>
      <c r="N23" s="3485"/>
      <c r="O23" s="3485"/>
      <c r="P23" s="3485"/>
      <c r="Q23" s="3485"/>
      <c r="R23" s="3485">
        <f>SUM(R3:R22)</f>
        <v>8821.64</v>
      </c>
      <c r="S23" s="3485">
        <v>14335.93</v>
      </c>
      <c r="T23">
        <f>S23*10000/R23</f>
        <v>16250.867185693363</v>
      </c>
    </row>
  </sheetData>
  <mergeCells count="24">
    <mergeCell ref="L13:L17"/>
    <mergeCell ref="M13:M17"/>
    <mergeCell ref="Q13:Q17"/>
    <mergeCell ref="R13:R17"/>
    <mergeCell ref="S13:S17"/>
    <mergeCell ref="L18:L22"/>
    <mergeCell ref="M18:M22"/>
    <mergeCell ref="Q18:Q22"/>
    <mergeCell ref="R18:R22"/>
    <mergeCell ref="S18:S22"/>
    <mergeCell ref="R3:R7"/>
    <mergeCell ref="S3:S7"/>
    <mergeCell ref="L8:L12"/>
    <mergeCell ref="M8:M12"/>
    <mergeCell ref="Q8:Q12"/>
    <mergeCell ref="R8:R12"/>
    <mergeCell ref="S8:S12"/>
    <mergeCell ref="L1:L2"/>
    <mergeCell ref="M1:M2"/>
    <mergeCell ref="P1:P2"/>
    <mergeCell ref="Q1:Q2"/>
    <mergeCell ref="L3:L7"/>
    <mergeCell ref="M3:M7"/>
    <mergeCell ref="Q3:Q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9" sqref="K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881.68</v>
      </c>
      <c r="E3" s="41">
        <f>'数据-基础表'!AZ5</f>
        <v>8821.64</v>
      </c>
      <c r="F3" s="2439"/>
      <c r="G3" s="42"/>
      <c r="H3" s="43" t="s">
        <v>1106</v>
      </c>
      <c r="I3" s="802">
        <f>ROUND('数据-基础表'!B3/'数据-基础表'!A3,2)</f>
        <v>10.01</v>
      </c>
      <c r="J3" s="2439"/>
      <c r="K3" s="2439"/>
      <c r="L3" s="2439"/>
      <c r="M3" s="2439"/>
      <c r="N3" s="2440"/>
      <c r="O3" s="2439"/>
      <c r="P3" s="2439"/>
    </row>
    <row r="4" spans="1:16" ht="15">
      <c r="A4" s="3227"/>
      <c r="B4" s="3228"/>
      <c r="C4" s="3229"/>
      <c r="D4" s="1524" t="s">
        <v>1107</v>
      </c>
      <c r="E4" s="1525" t="s">
        <v>1108</v>
      </c>
      <c r="F4" s="2439"/>
      <c r="G4" s="2434" t="s">
        <v>1133</v>
      </c>
      <c r="H4" s="43" t="s">
        <v>1113</v>
      </c>
      <c r="I4" s="802">
        <f>ROUND(SUMIF('数据-基础表'!I9:AS9,"地上",'数据-基础表'!I5:AS5)/'数据-基础表'!A3,2)</f>
        <v>10.01</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f>ROUND(E31/D31,2)</f>
        <v>10.01</v>
      </c>
      <c r="J5" s="2439"/>
      <c r="K5" s="2439"/>
      <c r="L5" s="2439"/>
      <c r="M5" s="2439"/>
      <c r="N5" s="2439"/>
      <c r="O5" s="2439"/>
      <c r="P5" s="2439"/>
    </row>
    <row r="6" spans="1:16" ht="15" thickBot="1">
      <c r="A6" s="1527"/>
      <c r="B6" s="3230" t="s">
        <v>1111</v>
      </c>
      <c r="C6" s="3230"/>
      <c r="D6" s="43">
        <f>ROUND($D$3*E6/$E$3,2)</f>
        <v>881.68</v>
      </c>
      <c r="E6" s="44">
        <f>E3-E5</f>
        <v>8821.64</v>
      </c>
      <c r="F6" s="2439"/>
      <c r="G6" s="1529" t="s">
        <v>1112</v>
      </c>
      <c r="H6" s="45" t="s">
        <v>1113</v>
      </c>
      <c r="I6" s="2435">
        <f>ROUND(F31/D31,2)</f>
        <v>10.01</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881.68</v>
      </c>
      <c r="E8" s="46">
        <f>SUMIF('数据-基础表'!BB10:BK10,"地上",'数据-基础表'!BB5:BK5)</f>
        <v>8821.64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881.68</v>
      </c>
      <c r="E16" s="48">
        <f>SUM(E8:E15)</f>
        <v>8821.64</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4号楼201</v>
      </c>
      <c r="D19" s="43">
        <f>ROUND($D$3*E19/$E$3,2)</f>
        <v>188.85</v>
      </c>
      <c r="E19" s="51">
        <f t="shared" ref="E19:E26" si="1">SUM(F19:G19)</f>
        <v>1889.55</v>
      </c>
      <c r="F19" s="2558">
        <f>'数据-基础表'!I13</f>
        <v>1889.55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188.85</v>
      </c>
      <c r="S19" s="51">
        <f t="shared" si="5"/>
        <v>1889.55</v>
      </c>
    </row>
    <row r="20" spans="1:19">
      <c r="A20" s="1549"/>
      <c r="B20" s="45" t="s">
        <v>1153</v>
      </c>
      <c r="C20" s="3116" t="str">
        <f>'数据-基础表'!C14</f>
        <v>5号楼202</v>
      </c>
      <c r="D20" s="43">
        <f t="shared" ref="D20:D26" si="6">ROUND($D$3*E20/$E$3,2)</f>
        <v>264.45</v>
      </c>
      <c r="E20" s="51">
        <f t="shared" si="1"/>
        <v>2645.92</v>
      </c>
      <c r="F20" s="2558">
        <f>'数据-基础表'!I14</f>
        <v>2645.92</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264.45</v>
      </c>
      <c r="S20" s="51">
        <f t="shared" si="5"/>
        <v>2645.92</v>
      </c>
    </row>
    <row r="21" spans="1:19">
      <c r="A21" s="1549"/>
      <c r="B21" s="45" t="s">
        <v>1153</v>
      </c>
      <c r="C21" s="3116" t="str">
        <f>'数据-基础表'!C15</f>
        <v>4号楼301</v>
      </c>
      <c r="D21" s="43">
        <f t="shared" si="6"/>
        <v>219.25</v>
      </c>
      <c r="E21" s="51">
        <f t="shared" si="1"/>
        <v>2193.71</v>
      </c>
      <c r="F21" s="2558">
        <f>'数据-基础表'!I15</f>
        <v>2193.71</v>
      </c>
      <c r="G21" s="1243"/>
      <c r="H21" s="637">
        <f t="shared" si="7"/>
        <v>0</v>
      </c>
      <c r="I21" s="46">
        <f t="shared" si="2"/>
        <v>0</v>
      </c>
      <c r="J21" s="1071"/>
      <c r="K21" s="637">
        <f t="shared" si="3"/>
        <v>0</v>
      </c>
      <c r="L21" s="43">
        <f t="shared" si="4"/>
        <v>0</v>
      </c>
      <c r="M21" s="46">
        <f t="shared" si="8"/>
        <v>0</v>
      </c>
      <c r="N21" s="1550"/>
      <c r="O21" s="1551"/>
      <c r="P21" s="46">
        <f t="shared" si="9"/>
        <v>0</v>
      </c>
      <c r="R21" s="43">
        <f t="shared" si="5"/>
        <v>219.25</v>
      </c>
      <c r="S21" s="51">
        <f t="shared" si="5"/>
        <v>2193.71</v>
      </c>
    </row>
    <row r="22" spans="1:19">
      <c r="A22" s="1549"/>
      <c r="B22" s="45" t="s">
        <v>1153</v>
      </c>
      <c r="C22" s="3116" t="str">
        <f>'数据-基础表'!C16</f>
        <v>4号楼302</v>
      </c>
      <c r="D22" s="43">
        <f t="shared" si="6"/>
        <v>209.13</v>
      </c>
      <c r="E22" s="51">
        <f t="shared" si="1"/>
        <v>2092.46</v>
      </c>
      <c r="F22" s="2559">
        <f>'数据-基础表'!I16</f>
        <v>2092.46</v>
      </c>
      <c r="G22" s="2560"/>
      <c r="H22" s="637">
        <f t="shared" si="7"/>
        <v>0</v>
      </c>
      <c r="I22" s="46">
        <f t="shared" si="2"/>
        <v>0</v>
      </c>
      <c r="J22" s="1071"/>
      <c r="K22" s="637">
        <f t="shared" si="3"/>
        <v>0</v>
      </c>
      <c r="L22" s="43">
        <f t="shared" si="4"/>
        <v>0</v>
      </c>
      <c r="M22" s="46">
        <f t="shared" si="8"/>
        <v>0</v>
      </c>
      <c r="N22" s="1550"/>
      <c r="O22" s="1551"/>
      <c r="P22" s="46">
        <f t="shared" si="9"/>
        <v>0</v>
      </c>
      <c r="R22" s="43">
        <f t="shared" si="5"/>
        <v>209.13</v>
      </c>
      <c r="S22" s="51">
        <f t="shared" si="5"/>
        <v>2092.46</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881.68</v>
      </c>
      <c r="E27" s="1073">
        <f>IF(SUM(E19:E26)='数据-基础表'!BA5,SUM(E19:E26),IF(F27="地上面积有误","面积有误","地下面积有误"))</f>
        <v>8821.64</v>
      </c>
      <c r="F27" s="1072">
        <f>IF(SUM(F19:F26)=E8,SUM(F19:F26),"地上面积有误")</f>
        <v>8821.64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881.68</v>
      </c>
      <c r="S27" s="43">
        <f>IF(SUM(S19:S26)=$E$3,SUM(S19:S26),SUM(S19:S26)&amp;"误差"&amp;ROUND(SUM(S19:S26)-E3,2))</f>
        <v>8821.64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881.68</v>
      </c>
      <c r="E31" s="643">
        <f>E27+E30</f>
        <v>8821.64</v>
      </c>
      <c r="F31" s="644">
        <f>F27+F30</f>
        <v>8821.64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A24" sqref="AA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4号楼201</v>
      </c>
      <c r="B6" s="1587" t="str">
        <f>IF(A6=0,"","经营性")</f>
        <v>经营性</v>
      </c>
      <c r="C6" s="1588" t="s">
        <v>673</v>
      </c>
      <c r="D6" s="805">
        <f>SUMIF(项目基本情况!C$12:I$12,C6,项目基本情况!C$14:I$14)</f>
        <v>40</v>
      </c>
      <c r="E6" s="804">
        <f>IF(B6="","",SUMIF(项目基本情况!C$12:I$12,C6,项目基本情况!C$13:I$13))</f>
        <v>55324</v>
      </c>
      <c r="F6" s="61">
        <f>SUMIF(项目基本情况!C$12:I$12,C6,项目基本情况!C$15:I$15)</f>
        <v>26.56</v>
      </c>
      <c r="G6" s="62">
        <f>IF(ISERROR(ROUND(POWER(1+H6,D6-F6)*(POWER(1+H6,F6)-1)/(POWER(1+H6,D6)-1),3)),0,ROUND(POWER(1+H6,D6-F6)*(POWER(1+H6,F6)-1)/(POWER(1+H6,D6)-1),3))</f>
        <v>0.84699999999999998</v>
      </c>
      <c r="H6" s="691">
        <v>0.05</v>
      </c>
      <c r="I6" s="691">
        <v>5.5E-2</v>
      </c>
      <c r="J6" s="63">
        <v>7.4999999999999997E-2</v>
      </c>
      <c r="K6" s="970">
        <f>SUMIF('数据-汇总表'!C$19:C$33,A6,'数据-汇总表'!E$19:E$33)</f>
        <v>1889.55</v>
      </c>
      <c r="L6" s="692">
        <v>4500</v>
      </c>
      <c r="M6" s="64">
        <f t="shared" ref="M6:M14" si="0">ROUND(K6*L6/10000,0)</f>
        <v>850</v>
      </c>
      <c r="N6" s="690">
        <f>ROUND(1-(2024-2013)/60,2)</f>
        <v>0.82</v>
      </c>
      <c r="O6" s="64" t="str">
        <f>IF($N$5="成新度","——",ROUND(M6*N6,0))</f>
        <v>——</v>
      </c>
      <c r="P6" s="65" t="str">
        <f>IF($N$5="成新度","——",M6-O6)</f>
        <v>——</v>
      </c>
      <c r="Q6" s="693">
        <v>0.2</v>
      </c>
      <c r="R6" s="66">
        <f ca="1">SUMIF('数据-汇总表'!C$19:C$33,A6,'数据-汇总表'!R$19:R$27)</f>
        <v>188.85</v>
      </c>
      <c r="S6" s="49">
        <f>IF('数据-汇总表'!$I$17="按面积比例",SUMIF('数据-汇总表'!C$19:C$33,A6,'数据-汇总表'!K$19:K$33),SUMIF('数据-汇总表'!C$19:C$33,A6,'数据-汇总表'!N$19:N$33))</f>
        <v>0</v>
      </c>
      <c r="T6" s="1092">
        <f>ROUND($L$14*S6/10000,0)</f>
        <v>0</v>
      </c>
      <c r="U6" s="3127">
        <f>W22</f>
        <v>2.4499999999999997</v>
      </c>
      <c r="V6" s="67">
        <v>1.4999999999999999E-2</v>
      </c>
      <c r="W6" s="67">
        <v>0.15</v>
      </c>
      <c r="X6" s="979"/>
      <c r="Y6" s="68">
        <f>N6</f>
        <v>0.82</v>
      </c>
      <c r="Z6" s="69"/>
      <c r="AA6" s="63"/>
      <c r="AB6" s="63"/>
      <c r="AC6" s="979"/>
      <c r="AD6" s="70"/>
      <c r="AE6" s="980">
        <f ca="1">IF(AN6="",0,SUMIF(INDIRECT("'"&amp;AN6&amp;"'"&amp;"!E:E"),$AE$5,INDIRECT("'"&amp;AN6&amp;"'"&amp;"!F:F")))</f>
        <v>26.56</v>
      </c>
      <c r="AF6" s="74"/>
      <c r="AG6" s="130">
        <f>IF(AF6="",0,AE6-AF6)</f>
        <v>0</v>
      </c>
      <c r="AH6" s="71"/>
      <c r="AI6" s="73">
        <v>365</v>
      </c>
      <c r="AJ6" s="74"/>
      <c r="AK6" s="75">
        <v>5.0000000000000001E-3</v>
      </c>
      <c r="AL6" s="76">
        <v>1.5E-3</v>
      </c>
      <c r="AM6" s="77">
        <v>0.02</v>
      </c>
      <c r="AN6" s="1589" t="s">
        <v>3403</v>
      </c>
      <c r="AO6" s="50">
        <f ca="1">SUMIF(INDIRECT("'"&amp;AN6&amp;"'"&amp;"!A:A"),"总价",INDIRECT("'"&amp;AN6&amp;"'"&amp;"!B:B"))</f>
        <v>1817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5号楼202</v>
      </c>
      <c r="B7" s="1587" t="str">
        <f t="shared" ref="B7:B13" si="1">IF(A7=0,"","经营性")</f>
        <v>经营性</v>
      </c>
      <c r="C7" s="1588" t="s">
        <v>673</v>
      </c>
      <c r="D7" s="805">
        <f>SUMIF(项目基本情况!C$12:I$12,C7,项目基本情况!C$14:I$14)</f>
        <v>40</v>
      </c>
      <c r="E7" s="804">
        <f>IF(B7="","",SUMIF(项目基本情况!C$12:I$12,C7,项目基本情况!C$13:I$13))</f>
        <v>55324</v>
      </c>
      <c r="F7" s="61">
        <f>SUMIF(项目基本情况!C$12:I$12,C7,项目基本情况!C$15:I$15)</f>
        <v>26.56</v>
      </c>
      <c r="G7" s="62">
        <f t="shared" ref="G7:G11" si="2">IF(ISERROR(ROUND(POWER(1+H7,D7-F7)*(POWER(1+H7,F7)-1)/(POWER(1+H7,D7)-1),3)),0,ROUND(POWER(1+H7,D7-F7)*(POWER(1+H7,F7)-1)/(POWER(1+H7,D7)-1),3))</f>
        <v>0.84699999999999998</v>
      </c>
      <c r="H7" s="691">
        <f>H6</f>
        <v>0.05</v>
      </c>
      <c r="I7" s="691">
        <f t="shared" ref="I7:J7" si="3">I6</f>
        <v>5.5E-2</v>
      </c>
      <c r="J7" s="691">
        <f t="shared" si="3"/>
        <v>7.4999999999999997E-2</v>
      </c>
      <c r="K7" s="970">
        <f>SUMIF('数据-汇总表'!C$19:C$33,A7,'数据-汇总表'!E$19:E$33)</f>
        <v>2645.92</v>
      </c>
      <c r="L7" s="692">
        <f>L6</f>
        <v>4500</v>
      </c>
      <c r="M7" s="64">
        <f t="shared" si="0"/>
        <v>1191</v>
      </c>
      <c r="N7" s="690">
        <f>N6</f>
        <v>0.82</v>
      </c>
      <c r="O7" s="64" t="str">
        <f t="shared" ref="O7:O14" si="4">IF($N$5="成新度","——",ROUND(M7*N7,0))</f>
        <v>——</v>
      </c>
      <c r="P7" s="65" t="str">
        <f t="shared" ref="P7:P14" si="5">IF($N$5="成新度","——",M7-O7)</f>
        <v>——</v>
      </c>
      <c r="Q7" s="693">
        <f>Q6</f>
        <v>0.2</v>
      </c>
      <c r="R7" s="66">
        <f ca="1">SUMIF('数据-汇总表'!C$19:C$33,A7,'数据-汇总表'!R$19:R$27)</f>
        <v>264.45</v>
      </c>
      <c r="S7" s="49">
        <f>IF('数据-汇总表'!$I$17="按面积比例",SUMIF('数据-汇总表'!C$19:C$33,A7,'数据-汇总表'!K$19:K$33),SUMIF('数据-汇总表'!C$19:C$33,A7,'数据-汇总表'!N$19:N$33))</f>
        <v>0</v>
      </c>
      <c r="T7" s="1092">
        <f t="shared" ref="T7:T13" si="6">ROUND($L$14*S7/10000,0)</f>
        <v>0</v>
      </c>
      <c r="U7" s="3127"/>
      <c r="V7" s="67"/>
      <c r="W7" s="67"/>
      <c r="X7" s="979"/>
      <c r="Y7" s="68"/>
      <c r="Z7" s="69"/>
      <c r="AA7" s="63"/>
      <c r="AB7" s="63"/>
      <c r="AC7" s="979"/>
      <c r="AD7" s="70"/>
      <c r="AE7" s="980">
        <f t="shared" ref="AE7:AE13" ca="1" si="7">IF(AN7="",0,SUMIF(INDIRECT("'"&amp;AN7&amp;"'"&amp;"!E:E"),$AE$5,INDIRECT("'"&amp;AN7&amp;"'"&amp;"!F:F")))</f>
        <v>0</v>
      </c>
      <c r="AF7" s="74"/>
      <c r="AG7" s="130">
        <f t="shared" ref="AG7:AG13" si="8">IF(AF7="",0,AE7-AF7)</f>
        <v>0</v>
      </c>
      <c r="AH7" s="71"/>
      <c r="AI7" s="73"/>
      <c r="AJ7" s="74"/>
      <c r="AK7" s="75"/>
      <c r="AL7" s="76"/>
      <c r="AM7" s="77"/>
      <c r="AN7" s="1589"/>
      <c r="AO7" s="50" t="e">
        <f t="shared" ref="AO7:AO13" ca="1" si="9">SUMIF(INDIRECT("'"&amp;AN7&amp;"'"&amp;"!A:A"),"总价",INDIRECT("'"&amp;AN7&amp;"'"&amp;"!B:B"))</f>
        <v>#REF!</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4号楼301</v>
      </c>
      <c r="B8" s="1587" t="str">
        <f t="shared" si="1"/>
        <v>经营性</v>
      </c>
      <c r="C8" s="1588" t="s">
        <v>673</v>
      </c>
      <c r="D8" s="805">
        <f>SUMIF(项目基本情况!C$12:I$12,C8,项目基本情况!C$14:I$14)</f>
        <v>40</v>
      </c>
      <c r="E8" s="804">
        <f>IF(B8="","",SUMIF(项目基本情况!C$12:I$12,C8,项目基本情况!C$13:I$13))</f>
        <v>55324</v>
      </c>
      <c r="F8" s="61">
        <f>SUMIF(项目基本情况!C$12:I$12,C8,项目基本情况!C$15:I$15)</f>
        <v>26.56</v>
      </c>
      <c r="G8" s="62">
        <f t="shared" si="2"/>
        <v>0.84699999999999998</v>
      </c>
      <c r="H8" s="691">
        <f t="shared" ref="H8:H9" si="13">H7</f>
        <v>0.05</v>
      </c>
      <c r="I8" s="691">
        <f t="shared" ref="I8:I9" si="14">I7</f>
        <v>5.5E-2</v>
      </c>
      <c r="J8" s="691">
        <f t="shared" ref="J8:J9" si="15">J7</f>
        <v>7.4999999999999997E-2</v>
      </c>
      <c r="K8" s="970">
        <f>SUMIF('数据-汇总表'!C$19:C$33,A8,'数据-汇总表'!E$19:E$33)</f>
        <v>2193.71</v>
      </c>
      <c r="L8" s="692">
        <f t="shared" ref="L8:L9" si="16">L7</f>
        <v>4500</v>
      </c>
      <c r="M8" s="64">
        <f>ROUND(K8*L8/10000,0)</f>
        <v>987</v>
      </c>
      <c r="N8" s="690">
        <f t="shared" ref="N8:N13" si="17">N7</f>
        <v>0.82</v>
      </c>
      <c r="O8" s="64" t="str">
        <f t="shared" si="4"/>
        <v>——</v>
      </c>
      <c r="P8" s="65" t="str">
        <f t="shared" si="5"/>
        <v>——</v>
      </c>
      <c r="Q8" s="693">
        <f t="shared" ref="Q8:Q9" si="18">Q7</f>
        <v>0.2</v>
      </c>
      <c r="R8" s="66">
        <f ca="1">SUMIF('数据-汇总表'!C$19:C$33,A8,'数据-汇总表'!R$19:R$27)</f>
        <v>219.25</v>
      </c>
      <c r="S8" s="49">
        <f>IF('数据-汇总表'!$I$17="按面积比例",SUMIF('数据-汇总表'!C$19:C$33,A8,'数据-汇总表'!K$19:K$33),SUMIF('数据-汇总表'!C$19:C$33,A8,'数据-汇总表'!N$19:N$33))</f>
        <v>0</v>
      </c>
      <c r="T8" s="1092">
        <f t="shared" si="6"/>
        <v>0</v>
      </c>
      <c r="U8" s="3128"/>
      <c r="V8" s="694"/>
      <c r="W8" s="694"/>
      <c r="X8" s="979"/>
      <c r="Y8" s="68"/>
      <c r="Z8" s="69"/>
      <c r="AA8" s="63"/>
      <c r="AB8" s="63"/>
      <c r="AC8" s="979"/>
      <c r="AD8" s="70"/>
      <c r="AE8" s="980">
        <f t="shared" ca="1" si="7"/>
        <v>0</v>
      </c>
      <c r="AF8" s="74"/>
      <c r="AG8" s="130">
        <f t="shared" si="8"/>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4号楼302</v>
      </c>
      <c r="B9" s="1587" t="str">
        <f t="shared" si="1"/>
        <v>经营性</v>
      </c>
      <c r="C9" s="1588" t="s">
        <v>673</v>
      </c>
      <c r="D9" s="805">
        <f>SUMIF(项目基本情况!C$12:I$12,C9,项目基本情况!C$14:I$14)</f>
        <v>40</v>
      </c>
      <c r="E9" s="804">
        <f>IF(B9="","",SUMIF(项目基本情况!C$12:I$12,C9,项目基本情况!C$13:I$13))</f>
        <v>55324</v>
      </c>
      <c r="F9" s="61">
        <f>SUMIF(项目基本情况!C$12:I$12,C9,项目基本情况!C$15:I$15)</f>
        <v>26.56</v>
      </c>
      <c r="G9" s="62">
        <f t="shared" si="2"/>
        <v>0.84699999999999998</v>
      </c>
      <c r="H9" s="691">
        <f t="shared" si="13"/>
        <v>0.05</v>
      </c>
      <c r="I9" s="691">
        <f t="shared" si="14"/>
        <v>5.5E-2</v>
      </c>
      <c r="J9" s="691">
        <f t="shared" si="15"/>
        <v>7.4999999999999997E-2</v>
      </c>
      <c r="K9" s="970">
        <f>SUMIF('数据-汇总表'!C$19:C$33,A9,'数据-汇总表'!E$19:E$33)</f>
        <v>2092.46</v>
      </c>
      <c r="L9" s="692">
        <f t="shared" si="16"/>
        <v>4500</v>
      </c>
      <c r="M9" s="64">
        <f t="shared" si="0"/>
        <v>942</v>
      </c>
      <c r="N9" s="690">
        <f t="shared" si="17"/>
        <v>0.82</v>
      </c>
      <c r="O9" s="64" t="str">
        <f t="shared" si="4"/>
        <v>——</v>
      </c>
      <c r="P9" s="65" t="str">
        <f t="shared" si="5"/>
        <v>——</v>
      </c>
      <c r="Q9" s="693">
        <f t="shared" si="18"/>
        <v>0.2</v>
      </c>
      <c r="R9" s="66">
        <f ca="1">SUMIF('数据-汇总表'!C$19:C$33,A9,'数据-汇总表'!R$19:R$27)</f>
        <v>209.13</v>
      </c>
      <c r="S9" s="49">
        <f>IF('数据-汇总表'!$I$17="按面积比例",SUMIF('数据-汇总表'!C$19:C$33,A9,'数据-汇总表'!K$19:K$33),SUMIF('数据-汇总表'!C$19:C$33,A9,'数据-汇总表'!N$19:N$33))</f>
        <v>0</v>
      </c>
      <c r="T9" s="1092">
        <f t="shared" si="6"/>
        <v>0</v>
      </c>
      <c r="U9" s="3127"/>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v>5000</v>
      </c>
      <c r="M10" s="64">
        <f t="shared" si="0"/>
        <v>0</v>
      </c>
      <c r="N10" s="690">
        <f t="shared" si="17"/>
        <v>0.82</v>
      </c>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692">
        <v>5000</v>
      </c>
      <c r="M11" s="64">
        <f t="shared" si="0"/>
        <v>0</v>
      </c>
      <c r="N11" s="690">
        <f t="shared" si="17"/>
        <v>0.82</v>
      </c>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692">
        <v>5000</v>
      </c>
      <c r="M12" s="64">
        <f>ROUND(K12*L12/10000,0)</f>
        <v>0</v>
      </c>
      <c r="N12" s="690">
        <f t="shared" si="17"/>
        <v>0.82</v>
      </c>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692">
        <v>5000</v>
      </c>
      <c r="M13" s="64">
        <f>ROUND(K13*L13/10000,0)</f>
        <v>0</v>
      </c>
      <c r="N13" s="690">
        <f t="shared" si="17"/>
        <v>0.82</v>
      </c>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0.84699999999999998</v>
      </c>
      <c r="H16" s="84">
        <f>ROUND(SUMPRODUCT(H6:H13,K6:K13)/SUMPRODUCT((H6:H13&gt;0)*(K6:K13)),3)</f>
        <v>0.05</v>
      </c>
      <c r="I16" s="85"/>
      <c r="J16" s="85"/>
      <c r="K16" s="86">
        <f>SUM(K6:K15)</f>
        <v>8821.64</v>
      </c>
      <c r="L16" s="87">
        <f>ROUND(M16*10000/SUM(K6:K14),0)</f>
        <v>4500</v>
      </c>
      <c r="M16" s="87">
        <f>SUM(M6:M14)</f>
        <v>3970</v>
      </c>
      <c r="N16" s="88">
        <f>ROUND(SUMPRODUCT(M6:M14,N6:N14)/M16,3)</f>
        <v>0.82</v>
      </c>
      <c r="O16" s="87">
        <f>SUM(O6:O14)</f>
        <v>0</v>
      </c>
      <c r="P16" s="87">
        <f>SUM(P6:P14)</f>
        <v>0</v>
      </c>
      <c r="Q16" s="89">
        <f>ROUND(SUMPRODUCT(Q6:Q13,K6:K13)/SUMPRODUCT((Q6:Q13&gt;0)*(K6:K13)),2)</f>
        <v>0.2</v>
      </c>
      <c r="R16" s="974">
        <f ca="1">SUM(R6:R13)</f>
        <v>881.68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2290</v>
      </c>
      <c r="D20" s="2452"/>
      <c r="E20" s="2439"/>
      <c r="F20" s="2439"/>
      <c r="G20" s="2439"/>
      <c r="H20" s="2439"/>
      <c r="I20" s="2439"/>
      <c r="J20" s="2439"/>
      <c r="K20" s="2450"/>
      <c r="L20" s="2450"/>
      <c r="M20" s="2449"/>
      <c r="N20" s="2449"/>
      <c r="O20" s="2449"/>
      <c r="P20" s="2449"/>
      <c r="Q20" s="2449"/>
      <c r="R20" s="2449"/>
      <c r="S20" s="2449"/>
      <c r="T20" s="2449"/>
      <c r="U20" s="3482" t="s">
        <v>3407</v>
      </c>
      <c r="V20" s="3482" t="s">
        <v>3409</v>
      </c>
      <c r="W20" s="3482" t="s">
        <v>3408</v>
      </c>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v>1</v>
      </c>
      <c r="V21" s="2449">
        <v>1</v>
      </c>
      <c r="W21" s="2449">
        <v>3.5</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v>2</v>
      </c>
      <c r="V22" s="2449">
        <v>0.7</v>
      </c>
      <c r="W22" s="2449">
        <f>W21*V22</f>
        <v>2.4499999999999997</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v>3</v>
      </c>
      <c r="V23" s="2449">
        <v>0.6</v>
      </c>
      <c r="W23" s="2449">
        <f>W21*V23</f>
        <v>2.1</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60</v>
      </c>
      <c r="C27" s="2563" t="s">
        <v>2294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3368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5</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3</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2</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2275</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51">
      <c r="A15" s="2250" t="s">
        <v>2263</v>
      </c>
      <c r="B15" s="2288" t="s">
        <v>2250</v>
      </c>
      <c r="C15" s="2289">
        <f>C3</f>
        <v>0</v>
      </c>
      <c r="D15" s="2266"/>
      <c r="E15" s="2251" t="s">
        <v>2264</v>
      </c>
      <c r="F15" s="2288" t="s">
        <v>2265</v>
      </c>
      <c r="G15" s="2290">
        <f>G3</f>
        <v>0</v>
      </c>
    </row>
    <row r="16" spans="1:29" ht="38.25">
      <c r="A16" s="2252"/>
      <c r="B16" s="2291" t="s">
        <v>2252</v>
      </c>
      <c r="C16" s="2292">
        <f>C4</f>
        <v>0</v>
      </c>
      <c r="D16" s="2266"/>
      <c r="E16" s="2253"/>
      <c r="F16" s="2293" t="s">
        <v>2253</v>
      </c>
      <c r="G16" s="2294">
        <f>G4</f>
        <v>0</v>
      </c>
    </row>
    <row r="17" spans="1:17" ht="38.25">
      <c r="A17" s="2252"/>
      <c r="B17" s="2291" t="s">
        <v>2254</v>
      </c>
      <c r="C17" s="2292">
        <f>C5</f>
        <v>0</v>
      </c>
      <c r="D17" s="2245"/>
      <c r="E17" s="2253"/>
      <c r="F17" s="2293" t="s">
        <v>2266</v>
      </c>
      <c r="G17" s="2295"/>
    </row>
    <row r="18" spans="1:17" ht="38.25">
      <c r="A18" s="2252"/>
      <c r="B18" s="2293" t="s">
        <v>2256</v>
      </c>
      <c r="C18" s="2294">
        <f>C6</f>
        <v>0</v>
      </c>
      <c r="D18" s="2245"/>
      <c r="E18" s="2253"/>
      <c r="F18" s="2293" t="s">
        <v>2258</v>
      </c>
      <c r="G18" s="2294">
        <f>G7</f>
        <v>0</v>
      </c>
    </row>
    <row r="19" spans="1:17" ht="25.5">
      <c r="A19" s="2252"/>
      <c r="B19" s="2293" t="s">
        <v>2267</v>
      </c>
      <c r="C19" s="2295"/>
      <c r="D19" s="2266"/>
      <c r="E19" s="2253"/>
      <c r="F19" s="315" t="s">
        <v>2255</v>
      </c>
      <c r="G19" s="2294">
        <f>G5</f>
        <v>0</v>
      </c>
    </row>
    <row r="20" spans="1:17" ht="25.5">
      <c r="A20" s="2252"/>
      <c r="B20" s="2293" t="s">
        <v>2268</v>
      </c>
      <c r="C20" s="2292">
        <f>C9</f>
        <v>0</v>
      </c>
      <c r="D20" s="2245"/>
      <c r="E20" s="2253"/>
      <c r="F20" s="315" t="s">
        <v>2257</v>
      </c>
      <c r="G20" s="2294">
        <f>G6</f>
        <v>0</v>
      </c>
    </row>
    <row r="21" spans="1:17" ht="25.5">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5" sqref="H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8821.64</v>
      </c>
      <c r="C1" s="2462"/>
      <c r="D1" s="2462"/>
      <c r="E1" s="2462"/>
      <c r="F1" s="2462"/>
      <c r="G1" s="2463"/>
      <c r="H1" s="2463"/>
      <c r="I1" s="2463"/>
      <c r="J1" s="2463"/>
      <c r="K1" s="2463"/>
    </row>
    <row r="2" spans="1:11" ht="16.5">
      <c r="A2" s="2300" t="s">
        <v>653</v>
      </c>
      <c r="B2" s="2300">
        <f>SUM(C14:C23)</f>
        <v>879.68000000000006</v>
      </c>
      <c r="C2" s="2462"/>
      <c r="D2" s="2462"/>
      <c r="E2" s="2462"/>
      <c r="F2" s="2462"/>
      <c r="G2" s="2463"/>
      <c r="H2" s="2463"/>
      <c r="I2" s="2463"/>
      <c r="J2" s="2463"/>
      <c r="K2" s="2463"/>
    </row>
    <row r="3" spans="1:11" ht="16.5">
      <c r="A3" s="2300" t="s">
        <v>662</v>
      </c>
      <c r="B3" s="2302">
        <f>项目基本情况!D3</f>
        <v>45628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7268</v>
      </c>
      <c r="C5" s="2300">
        <f ca="1">IF(B5=D14,结果表!H102,ROUND(B5*10000/$B$1,0))</f>
        <v>8239</v>
      </c>
      <c r="D5" s="2300">
        <f ca="1">ROUND(B5*10000/$B$2,0)</f>
        <v>82621</v>
      </c>
      <c r="E5" s="2462"/>
      <c r="F5" s="2463"/>
      <c r="G5" s="2463"/>
      <c r="H5" s="2463"/>
      <c r="I5" s="2463"/>
      <c r="J5" s="2463"/>
      <c r="K5" s="2463"/>
    </row>
    <row r="6" spans="1:11" ht="16.5">
      <c r="A6" s="2300" t="s">
        <v>656</v>
      </c>
      <c r="B6" s="2300">
        <f ca="1">SUM(G14:G23)</f>
        <v>7268</v>
      </c>
      <c r="C6" s="2300">
        <f ca="1">IF(B6=G14,结果表!H108,ROUND(B6*10000/$B$1,0))</f>
        <v>8239</v>
      </c>
      <c r="D6" s="2300">
        <f ca="1">ROUND(B6*10000/$B$2,0)</f>
        <v>82621</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典型户型修正!B24</f>
        <v>1889.55</v>
      </c>
      <c r="C14" s="2306">
        <f>面积!$F$3</f>
        <v>194.38</v>
      </c>
      <c r="D14" s="2306">
        <f ca="1">典型户型修正!S24</f>
        <v>1662</v>
      </c>
      <c r="E14" s="2306">
        <f ca="1">ROUND(D14*10000/B14,0)</f>
        <v>8796</v>
      </c>
      <c r="F14" s="2306">
        <f ca="1">ROUND(D14*10000/C14,0)</f>
        <v>85503</v>
      </c>
      <c r="G14" s="2306">
        <f ca="1">D14</f>
        <v>1662</v>
      </c>
      <c r="H14" s="2306"/>
      <c r="I14" s="2306"/>
      <c r="J14" s="2463"/>
      <c r="K14" s="2463"/>
    </row>
    <row r="15" spans="1:11" ht="16.5">
      <c r="A15" s="2305" t="s">
        <v>649</v>
      </c>
      <c r="B15" s="2306">
        <f>典型户型修正!B25</f>
        <v>2645.92</v>
      </c>
      <c r="C15" s="2306">
        <f>面积!$F$4</f>
        <v>244.35</v>
      </c>
      <c r="D15" s="2306">
        <f ca="1">典型户型修正!S25</f>
        <v>2281</v>
      </c>
      <c r="E15" s="2306">
        <f t="shared" ref="E15:E23" ca="1" si="0">ROUND(D15*10000/B15,0)</f>
        <v>8621</v>
      </c>
      <c r="F15" s="2306">
        <f t="shared" ref="F15:F23" ca="1" si="1">ROUND(D15*10000/C15,0)</f>
        <v>93350</v>
      </c>
      <c r="G15" s="2306">
        <f t="shared" ref="G15:G17" ca="1" si="2">D15</f>
        <v>2281</v>
      </c>
      <c r="H15" s="1244"/>
      <c r="I15" s="2307"/>
      <c r="J15" s="2463"/>
      <c r="K15" s="2463"/>
    </row>
    <row r="16" spans="1:11" ht="16.5">
      <c r="A16" s="2305" t="s">
        <v>648</v>
      </c>
      <c r="B16" s="2306">
        <f>典型户型修正!B26</f>
        <v>2193.71</v>
      </c>
      <c r="C16" s="2306">
        <f>面积!$F$5</f>
        <v>225.69</v>
      </c>
      <c r="D16" s="2306">
        <f ca="1">典型户型修正!S26</f>
        <v>1702</v>
      </c>
      <c r="E16" s="2306">
        <f t="shared" ca="1" si="0"/>
        <v>7759</v>
      </c>
      <c r="F16" s="2306">
        <f t="shared" ca="1" si="1"/>
        <v>75413</v>
      </c>
      <c r="G16" s="2306">
        <f t="shared" ca="1" si="2"/>
        <v>1702</v>
      </c>
      <c r="H16" s="1244"/>
      <c r="I16" s="2307"/>
      <c r="J16" s="2463"/>
      <c r="K16" s="2463"/>
    </row>
    <row r="17" spans="1:11" ht="16.5">
      <c r="A17" s="2305" t="s">
        <v>647</v>
      </c>
      <c r="B17" s="2306">
        <f>典型户型修正!B27</f>
        <v>2092.46</v>
      </c>
      <c r="C17" s="2306">
        <f>面积!$F$6</f>
        <v>215.26</v>
      </c>
      <c r="D17" s="2306">
        <f ca="1">典型户型修正!S27</f>
        <v>1623</v>
      </c>
      <c r="E17" s="2306">
        <f t="shared" ca="1" si="0"/>
        <v>7756</v>
      </c>
      <c r="F17" s="2306">
        <f t="shared" ca="1" si="1"/>
        <v>75397</v>
      </c>
      <c r="G17" s="2306">
        <f t="shared" ca="1" si="2"/>
        <v>1623</v>
      </c>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3394</v>
      </c>
      <c r="D1" s="646"/>
      <c r="E1" s="646"/>
      <c r="F1" s="1621" t="s">
        <v>1263</v>
      </c>
      <c r="G1" s="1453" t="s">
        <v>3564</v>
      </c>
      <c r="H1" s="1621" t="str">
        <f>IF(G1="现房","——","估价对象范围")</f>
        <v>——</v>
      </c>
      <c r="I1" s="1622" t="s">
        <v>3565</v>
      </c>
    </row>
    <row r="2" spans="1:12" ht="21.75" customHeight="1" thickBot="1">
      <c r="A2" s="3267" t="str">
        <f>项目基本情况!S2</f>
        <v>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3402</v>
      </c>
      <c r="D4" s="1626" t="s">
        <v>3403</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4</v>
      </c>
      <c r="D14" s="3270">
        <v>6</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57" t="s">
        <v>2129</v>
      </c>
      <c r="F18" s="3258"/>
      <c r="G18" s="3258"/>
      <c r="H18" s="3258"/>
      <c r="I18" s="3258"/>
      <c r="K18" s="294" t="s">
        <v>1289</v>
      </c>
      <c r="L18" s="294">
        <f>IF(C1="",'数据-汇总表'!E3,SUMIF(项目类型,C1,'数据-汇总表'!E17:E26)+SUMIF(项目类型,C1,'数据-汇总表'!I17:I26))</f>
        <v>1889.55</v>
      </c>
      <c r="M18" s="294">
        <f>IF(C1="",'数据-汇总表'!E3,SUMIF(项目类型,C1,'数据-汇总表'!E17:E26))</f>
        <v>1889.55</v>
      </c>
    </row>
    <row r="19" spans="1:36" ht="15">
      <c r="A19" s="1630" t="s">
        <v>1290</v>
      </c>
      <c r="B19" s="1631" t="s">
        <v>1291</v>
      </c>
      <c r="C19" s="126">
        <f ca="1">SUMIF(INDIRECT("'"&amp;C4&amp;"'"&amp;"!A:A"),结果表!B19,INDIRECT("'"&amp;C4&amp;"'"&amp;"!B:B"))</f>
        <v>1429</v>
      </c>
      <c r="D19" s="127">
        <f ca="1">SUMIF(INDIRECT("'"&amp;D4&amp;"'"&amp;"!A:A"),结果表!B19,INDIRECT("'"&amp;D4&amp;"'"&amp;"!B:B"))</f>
        <v>1817</v>
      </c>
      <c r="E19" s="1630" t="s">
        <v>1292</v>
      </c>
      <c r="F19" s="1631" t="s">
        <v>1291</v>
      </c>
      <c r="G19" s="128">
        <f ca="1">ROUND(C19*$C$18+D19*$D$18,0)</f>
        <v>1662</v>
      </c>
      <c r="H19" s="1632" t="s">
        <v>1293</v>
      </c>
      <c r="I19" s="121"/>
      <c r="K19" s="294" t="s">
        <v>1294</v>
      </c>
      <c r="L19" s="294">
        <f>IF(C1="",'数据-汇总表'!D3,SUMIF(项目类型,C1,'数据-汇总表'!D17:D26)+SUMIF(项目类型,C1,'数据-汇总表'!H17:H27))</f>
        <v>188.85</v>
      </c>
      <c r="M19" s="294">
        <f>IF(C1="",'数据-汇总表'!D3,SUMIF(项目类型,C1,'数据-汇总表'!D17:D26))</f>
        <v>188.85</v>
      </c>
    </row>
    <row r="20" spans="1:36" ht="15">
      <c r="A20" s="1633"/>
      <c r="B20" s="43" t="s">
        <v>1295</v>
      </c>
      <c r="C20" s="129">
        <f ca="1">SUMIF(INDIRECT("'"&amp;C4&amp;"'"&amp;"!A:A"),结果表!B20,INDIRECT("'"&amp;C4&amp;"'"&amp;"!B:B"))</f>
        <v>7563</v>
      </c>
      <c r="D20" s="130">
        <f ca="1">SUMIF(INDIRECT("'"&amp;D4&amp;"'"&amp;"!A:A"),结果表!B20,INDIRECT("'"&amp;D4&amp;"'"&amp;"!B:B"))</f>
        <v>9616</v>
      </c>
      <c r="E20" s="1633"/>
      <c r="F20" s="43" t="s">
        <v>1295</v>
      </c>
      <c r="G20" s="131">
        <f ca="1">ROUND(C20*$C$18+D20*$D$18,0)</f>
        <v>8795</v>
      </c>
      <c r="H20" s="760" t="s">
        <v>1296</v>
      </c>
      <c r="I20" s="121"/>
    </row>
    <row r="21" spans="1:36" ht="15" customHeight="1" thickBot="1">
      <c r="A21" s="449"/>
      <c r="B21" s="93" t="s">
        <v>1297</v>
      </c>
      <c r="C21" s="678">
        <f ca="1">ROUND(C19*10000/L19,0)</f>
        <v>75669</v>
      </c>
      <c r="D21" s="679">
        <f ca="1">ROUND(D19*10000/L19,0)</f>
        <v>96214</v>
      </c>
      <c r="E21" s="449"/>
      <c r="F21" s="93" t="s">
        <v>1297</v>
      </c>
      <c r="G21" s="132">
        <f ca="1">ROUND(G19*10000/L19,0)</f>
        <v>88006</v>
      </c>
      <c r="H21" s="1634" t="s">
        <v>1296</v>
      </c>
      <c r="I21" s="121"/>
    </row>
    <row r="22" spans="1:36" ht="15" thickBot="1">
      <c r="A22" s="1564" t="s">
        <v>1298</v>
      </c>
      <c r="B22" s="1635"/>
      <c r="C22" s="1636"/>
      <c r="D22" s="680">
        <f ca="1">IF(C19&lt;D19,D19/C19-1,C19/D19-1)</f>
        <v>0.27151854443666901</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8795</v>
      </c>
      <c r="D32" s="1641" t="s">
        <v>3570</v>
      </c>
      <c r="E32" s="121"/>
      <c r="F32" s="121"/>
      <c r="G32" s="121"/>
      <c r="H32" s="121"/>
      <c r="I32" s="121"/>
    </row>
    <row r="33" spans="1:15" ht="15">
      <c r="A33" s="740" t="s">
        <v>1306</v>
      </c>
      <c r="B33" s="123"/>
      <c r="C33" s="1642" t="s">
        <v>3571</v>
      </c>
      <c r="D33" s="1643" t="s">
        <v>3402</v>
      </c>
      <c r="E33" s="1644" t="s">
        <v>1307</v>
      </c>
      <c r="F33" s="1645" t="str">
        <f>IF(D32="楼面单价","取值（单价）","取值（总价）")</f>
        <v>取值（单价）</v>
      </c>
      <c r="G33" s="121"/>
      <c r="H33" s="121"/>
      <c r="I33" s="121"/>
    </row>
    <row r="34" spans="1:15" ht="15">
      <c r="A34" s="1646"/>
      <c r="B34" s="1647" t="s">
        <v>1308</v>
      </c>
      <c r="C34" s="140">
        <f ca="1">IF(C33="自定义",F34,C32-C35)</f>
        <v>2146</v>
      </c>
      <c r="D34" s="808">
        <f ca="1">IF(C33="自定义",ROUND(C34/C32,3),IF(C33="收益比率",SUMIF(INDIRECT("'"&amp;D33&amp;"'"&amp;"!b:b"),"土地收益比率",INDIRECT("'"&amp;D33&amp;"'"&amp;"!c:c")),SUMIF(INDIRECT("'"&amp;D33&amp;"'"&amp;"!b:b"),"土地成本比率",INDIRECT("'"&amp;D33&amp;"'"&amp;"!c:c"))))</f>
        <v>0.24399999999999999</v>
      </c>
      <c r="E34" s="1648" t="s">
        <v>1309</v>
      </c>
      <c r="F34" s="1243"/>
      <c r="G34" s="121"/>
      <c r="H34" s="121"/>
      <c r="I34" s="121"/>
    </row>
    <row r="35" spans="1:15" ht="15.75" thickBot="1">
      <c r="A35" s="1649"/>
      <c r="B35" s="1650" t="s">
        <v>1310</v>
      </c>
      <c r="C35" s="1090">
        <f ca="1">IF(C33="自定义",F35,ROUND(C32*D35,0))</f>
        <v>6649</v>
      </c>
      <c r="D35" s="1091">
        <f ca="1">IF(C33="自定义",ROUND(C35/C32,3),IF(C33="收益比率",SUMIF(INDIRECT("'"&amp;D33&amp;"'"&amp;"!b:b"),"建筑物收益比率",INDIRECT("'"&amp;D33&amp;"'"&amp;"!c:c")),SUMIF(INDIRECT("'"&amp;D33&amp;"'"&amp;"!b:b"),"建筑物成本比率",INDIRECT("'"&amp;D33&amp;"'"&amp;"!c:c"))))</f>
        <v>0.75600000000000001</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1662</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45628</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7" t="s">
        <v>1340</v>
      </c>
      <c r="L48" s="3297"/>
      <c r="M48" s="3319">
        <f ca="1">H101</f>
        <v>1662</v>
      </c>
      <c r="N48" s="3319"/>
      <c r="O48" s="3319"/>
    </row>
    <row r="49" spans="1:35" ht="25.5" customHeight="1">
      <c r="A49" s="2152" t="s">
        <v>1341</v>
      </c>
      <c r="B49" s="3233" t="s">
        <v>1342</v>
      </c>
      <c r="C49" s="3233"/>
      <c r="D49" s="1478">
        <v>0</v>
      </c>
      <c r="E49" s="316" t="s">
        <v>1343</v>
      </c>
      <c r="F49" s="2233" t="s">
        <v>28</v>
      </c>
      <c r="G49" s="3303"/>
      <c r="H49" s="2134" t="s">
        <v>2132</v>
      </c>
      <c r="I49" s="2135"/>
      <c r="J49" s="2310">
        <v>4</v>
      </c>
      <c r="K49" s="3297" t="str">
        <f>IF(项目基本情况!E8="房地产抵押价值","房地产抵押价值","抵押担保权已注销时的房地产抵押价值")</f>
        <v>房地产抵押价值</v>
      </c>
      <c r="L49" s="3297"/>
      <c r="M49" s="3319">
        <f ca="1">IF(项目基本情况!E8="房地产抵押价值",H107,H109)</f>
        <v>1662</v>
      </c>
      <c r="N49" s="3319"/>
      <c r="O49" s="3319"/>
    </row>
    <row r="50" spans="1:35" ht="25.5" customHeight="1">
      <c r="A50" s="2338"/>
      <c r="B50" s="3233" t="s">
        <v>1344</v>
      </c>
      <c r="C50" s="3233"/>
      <c r="D50" s="2189"/>
      <c r="E50" s="323"/>
      <c r="F50" s="2233"/>
      <c r="G50" s="3304"/>
      <c r="H50" s="2136" t="s">
        <v>2133</v>
      </c>
      <c r="I50" s="2135"/>
      <c r="J50" s="3316" t="s">
        <v>1345</v>
      </c>
      <c r="K50" s="3316"/>
      <c r="L50" s="3316"/>
      <c r="M50" s="3316"/>
      <c r="N50" s="3316"/>
      <c r="O50" s="3316"/>
    </row>
    <row r="51" spans="1:35" ht="20.45" customHeight="1">
      <c r="A51" s="2339"/>
      <c r="B51" s="3233" t="s">
        <v>1346</v>
      </c>
      <c r="C51" s="3233"/>
      <c r="D51" s="1024"/>
      <c r="E51" s="319"/>
      <c r="F51" s="2233"/>
      <c r="G51" s="3305"/>
      <c r="H51" s="2136" t="s">
        <v>2134</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89</v>
      </c>
      <c r="E52" s="1256" t="s">
        <v>1354</v>
      </c>
      <c r="F52" s="2340">
        <f>'数据-取费表'!B41</f>
        <v>5.6000000000000001E-2</v>
      </c>
      <c r="G52" s="2341"/>
      <c r="H52" s="2331"/>
      <c r="I52" s="1669"/>
      <c r="J52" s="2310">
        <v>1</v>
      </c>
      <c r="K52" s="3298" t="s">
        <v>1355</v>
      </c>
      <c r="L52" s="3298"/>
      <c r="M52" s="2312" t="b">
        <f>D48</f>
        <v>0</v>
      </c>
      <c r="N52" s="2310" t="str">
        <f>E48</f>
        <v>销售额×税（费）率</v>
      </c>
      <c r="O52" s="2313">
        <f>F48</f>
        <v>5.6000000000000001E-2</v>
      </c>
    </row>
    <row r="53" spans="1:35" ht="12" customHeight="1">
      <c r="A53" s="2153" t="s">
        <v>1356</v>
      </c>
      <c r="B53" s="3259" t="s">
        <v>2280</v>
      </c>
      <c r="C53" s="3260"/>
      <c r="D53" s="1024">
        <f ca="1">ROUND(D45*'数据-取费表'!B41/(1+'数据-取费表'!C42),0)</f>
        <v>89</v>
      </c>
      <c r="E53" s="1256" t="s">
        <v>1354</v>
      </c>
      <c r="F53" s="2340">
        <f>'数据-取费表'!B41</f>
        <v>5.6000000000000001E-2</v>
      </c>
      <c r="G53" s="2341"/>
      <c r="H53" s="2331"/>
      <c r="I53" s="1669"/>
      <c r="J53" s="2310">
        <v>2</v>
      </c>
      <c r="K53" s="3298" t="s">
        <v>1357</v>
      </c>
      <c r="L53" s="3298"/>
      <c r="M53" s="2312">
        <f t="shared" ref="M53:O54" ca="1" si="0">D55</f>
        <v>1</v>
      </c>
      <c r="N53" s="2310" t="str">
        <f t="shared" si="0"/>
        <v>销售额×税（费）率</v>
      </c>
      <c r="O53" s="2313" t="str">
        <f t="shared" si="0"/>
        <v>免征</v>
      </c>
    </row>
    <row r="54" spans="1:35" ht="12" customHeight="1">
      <c r="A54" s="2153" t="s">
        <v>1358</v>
      </c>
      <c r="B54" s="3259" t="s">
        <v>2281</v>
      </c>
      <c r="C54" s="3260"/>
      <c r="D54" s="1024">
        <f ca="1">C68</f>
        <v>89</v>
      </c>
      <c r="E54" s="319" t="s">
        <v>1359</v>
      </c>
      <c r="F54" s="2340">
        <f>'数据-取费表'!B41</f>
        <v>5.6000000000000001E-2</v>
      </c>
      <c r="G54" s="2341"/>
      <c r="H54" s="2342"/>
      <c r="I54" s="1669"/>
      <c r="J54" s="2310">
        <v>3</v>
      </c>
      <c r="K54" s="3298" t="s">
        <v>1360</v>
      </c>
      <c r="L54" s="3298"/>
      <c r="M54" s="2312">
        <f t="shared" ca="1" si="0"/>
        <v>941</v>
      </c>
      <c r="N54" s="2310" t="str">
        <f t="shared" si="0"/>
        <v>增值额×税（费）率</v>
      </c>
      <c r="O54" s="2314" t="str">
        <f t="shared" si="0"/>
        <v>免征</v>
      </c>
    </row>
    <row r="55" spans="1:35" ht="24" customHeight="1">
      <c r="A55" s="3248" t="s">
        <v>1361</v>
      </c>
      <c r="B55" s="3249"/>
      <c r="C55" s="3249"/>
      <c r="D55" s="12">
        <f ca="1">IF(H55="个人住宅",0,ROUND(D45*I55,0))</f>
        <v>1</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16</v>
      </c>
      <c r="N55" s="1883" t="str">
        <f>E59</f>
        <v>差额计税</v>
      </c>
      <c r="O55" s="2316">
        <f>F59</f>
        <v>0.01</v>
      </c>
    </row>
    <row r="56" spans="1:35" ht="24.75">
      <c r="A56" s="3248" t="s">
        <v>1363</v>
      </c>
      <c r="B56" s="3249"/>
      <c r="C56" s="3249"/>
      <c r="D56" s="12">
        <f ca="1">IF(H56="个人住宅",D57,D58)</f>
        <v>941</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958</v>
      </c>
      <c r="O57" s="2320"/>
      <c r="P57" s="2465">
        <f ca="1">N57/M49</f>
        <v>0.57641395908543924</v>
      </c>
    </row>
    <row r="58" spans="1:35" ht="24.75">
      <c r="A58" s="2153" t="s">
        <v>1352</v>
      </c>
      <c r="B58" s="3259" t="s">
        <v>1369</v>
      </c>
      <c r="C58" s="3233"/>
      <c r="D58" s="12">
        <f ca="1">IF(H58="转让取得",C81,C97)</f>
        <v>941</v>
      </c>
      <c r="E58" s="1256" t="s">
        <v>1364</v>
      </c>
      <c r="F58" s="294" t="s">
        <v>28</v>
      </c>
      <c r="G58" s="2341"/>
      <c r="H58" s="2344"/>
      <c r="I58" s="1670"/>
      <c r="J58" s="3298"/>
      <c r="K58" s="3298"/>
      <c r="L58" s="2317" t="s">
        <v>1370</v>
      </c>
      <c r="M58" s="2321"/>
      <c r="N58" s="2322" t="str">
        <f ca="1">NUMBERSTRING(INT(N57*10000),2)&amp;"元整"</f>
        <v>玖佰伍拾捌万元整</v>
      </c>
      <c r="O58" s="2323"/>
    </row>
    <row r="59" spans="1:35" ht="24.75" thickBot="1">
      <c r="A59" s="3301" t="s">
        <v>1371</v>
      </c>
      <c r="B59" s="3302"/>
      <c r="C59" s="3302"/>
      <c r="D59" s="2346">
        <f ca="1">IF(H59="非个人房产","——",IF(H59="个人住宅（满五唯一有凭证）",0,IF(H59="个人其他（无凭证）",ROUND(D45*F59,0),ROUND(C67*F59,0))))</f>
        <v>16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299">
        <f>J57+1</f>
        <v>6</v>
      </c>
      <c r="K59" s="3298" t="s">
        <v>1372</v>
      </c>
      <c r="L59" s="2310" t="s">
        <v>1368</v>
      </c>
      <c r="M59" s="2324"/>
      <c r="N59" s="2325">
        <f ca="1">M49-N57</f>
        <v>704</v>
      </c>
      <c r="O59" s="2326"/>
    </row>
    <row r="60" spans="1:35" ht="12" customHeight="1">
      <c r="A60" s="1671"/>
      <c r="B60" s="646"/>
      <c r="C60" s="646"/>
      <c r="D60" s="646"/>
      <c r="E60" s="1466"/>
      <c r="F60" s="1670"/>
      <c r="G60" s="1670"/>
      <c r="H60" s="151"/>
      <c r="I60" s="121"/>
      <c r="J60" s="3300"/>
      <c r="K60" s="3298"/>
      <c r="L60" s="2317" t="s">
        <v>1370</v>
      </c>
      <c r="M60" s="2321"/>
      <c r="N60" s="2322" t="str">
        <f ca="1">NUMBERSTRING(INT(N59*10000),2)&amp;"元整"</f>
        <v>柒佰零肆万元整</v>
      </c>
      <c r="O60" s="2323"/>
    </row>
    <row r="61" spans="1:35" ht="13.5" thickBot="1">
      <c r="A61" s="3246" t="s">
        <v>1373</v>
      </c>
      <c r="B61" s="3246"/>
      <c r="C61" s="3246"/>
      <c r="D61" s="3246"/>
      <c r="E61" s="3246"/>
      <c r="F61" s="1670"/>
      <c r="G61" s="1670"/>
      <c r="H61" s="151"/>
      <c r="I61" s="121"/>
      <c r="J61" s="2310">
        <f>J59+1</f>
        <v>7</v>
      </c>
      <c r="K61" s="3298" t="s">
        <v>1374</v>
      </c>
      <c r="L61" s="3298"/>
      <c r="M61" s="2327"/>
      <c r="N61" s="2328">
        <f ca="1">ROUND(N59*10000/'数据-汇总表'!E3,0)</f>
        <v>798</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1583</v>
      </c>
      <c r="D63" s="159"/>
      <c r="E63" s="160"/>
      <c r="F63" s="1670"/>
      <c r="G63" s="1670"/>
      <c r="H63" s="151"/>
      <c r="I63" s="121"/>
      <c r="J63" s="3323" t="s">
        <v>1379</v>
      </c>
      <c r="K63" s="1245" t="s">
        <v>1380</v>
      </c>
      <c r="L63" s="1245">
        <f ca="1">IF(M49&gt;10000,M49*0.5%,IF(AND(M49&gt;1000,M49&lt;=10000),M49*1%,IF(AND(M49&gt;100,M49&lt;=1000),M49*3%,IF(AND(M49&gt;10,M49&lt;=100),M49*5%,M49*8%))))</f>
        <v>16.62</v>
      </c>
      <c r="M63" s="294">
        <f ca="1">ROUND(L63,1)</f>
        <v>16.600000000000001</v>
      </c>
      <c r="N63" s="2330"/>
      <c r="Z63" s="1623"/>
      <c r="AI63" s="1561"/>
    </row>
    <row r="64" spans="1:35" ht="14.25" customHeight="1">
      <c r="A64" s="161" t="s">
        <v>325</v>
      </c>
      <c r="B64" s="162" t="s">
        <v>1381</v>
      </c>
      <c r="C64" s="2351">
        <f ca="1">D45</f>
        <v>1662</v>
      </c>
      <c r="D64" s="162" t="s">
        <v>26</v>
      </c>
      <c r="E64" s="164"/>
      <c r="F64" s="1670"/>
      <c r="G64" s="1670"/>
      <c r="H64" s="151"/>
      <c r="I64" s="121"/>
      <c r="J64" s="3323"/>
      <c r="K64" s="1245" t="s">
        <v>1382</v>
      </c>
      <c r="L64" s="1245">
        <f ca="1">IF(M49&gt;2000,M49*0.5%,IF(AND(M49&gt;1000,M49&lt;=2000),M49*0.6%,IF(AND(M49&gt;500,M49&lt;=1000),M49*0.7%,IF(AND(M49&gt;200,M49&lt;=500),M49*0.8%,IF(AND(M49&gt;100,M49&lt;=200),M49*0.9%,IF(AND(M49&gt;50,M49&lt;=100),M49*1%,IF(AND(M49&gt;20,M49&lt;=50),M49*1.5%,IF(AND(M49&gt;10,M49&lt;=20),M49*2%,IF(AND(M49&gt;1,M49&lt;=10),M49*2.5%)))))))))</f>
        <v>9.9719999999999995</v>
      </c>
      <c r="M64" s="294">
        <f t="shared" ref="M64:M65" ca="1" si="1">ROUND(L64,1)</f>
        <v>10</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f ca="1">IF(M49&gt;1000,M49*0.1%,IF(AND(M49&gt;500,M49&lt;=1000),M49*0.5%,IF(AND(M49&gt;50,M49&lt;=500),M49*1%,IF(AND(M49&gt;1,M49&lt;=50),M49*1.5%))))</f>
        <v>1.6620000000000001</v>
      </c>
      <c r="M65" s="294">
        <f t="shared" ca="1" si="1"/>
        <v>1.7</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f ca="1">M49*0.5%</f>
        <v>8.31</v>
      </c>
      <c r="M66" s="294">
        <f ca="1">IF(L66&gt;0.5,0.5,ROUND(L66,0))</f>
        <v>0.5</v>
      </c>
      <c r="N66" s="2331" t="s">
        <v>1388</v>
      </c>
      <c r="Z66" s="1623"/>
      <c r="AI66" s="1561"/>
    </row>
    <row r="67" spans="1:35" ht="14.25" customHeight="1">
      <c r="A67" s="165" t="s">
        <v>328</v>
      </c>
      <c r="B67" s="166" t="s">
        <v>1389</v>
      </c>
      <c r="C67" s="2354">
        <f ca="1">C63-C66</f>
        <v>1583</v>
      </c>
      <c r="D67" s="162" t="s">
        <v>26</v>
      </c>
      <c r="E67" s="164"/>
      <c r="F67" s="1670"/>
      <c r="G67" s="1670"/>
      <c r="H67" s="151"/>
      <c r="I67" s="121"/>
      <c r="J67" s="3323"/>
      <c r="K67" s="1245" t="s">
        <v>1390</v>
      </c>
      <c r="L67" s="1245">
        <f ca="1">IF(M49&gt;=10000,(8.25+(M49-10000)*0.01%),IF(AND(M49&gt;=8000,M49&lt;10000),(7.85+(M49-8000)*0.02%),IF(AND(M49&gt;=5000,M49&lt;8000),(6.65+(M49-5000)*0.04%),IF(AND(M49&gt;=2000,M49&lt;5000),(4.25+(PM49-2000)*0.08%),IF(AND(M49&gt;=1000,M49&lt;2000),(2.75+(M49-1000)*0.15%),IF(AND(M49&gt;=100,M49&lt;1000),(0.5+(M49-100)*0.25%),IF(AND(M49&gt;0,M49&lt;100),M49*0.5%)))))))</f>
        <v>3.7429999999999999</v>
      </c>
      <c r="M67" s="294">
        <f ca="1">ROUND(L67*0.9,1)</f>
        <v>3.4</v>
      </c>
      <c r="N67" s="2330"/>
      <c r="Z67" s="1623"/>
      <c r="AI67" s="1561"/>
    </row>
    <row r="68" spans="1:35" ht="14.25" customHeight="1" thickBot="1">
      <c r="A68" s="168" t="s">
        <v>329</v>
      </c>
      <c r="B68" s="169" t="s">
        <v>1391</v>
      </c>
      <c r="C68" s="2355">
        <f ca="1">IF(C67&lt;=0,0,ROUND(C67*D68,0))</f>
        <v>89</v>
      </c>
      <c r="D68" s="2356">
        <f>'数据-取费表'!B41</f>
        <v>5.6000000000000001E-2</v>
      </c>
      <c r="E68" s="170"/>
      <c r="F68" s="1670"/>
      <c r="G68" s="1670"/>
      <c r="H68" s="151"/>
      <c r="I68" s="121"/>
      <c r="J68" s="3323"/>
      <c r="K68" s="1245" t="s">
        <v>1392</v>
      </c>
      <c r="L68" s="1245">
        <f ca="1">IF(M49&gt;10000,M49*0.5%,IF(AND(M49&gt;5000,M49&lt;=10000),M49*1%,IF(AND(M49&gt;1000,M49&lt;=5000),M49*2%,IF(AND(M49&gt;200,M49&lt;=1000),M49*3%,M49*5%))))</f>
        <v>33.24</v>
      </c>
      <c r="M68" s="294">
        <f ca="1">ROUND(L68,1)</f>
        <v>33.200000000000003</v>
      </c>
      <c r="N68" s="2330"/>
      <c r="Z68" s="1623"/>
      <c r="AI68" s="1561"/>
    </row>
    <row r="69" spans="1:35" ht="16.5" customHeight="1">
      <c r="A69" s="1672"/>
      <c r="B69" s="1673"/>
      <c r="C69" s="1674"/>
      <c r="D69" s="1675"/>
      <c r="E69" s="1676"/>
      <c r="F69" s="1466"/>
      <c r="G69" s="1466"/>
      <c r="H69" s="1467"/>
      <c r="I69" s="646"/>
      <c r="J69" s="3323"/>
      <c r="K69" s="1245" t="s">
        <v>1393</v>
      </c>
      <c r="L69" s="1245"/>
      <c r="M69" s="294">
        <f ca="1">ROUND(SUM(M63:M68),0)</f>
        <v>65</v>
      </c>
      <c r="N69" s="2332">
        <f ca="1">M69/M49</f>
        <v>3.9109506618531888E-2</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1583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1574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174.88888888888889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941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1583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2127</v>
      </c>
      <c r="H90" s="3326"/>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174.88888888888889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941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v>
      </c>
      <c r="E101" s="3320" t="s">
        <v>1431</v>
      </c>
      <c r="F101" s="3277"/>
      <c r="G101" s="1687" t="s">
        <v>1432</v>
      </c>
      <c r="H101" s="2381">
        <f ca="1">H118</f>
        <v>1662</v>
      </c>
      <c r="I101" s="121"/>
    </row>
    <row r="102" spans="1:35" ht="18.75" customHeight="1">
      <c r="A102" s="3279" t="s">
        <v>1433</v>
      </c>
      <c r="B102" s="2370" t="s">
        <v>1432</v>
      </c>
      <c r="C102" s="2371">
        <f ca="1">IF(D32="楼面单价",ROUND(C19,0),C19)</f>
        <v>1429</v>
      </c>
      <c r="D102" s="2372">
        <f ca="1">IF(D32="楼面单价",ROUND(D19,0),D19)</f>
        <v>1817</v>
      </c>
      <c r="E102" s="3320"/>
      <c r="F102" s="3277"/>
      <c r="G102" s="1687" t="s">
        <v>1434</v>
      </c>
      <c r="H102" s="2341">
        <f ca="1">I118</f>
        <v>8795</v>
      </c>
      <c r="I102" s="121"/>
    </row>
    <row r="103" spans="1:35" ht="42.75" customHeight="1">
      <c r="A103" s="3279"/>
      <c r="B103" s="2370" t="s">
        <v>1434</v>
      </c>
      <c r="C103" s="2373">
        <f ca="1">C20</f>
        <v>7563</v>
      </c>
      <c r="D103" s="2374">
        <f ca="1">D20</f>
        <v>9616</v>
      </c>
      <c r="E103" s="3314" t="s">
        <v>1435</v>
      </c>
      <c r="F103" s="3315"/>
      <c r="G103" s="1688" t="s">
        <v>1436</v>
      </c>
      <c r="H103" s="2381">
        <f>IF(D36="正常操作",H104+H105+H106,H105+H106)</f>
        <v>0</v>
      </c>
      <c r="I103" s="121"/>
    </row>
    <row r="104" spans="1:35" ht="18.75" customHeight="1">
      <c r="A104" s="3279" t="s">
        <v>1437</v>
      </c>
      <c r="B104" s="2375" t="s">
        <v>1432</v>
      </c>
      <c r="C104" s="2376">
        <f ca="1">H118</f>
        <v>1662</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8795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1662</v>
      </c>
      <c r="I107" s="121"/>
    </row>
    <row r="108" spans="1:35" ht="18.75" customHeight="1">
      <c r="A108" s="121"/>
      <c r="B108" s="121"/>
      <c r="C108" s="121"/>
      <c r="D108" s="121"/>
      <c r="E108" s="3276"/>
      <c r="F108" s="3277"/>
      <c r="G108" s="1687" t="s">
        <v>1434</v>
      </c>
      <c r="H108" s="2341">
        <f ca="1">IF(H107=H101,H102,ROUND(H107*10000/'数据-汇总表'!E3,0))</f>
        <v>8795</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房地产</v>
      </c>
      <c r="B118" s="2150">
        <f>M18</f>
        <v>1889.55</v>
      </c>
      <c r="C118" s="2150">
        <f>M19</f>
        <v>188.85</v>
      </c>
      <c r="D118" s="2150">
        <f ca="1">ROUND(IF(D32="总价",C34,E118*B118/10000),0)</f>
        <v>405</v>
      </c>
      <c r="E118" s="2150">
        <f ca="1">ROUND(IF(C33="自定义",IF(D32="楼面单价",C34,D118*10000/B118),I118-G118),0)</f>
        <v>2146</v>
      </c>
      <c r="F118" s="2150">
        <f ca="1">ROUND(IF(D32="总价",C35,G118*B118/10000),0)</f>
        <v>1256</v>
      </c>
      <c r="G118" s="2150">
        <f ca="1">ROUND(IF(D32="楼面单价",C35,F118*10000/B118),0)</f>
        <v>6649</v>
      </c>
      <c r="H118" s="2150">
        <f ca="1">ROUND(IF(D32="总价",C32,I118*B118/10000),0)</f>
        <v>1662</v>
      </c>
      <c r="I118" s="2150">
        <f ca="1">ROUND(IF(D32="楼面单价",C32,H118*10000/B118),0)</f>
        <v>8795</v>
      </c>
    </row>
    <row r="119" spans="1:27" ht="18.75" customHeight="1">
      <c r="A119" s="3247" t="s">
        <v>1452</v>
      </c>
      <c r="B119" s="3247"/>
      <c r="C119" s="3247"/>
      <c r="D119" s="3287" t="str">
        <f ca="1">NUMBERSTRING(INT(D118*10000),2)&amp;"元整"</f>
        <v>肆佰零伍万元整</v>
      </c>
      <c r="E119" s="3289"/>
      <c r="F119" s="3287" t="str">
        <f ca="1">NUMBERSTRING(INT(F118*10000),2)&amp;"元整"</f>
        <v>壹仟贰佰伍拾陆万元整</v>
      </c>
      <c r="G119" s="3289"/>
      <c r="H119" s="3287" t="str">
        <f ca="1">NUMBERSTRING(INT(H118*10000),2)&amp;"元整"</f>
        <v>壹仟陆佰陆拾贰万元整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1662</v>
      </c>
      <c r="E122" s="3312"/>
      <c r="F122" s="3312"/>
      <c r="G122" s="3312"/>
      <c r="H122" s="3312"/>
      <c r="I122" s="3313"/>
      <c r="AA122" s="684"/>
    </row>
    <row r="123" spans="1:27" ht="18.75" customHeight="1">
      <c r="A123" s="3247" t="s">
        <v>1452</v>
      </c>
      <c r="B123" s="3247"/>
      <c r="C123" s="3247"/>
      <c r="D123" s="3287" t="str">
        <f ca="1">NUMBERSTRING(INT(D122*10000),2)&amp;"元整"</f>
        <v>壹仟陆佰陆拾贰万元整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E23" sqref="E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3394</v>
      </c>
      <c r="C1" s="190"/>
      <c r="D1" s="190"/>
      <c r="E1" s="190"/>
      <c r="F1" s="190"/>
      <c r="G1" s="1062">
        <f>MATCH(B1,'数据-取费表'!A6:A16,0)+5</f>
        <v>6</v>
      </c>
    </row>
    <row r="2" spans="1:9" s="192" customFormat="1" ht="18" customHeight="1">
      <c r="A2" s="193" t="s">
        <v>1462</v>
      </c>
      <c r="B2" s="194">
        <f ca="1">IF(D2="——",C52,C52-E2)</f>
        <v>1429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7563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v>
      </c>
      <c r="D5" s="203" t="s">
        <v>1469</v>
      </c>
      <c r="E5" s="204" t="s">
        <v>1470</v>
      </c>
      <c r="F5" s="204" t="s">
        <v>1471</v>
      </c>
      <c r="G5" s="205"/>
    </row>
    <row r="6" spans="1:9" s="206" customFormat="1" ht="13.5" customHeight="1">
      <c r="A6" s="732" t="s">
        <v>1472</v>
      </c>
      <c r="B6" s="207" t="s">
        <v>1473</v>
      </c>
      <c r="C6" s="208">
        <f>'土地比较法-住宅、综合'!B2</f>
        <v>221</v>
      </c>
      <c r="D6" s="209"/>
      <c r="E6" s="210"/>
      <c r="F6" s="210"/>
      <c r="G6" s="211"/>
    </row>
    <row r="7" spans="1:9" s="206" customFormat="1" ht="13.5" customHeight="1">
      <c r="A7" s="732" t="s">
        <v>1474</v>
      </c>
      <c r="B7" s="207" t="s">
        <v>1475</v>
      </c>
      <c r="C7" s="212">
        <f>ROUND(C6*F7,0)</f>
        <v>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v>
      </c>
      <c r="D8" s="214"/>
      <c r="E8" s="212"/>
      <c r="F8" s="213"/>
      <c r="G8" s="1714" t="s">
        <v>3561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60</v>
      </c>
      <c r="F9" s="213"/>
      <c r="G9" s="1715" t="s">
        <v>3562</v>
      </c>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1889.55</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1889.55</v>
      </c>
      <c r="E19" s="203">
        <f>'数据-取费表'!B31</f>
        <v>200</v>
      </c>
      <c r="F19" s="223"/>
      <c r="G19" s="1714" t="s">
        <v>3563</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19</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50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850</v>
      </c>
      <c r="D34" s="209"/>
      <c r="E34" s="212"/>
      <c r="F34" s="249">
        <f ca="1">IF('数据-取费表'!B24=0,1,IF(B1="",'数据-取费表'!N16,INDIRECT("'数据-取费表'!n"&amp;$G$1)))</f>
        <v>1</v>
      </c>
      <c r="G34" s="211" t="s">
        <v>1526</v>
      </c>
    </row>
    <row r="35" spans="1:7" ht="13.5" customHeight="1">
      <c r="A35" s="734" t="s">
        <v>351</v>
      </c>
      <c r="B35" s="207" t="s">
        <v>1527</v>
      </c>
      <c r="C35" s="212">
        <f ca="1">ROUND(C34*F35,0)</f>
        <v>43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38</v>
      </c>
      <c r="D37" s="209">
        <f ca="1">D19</f>
        <v>1889.55</v>
      </c>
      <c r="E37" s="241">
        <f>'数据-取费表'!B35</f>
        <v>200</v>
      </c>
      <c r="F37" s="251"/>
      <c r="G37" s="253" t="s">
        <v>1532</v>
      </c>
    </row>
    <row r="38" spans="1:7" ht="13.5" customHeight="1">
      <c r="A38" s="734" t="s">
        <v>354</v>
      </c>
      <c r="B38" s="207" t="s">
        <v>1533</v>
      </c>
      <c r="C38" s="212">
        <f ca="1">ROUND(C34*F38,0)</f>
        <v>17</v>
      </c>
      <c r="D38" s="212"/>
      <c r="E38" s="212"/>
      <c r="F38" s="251">
        <f>'数据-取费表'!B36</f>
        <v>0.02</v>
      </c>
      <c r="G38" s="211" t="s">
        <v>1528</v>
      </c>
    </row>
    <row r="39" spans="1:7" s="206" customFormat="1" ht="13.5" customHeight="1">
      <c r="A39" s="247" t="s">
        <v>1534</v>
      </c>
      <c r="B39" s="202" t="s">
        <v>1535</v>
      </c>
      <c r="C39" s="224">
        <f ca="1">ROUND(C33*F20,0)</f>
        <v>19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38</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37</v>
      </c>
      <c r="D42" s="230"/>
      <c r="E42" s="230"/>
      <c r="F42" s="231"/>
      <c r="G42" s="3327" t="s">
        <v>1544</v>
      </c>
    </row>
    <row r="43" spans="1:7" ht="13.5" customHeight="1">
      <c r="A43" s="734" t="s">
        <v>347</v>
      </c>
      <c r="B43" s="207" t="s">
        <v>1545</v>
      </c>
      <c r="C43" s="230">
        <f ca="1">ROUND(IF('数据-取费表'!B22&lt;=1,C39*F22*'数据-取费表'!B21/2,C39*(POWER((1+F22),'数据-取费表'!B21/2)-1)),0)</f>
        <v>1</v>
      </c>
      <c r="D43" s="230"/>
      <c r="E43" s="230"/>
      <c r="F43" s="231"/>
      <c r="G43" s="3328"/>
    </row>
    <row r="44" spans="1:7" ht="13.5" customHeight="1">
      <c r="A44" s="734" t="s">
        <v>348</v>
      </c>
      <c r="B44" s="207" t="s">
        <v>1546</v>
      </c>
      <c r="C44" s="230">
        <f ca="1">ROUND(IF('数据-取费表'!B22&lt;=1,C40*F22*'数据-取费表'!B21/2,C40*(POWER((1+F22),'数据-取费表'!B21/2)-1)),4)</f>
        <v>1.1999999999999999E-3</v>
      </c>
      <c r="D44" s="230"/>
      <c r="E44" s="230"/>
      <c r="F44" s="231"/>
      <c r="G44" s="3329"/>
    </row>
    <row r="45" spans="1:7" s="206" customFormat="1" ht="13.5" customHeight="1">
      <c r="A45" s="247" t="s">
        <v>1547</v>
      </c>
      <c r="B45" s="236" t="s">
        <v>1513</v>
      </c>
      <c r="C45" s="237">
        <f ca="1">C46</f>
        <v>193</v>
      </c>
      <c r="D45" s="227">
        <f ca="1">C47</f>
        <v>6.0000000000000001E-3</v>
      </c>
      <c r="E45" s="228" t="s">
        <v>1539</v>
      </c>
      <c r="F45" s="238">
        <f ca="1">F27</f>
        <v>0.2</v>
      </c>
      <c r="G45" s="239" t="s">
        <v>1548</v>
      </c>
    </row>
    <row r="46" spans="1:7" s="206" customFormat="1" ht="13.5" customHeight="1">
      <c r="A46" s="734" t="s">
        <v>346</v>
      </c>
      <c r="B46" s="240" t="s">
        <v>1549</v>
      </c>
      <c r="C46" s="241">
        <f ca="1">ROUND((C33+C39)*F27,0)</f>
        <v>193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1317</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1080</v>
      </c>
      <c r="D51" s="224"/>
      <c r="E51" s="224"/>
      <c r="F51" s="256"/>
      <c r="G51" s="226" t="s">
        <v>1560</v>
      </c>
    </row>
    <row r="52" spans="1:7" s="200" customFormat="1" ht="16.5" thickBot="1">
      <c r="A52" s="257" t="s">
        <v>1561</v>
      </c>
      <c r="B52" s="258"/>
      <c r="C52" s="259">
        <f ca="1">C31+C51</f>
        <v>1429</v>
      </c>
      <c r="D52" s="258"/>
      <c r="E52" s="258"/>
      <c r="F52" s="258"/>
      <c r="G52" s="260"/>
    </row>
    <row r="55" spans="1:7" ht="15">
      <c r="B55" s="262" t="s">
        <v>1562</v>
      </c>
      <c r="C55" s="263"/>
    </row>
    <row r="56" spans="1:7">
      <c r="B56" s="265" t="s">
        <v>802</v>
      </c>
      <c r="C56" s="267">
        <f ca="1">1-C57</f>
        <v>0.24399999999999999</v>
      </c>
    </row>
    <row r="57" spans="1:7">
      <c r="B57" s="265" t="s">
        <v>803</v>
      </c>
      <c r="C57" s="266">
        <f ca="1">ROUND(C51/C52,3)</f>
        <v>0.75600000000000001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46" sqref="E4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221</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251</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t="str">
        <f>土地案例!L13</f>
        <v>2024-08-02</v>
      </c>
      <c r="F7" s="357">
        <f>SUMIF(69:69,YEAR(E7)&amp;"-"&amp;INT((MONTH(E7)+2)/3),70:70)</f>
        <v>99.8</v>
      </c>
      <c r="G7" s="1822" t="str">
        <f>土地案例!L17</f>
        <v>2023-07-07</v>
      </c>
      <c r="H7" s="355">
        <f>SUMIF(69:69,YEAR(G7)&amp;"-"&amp;INT((MONTH(G7)+2)/3),70:70)</f>
        <v>99</v>
      </c>
      <c r="I7" s="1822" t="str">
        <f>土地案例!L18</f>
        <v>2023-07-13</v>
      </c>
      <c r="J7" s="355">
        <f>SUMIF(69:69,YEAR(I7)&amp;"-"&amp;INT((MONTH(I7)+2)/3),70:70)</f>
        <v>99</v>
      </c>
      <c r="K7" s="38"/>
      <c r="L7" s="2489"/>
      <c r="M7" s="2440"/>
      <c r="N7" s="2440"/>
      <c r="O7" s="2440"/>
      <c r="P7" s="3394" t="s">
        <v>1680</v>
      </c>
      <c r="Q7" s="3396"/>
      <c r="R7" s="664" t="s">
        <v>14</v>
      </c>
      <c r="S7" s="665">
        <f t="shared" ref="S7:S15" si="0">F7</f>
        <v>99.8</v>
      </c>
      <c r="T7" s="664" t="s">
        <v>14</v>
      </c>
      <c r="U7" s="665">
        <f t="shared" ref="U7:U15" si="1">H7</f>
        <v>99</v>
      </c>
      <c r="V7" s="664" t="s">
        <v>14</v>
      </c>
      <c r="W7" s="665">
        <f t="shared" ref="W7:W15" si="2">J7</f>
        <v>99</v>
      </c>
      <c r="X7" s="666"/>
      <c r="Y7" s="3394" t="s">
        <v>1680</v>
      </c>
      <c r="Z7" s="3395"/>
      <c r="AA7" s="50">
        <f>D7/F7</f>
        <v>1.0020040080160322</v>
      </c>
      <c r="AB7" s="50">
        <f>D7/H7</f>
        <v>1.0101010101010102</v>
      </c>
      <c r="AC7" s="50">
        <f>D7/J7</f>
        <v>1.0101010101010102</v>
      </c>
    </row>
    <row r="8" spans="1:29" s="102" customFormat="1" ht="15.75" thickBot="1">
      <c r="A8" s="352" t="s">
        <v>1681</v>
      </c>
      <c r="B8" s="353"/>
      <c r="C8" s="358" t="s">
        <v>1682</v>
      </c>
      <c r="D8" s="355">
        <v>100</v>
      </c>
      <c r="E8" s="358" t="s">
        <v>3438</v>
      </c>
      <c r="F8" s="357">
        <f>SUMIF(72:72,E8,73:73)-SUMIF(72:72,C8,73:73)+100</f>
        <v>100</v>
      </c>
      <c r="G8" s="358" t="s">
        <v>3438</v>
      </c>
      <c r="H8" s="355">
        <f>SUMIF(72:72,G8,73:73)-SUMIF(72:72,C8,73:73)+100</f>
        <v>100</v>
      </c>
      <c r="I8" s="358" t="s">
        <v>3438</v>
      </c>
      <c r="J8" s="355">
        <f>SUMIF(72:72,I8,73:73)-SUMIF(72:72,C8,73:73)+100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5" si="3">D8/F8</f>
        <v>1</v>
      </c>
      <c r="AB8" s="50">
        <f t="shared" ref="AB8:AB45" si="4">D8/H8</f>
        <v>1</v>
      </c>
      <c r="AC8" s="50">
        <f t="shared" ref="AC8:AC45" si="5">D8/J8</f>
        <v>1</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59"/>
      <c r="Q10" s="530" t="str">
        <f t="shared" si="6"/>
        <v>土地使用年限（年）</v>
      </c>
      <c r="R10" s="664" t="s">
        <v>14</v>
      </c>
      <c r="S10" s="665">
        <f t="shared" si="0"/>
        <v>118</v>
      </c>
      <c r="T10" s="664" t="s">
        <v>14</v>
      </c>
      <c r="U10" s="665">
        <f t="shared" si="1"/>
        <v>118</v>
      </c>
      <c r="V10" s="664" t="s">
        <v>14</v>
      </c>
      <c r="W10" s="665">
        <f t="shared" si="2"/>
        <v>118</v>
      </c>
      <c r="X10" s="666"/>
      <c r="Y10" s="3234"/>
      <c r="Z10" s="50" t="str">
        <f t="shared" si="7"/>
        <v>土地使用年限（年）</v>
      </c>
      <c r="AA10" s="50">
        <f t="shared" si="3"/>
        <v>0.84745762711864403</v>
      </c>
      <c r="AB10" s="50">
        <f t="shared" si="4"/>
        <v>0.84745762711864403</v>
      </c>
      <c r="AC10" s="50">
        <f t="shared" si="5"/>
        <v>0.84745762711864403</v>
      </c>
    </row>
    <row r="11" spans="1:29" ht="15">
      <c r="A11" s="367"/>
      <c r="B11" s="364" t="s">
        <v>1689</v>
      </c>
      <c r="C11" s="368">
        <v>10</v>
      </c>
      <c r="D11" s="119">
        <v>100</v>
      </c>
      <c r="E11" s="368">
        <v>2.5</v>
      </c>
      <c r="F11" s="119">
        <f>LOOKUP(E11,79:79,80:80)-LOOKUP(C11,79:79,80:80)+100</f>
        <v>112</v>
      </c>
      <c r="G11" s="369">
        <v>5.2</v>
      </c>
      <c r="H11" s="119">
        <f>LOOKUP(G11,79:79,80:80)-LOOKUP(C11,79:79,80:80)+100</f>
        <v>109</v>
      </c>
      <c r="I11" s="368">
        <v>3</v>
      </c>
      <c r="J11" s="119">
        <f>LOOKUP(I11,79:79,80:80)-LOOKUP(C11,79:79,80:80)+100</f>
        <v>112</v>
      </c>
      <c r="K11" s="593">
        <v>3</v>
      </c>
      <c r="L11" s="2492"/>
      <c r="M11" s="2488"/>
      <c r="N11" s="2488"/>
      <c r="O11" s="2543"/>
      <c r="P11" s="3359"/>
      <c r="Q11" s="530" t="str">
        <f t="shared" si="6"/>
        <v>容积率</v>
      </c>
      <c r="R11" s="664" t="s">
        <v>14</v>
      </c>
      <c r="S11" s="665">
        <f t="shared" si="0"/>
        <v>112</v>
      </c>
      <c r="T11" s="664" t="s">
        <v>14</v>
      </c>
      <c r="U11" s="665">
        <f t="shared" si="1"/>
        <v>109</v>
      </c>
      <c r="V11" s="664" t="s">
        <v>14</v>
      </c>
      <c r="W11" s="665">
        <f t="shared" si="2"/>
        <v>112</v>
      </c>
      <c r="X11" s="666"/>
      <c r="Y11" s="3234"/>
      <c r="Z11" s="50" t="str">
        <f t="shared" si="7"/>
        <v>容积率</v>
      </c>
      <c r="AA11" s="50">
        <f t="shared" si="3"/>
        <v>0.8928571428571429</v>
      </c>
      <c r="AB11" s="50">
        <f t="shared" si="4"/>
        <v>0.91743119266055051</v>
      </c>
      <c r="AC11" s="50">
        <f t="shared" si="5"/>
        <v>0.8928571428571429</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9"/>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1" t="s">
        <v>1691</v>
      </c>
      <c r="Q15" s="1263" t="str">
        <f t="shared" si="6"/>
        <v>居住社区成熟度</v>
      </c>
      <c r="R15" s="667" t="s">
        <v>14</v>
      </c>
      <c r="S15" s="668">
        <f t="shared" si="0"/>
        <v>100</v>
      </c>
      <c r="T15" s="667" t="s">
        <v>14</v>
      </c>
      <c r="U15" s="668">
        <f t="shared" si="1"/>
        <v>100</v>
      </c>
      <c r="V15" s="667" t="s">
        <v>14</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2"/>
      <c r="Q17" s="1263" t="str">
        <f>B17</f>
        <v>商业繁华度</v>
      </c>
      <c r="R17" s="667" t="s">
        <v>14</v>
      </c>
      <c r="S17" s="668">
        <f>F17</f>
        <v>100</v>
      </c>
      <c r="T17" s="667" t="s">
        <v>14</v>
      </c>
      <c r="U17" s="668">
        <f>H17</f>
        <v>100</v>
      </c>
      <c r="V17" s="667" t="s">
        <v>14</v>
      </c>
      <c r="W17" s="668">
        <f>J17</f>
        <v>100</v>
      </c>
      <c r="X17" s="1265"/>
      <c r="Y17" s="33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2"/>
      <c r="Q19" s="1263" t="str">
        <f>B19</f>
        <v>办公集聚程度</v>
      </c>
      <c r="R19" s="667" t="s">
        <v>14</v>
      </c>
      <c r="S19" s="668">
        <f>F19</f>
        <v>100</v>
      </c>
      <c r="T19" s="667" t="s">
        <v>14</v>
      </c>
      <c r="U19" s="668">
        <f>H19</f>
        <v>100</v>
      </c>
      <c r="V19" s="667" t="s">
        <v>14</v>
      </c>
      <c r="W19" s="668">
        <f>J19</f>
        <v>100</v>
      </c>
      <c r="X19" s="1265"/>
      <c r="Y19" s="33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2"/>
      <c r="Q20" s="1263"/>
      <c r="R20" s="667"/>
      <c r="S20" s="668"/>
      <c r="T20" s="667"/>
      <c r="U20" s="668"/>
      <c r="V20" s="667"/>
      <c r="W20" s="668"/>
      <c r="X20" s="1265"/>
      <c r="Y20" s="336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2"/>
      <c r="Q21" s="1263" t="str">
        <f>B21</f>
        <v>交通便捷度</v>
      </c>
      <c r="R21" s="667" t="s">
        <v>14</v>
      </c>
      <c r="S21" s="668">
        <f>F21</f>
        <v>100</v>
      </c>
      <c r="T21" s="667" t="s">
        <v>14</v>
      </c>
      <c r="U21" s="668">
        <f>H21</f>
        <v>100</v>
      </c>
      <c r="V21" s="667" t="s">
        <v>14</v>
      </c>
      <c r="W21" s="668">
        <f>J21</f>
        <v>100</v>
      </c>
      <c r="X21" s="1265"/>
      <c r="Y21" s="33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2"/>
      <c r="Q23" s="1263" t="str">
        <f t="shared" ref="Q23:Q37" si="8">B23</f>
        <v>区域土地利用方向</v>
      </c>
      <c r="R23" s="667" t="s">
        <v>14</v>
      </c>
      <c r="S23" s="668">
        <f>F23</f>
        <v>100</v>
      </c>
      <c r="T23" s="667" t="s">
        <v>14</v>
      </c>
      <c r="U23" s="668">
        <f>H23</f>
        <v>100</v>
      </c>
      <c r="V23" s="667" t="s">
        <v>14</v>
      </c>
      <c r="W23" s="668">
        <f>J23</f>
        <v>100</v>
      </c>
      <c r="X23" s="1265"/>
      <c r="Y23" s="33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2"/>
      <c r="Q24" s="1263"/>
      <c r="R24" s="667"/>
      <c r="S24" s="668"/>
      <c r="T24" s="667"/>
      <c r="U24" s="668"/>
      <c r="V24" s="667"/>
      <c r="W24" s="668"/>
      <c r="X24" s="1265"/>
      <c r="Y24" s="336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2"/>
      <c r="Q25" s="1263" t="str">
        <f t="shared" si="8"/>
        <v>自然及人文环境状况</v>
      </c>
      <c r="R25" s="667" t="s">
        <v>14</v>
      </c>
      <c r="S25" s="668">
        <f>F25</f>
        <v>100</v>
      </c>
      <c r="T25" s="667" t="s">
        <v>14</v>
      </c>
      <c r="U25" s="668">
        <f>H25</f>
        <v>100</v>
      </c>
      <c r="V25" s="667" t="s">
        <v>14</v>
      </c>
      <c r="W25" s="668">
        <f>J25</f>
        <v>100</v>
      </c>
      <c r="X25" s="1265"/>
      <c r="Y25" s="33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2"/>
      <c r="Q26" s="1263"/>
      <c r="R26" s="667"/>
      <c r="S26" s="668"/>
      <c r="T26" s="667"/>
      <c r="U26" s="668"/>
      <c r="V26" s="667"/>
      <c r="W26" s="668"/>
      <c r="X26" s="1265"/>
      <c r="Y26" s="336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2"/>
      <c r="Q27" s="530" t="str">
        <f t="shared" si="8"/>
        <v>公共配套设施</v>
      </c>
      <c r="R27" s="664" t="s">
        <v>14</v>
      </c>
      <c r="S27" s="665">
        <f>F27</f>
        <v>100</v>
      </c>
      <c r="T27" s="664" t="s">
        <v>14</v>
      </c>
      <c r="U27" s="665">
        <f>H27</f>
        <v>100</v>
      </c>
      <c r="V27" s="664" t="s">
        <v>14</v>
      </c>
      <c r="W27" s="665">
        <f>J27</f>
        <v>100</v>
      </c>
      <c r="X27" s="666"/>
      <c r="Y27" s="33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2"/>
      <c r="Q28" s="530"/>
      <c r="R28" s="664"/>
      <c r="S28" s="665"/>
      <c r="T28" s="664"/>
      <c r="U28" s="665"/>
      <c r="V28" s="664"/>
      <c r="W28" s="665"/>
      <c r="X28" s="666"/>
      <c r="Y28" s="336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2"/>
      <c r="Q29" s="530" t="str">
        <f t="shared" ref="Q29" si="9">B29</f>
        <v>基础设施水平</v>
      </c>
      <c r="R29" s="664" t="s">
        <v>14</v>
      </c>
      <c r="S29" s="665">
        <f>F29</f>
        <v>100</v>
      </c>
      <c r="T29" s="664" t="s">
        <v>14</v>
      </c>
      <c r="U29" s="665">
        <f>H29</f>
        <v>100</v>
      </c>
      <c r="V29" s="664" t="s">
        <v>14</v>
      </c>
      <c r="W29" s="665">
        <f>J29</f>
        <v>100</v>
      </c>
      <c r="X29" s="666"/>
      <c r="Y29" s="33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2"/>
      <c r="Q30" s="530"/>
      <c r="R30" s="664"/>
      <c r="S30" s="665"/>
      <c r="T30" s="664"/>
      <c r="U30" s="665"/>
      <c r="V30" s="664"/>
      <c r="W30" s="665"/>
      <c r="X30" s="666"/>
      <c r="Y30" s="33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2"/>
      <c r="Q32" s="1263" t="str">
        <f t="shared" si="8"/>
        <v>毗邻道路的类型与等级</v>
      </c>
      <c r="R32" s="667" t="s">
        <v>14</v>
      </c>
      <c r="S32" s="668">
        <f t="shared" si="10"/>
        <v>100</v>
      </c>
      <c r="T32" s="667" t="s">
        <v>14</v>
      </c>
      <c r="U32" s="668">
        <f t="shared" si="11"/>
        <v>100</v>
      </c>
      <c r="V32" s="667" t="s">
        <v>14</v>
      </c>
      <c r="W32" s="668">
        <f t="shared" si="12"/>
        <v>100</v>
      </c>
      <c r="X32" s="1265"/>
      <c r="Y32" s="33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2"/>
      <c r="Q33" s="1263"/>
      <c r="R33" s="667"/>
      <c r="S33" s="668"/>
      <c r="T33" s="667"/>
      <c r="U33" s="668"/>
      <c r="V33" s="667"/>
      <c r="W33" s="668"/>
      <c r="X33" s="1265"/>
      <c r="Y33" s="33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2"/>
      <c r="Q34" s="1263" t="str">
        <f t="shared" si="8"/>
        <v>土地级别</v>
      </c>
      <c r="R34" s="667" t="s">
        <v>14</v>
      </c>
      <c r="S34" s="668">
        <f t="shared" si="10"/>
        <v>100</v>
      </c>
      <c r="T34" s="667" t="s">
        <v>14</v>
      </c>
      <c r="U34" s="668">
        <f t="shared" si="11"/>
        <v>100</v>
      </c>
      <c r="V34" s="667" t="s">
        <v>14</v>
      </c>
      <c r="W34" s="668">
        <f t="shared" si="12"/>
        <v>100</v>
      </c>
      <c r="X34" s="1265"/>
      <c r="Y34" s="33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2"/>
      <c r="Q35" s="1263">
        <f t="shared" si="8"/>
        <v>111</v>
      </c>
      <c r="R35" s="667" t="s">
        <v>14</v>
      </c>
      <c r="S35" s="668">
        <f t="shared" si="10"/>
        <v>100</v>
      </c>
      <c r="T35" s="667" t="s">
        <v>14</v>
      </c>
      <c r="U35" s="668">
        <f t="shared" si="11"/>
        <v>100</v>
      </c>
      <c r="V35" s="667" t="s">
        <v>14</v>
      </c>
      <c r="W35" s="668">
        <f t="shared" si="12"/>
        <v>100</v>
      </c>
      <c r="X35" s="1265"/>
      <c r="Y35" s="33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6"/>
      <c r="Q37" s="1263">
        <f t="shared" si="8"/>
        <v>111</v>
      </c>
      <c r="R37" s="669" t="s">
        <v>14</v>
      </c>
      <c r="S37" s="670">
        <f t="shared" si="10"/>
        <v>100</v>
      </c>
      <c r="T37" s="669" t="s">
        <v>14</v>
      </c>
      <c r="U37" s="670">
        <f t="shared" si="11"/>
        <v>100</v>
      </c>
      <c r="V37" s="669" t="s">
        <v>14</v>
      </c>
      <c r="W37" s="670">
        <f t="shared" si="12"/>
        <v>100</v>
      </c>
      <c r="X37" s="671"/>
      <c r="Y37" s="3366"/>
      <c r="Z37" s="672">
        <f t="shared" si="13"/>
        <v>111</v>
      </c>
      <c r="AA37" s="1264">
        <f t="shared" si="3"/>
        <v>1</v>
      </c>
      <c r="AB37" s="1264">
        <f t="shared" si="4"/>
        <v>1</v>
      </c>
      <c r="AC37" s="1264">
        <f t="shared" si="5"/>
        <v>1</v>
      </c>
    </row>
    <row r="38" spans="1:29" ht="15">
      <c r="A38" s="409" t="s">
        <v>1694</v>
      </c>
      <c r="B38" s="395" t="s">
        <v>1874</v>
      </c>
      <c r="C38" s="599"/>
      <c r="D38" s="405">
        <v>100</v>
      </c>
      <c r="E38" s="599"/>
      <c r="F38" s="405">
        <f>LOOKUP(E38,116:116,117:117)-LOOKUP(C38,116:116,117:117)+100</f>
        <v>100</v>
      </c>
      <c r="G38" s="599"/>
      <c r="H38" s="405">
        <f>LOOKUP(G38,116:116,117:117)-LOOKUP(C38,116:116,117:117)+100</f>
        <v>100</v>
      </c>
      <c r="I38" s="462"/>
      <c r="J38" s="405">
        <f>LOOKUP(I38,116:116,117:117)-LOOKUP(C38,116:116,117:117)+100</f>
        <v>100</v>
      </c>
      <c r="K38" s="539"/>
      <c r="L38" s="2493"/>
      <c r="M38" s="2488"/>
      <c r="N38" s="2488"/>
      <c r="O38" s="2543"/>
      <c r="P38" s="3366"/>
      <c r="Q38" s="1263" t="str">
        <f>B38</f>
        <v>宗地面积</v>
      </c>
      <c r="R38" s="667" t="s">
        <v>14</v>
      </c>
      <c r="S38" s="668">
        <f t="shared" si="10"/>
        <v>100</v>
      </c>
      <c r="T38" s="667" t="s">
        <v>14</v>
      </c>
      <c r="U38" s="668">
        <f t="shared" si="11"/>
        <v>100</v>
      </c>
      <c r="V38" s="667" t="s">
        <v>14</v>
      </c>
      <c r="W38" s="668">
        <f t="shared" si="12"/>
        <v>100</v>
      </c>
      <c r="X38" s="1265"/>
      <c r="Y38" s="3366"/>
      <c r="Z38" s="1264" t="str">
        <f t="shared" si="13"/>
        <v>宗地面积</v>
      </c>
      <c r="AA38" s="1264">
        <f t="shared" si="3"/>
        <v>1</v>
      </c>
      <c r="AB38" s="1264">
        <f t="shared" si="4"/>
        <v>1</v>
      </c>
      <c r="AC38" s="1264">
        <f t="shared" si="5"/>
        <v>1</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6"/>
      <c r="Q39" s="1263" t="str">
        <f t="shared" ref="Q39:Q45" si="14">B39</f>
        <v>宗地形状</v>
      </c>
      <c r="R39" s="667" t="s">
        <v>14</v>
      </c>
      <c r="S39" s="668">
        <f t="shared" si="10"/>
        <v>100</v>
      </c>
      <c r="T39" s="667" t="s">
        <v>14</v>
      </c>
      <c r="U39" s="668">
        <f t="shared" si="11"/>
        <v>100</v>
      </c>
      <c r="V39" s="667" t="s">
        <v>14</v>
      </c>
      <c r="W39" s="668">
        <f t="shared" si="12"/>
        <v>100</v>
      </c>
      <c r="X39" s="1265"/>
      <c r="Y39" s="33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6"/>
      <c r="Q40" s="1263" t="str">
        <f t="shared" si="14"/>
        <v>临街宽度及深度</v>
      </c>
      <c r="R40" s="667" t="s">
        <v>14</v>
      </c>
      <c r="S40" s="668">
        <f t="shared" si="10"/>
        <v>100</v>
      </c>
      <c r="T40" s="667" t="s">
        <v>14</v>
      </c>
      <c r="U40" s="668">
        <f t="shared" si="11"/>
        <v>100</v>
      </c>
      <c r="V40" s="667" t="s">
        <v>14</v>
      </c>
      <c r="W40" s="668">
        <f t="shared" si="12"/>
        <v>100</v>
      </c>
      <c r="X40" s="1265"/>
      <c r="Y40" s="33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6"/>
      <c r="Q41" s="1263" t="str">
        <f t="shared" si="14"/>
        <v>宗地开发程度</v>
      </c>
      <c r="R41" s="664" t="s">
        <v>14</v>
      </c>
      <c r="S41" s="665">
        <f t="shared" si="10"/>
        <v>100</v>
      </c>
      <c r="T41" s="664" t="s">
        <v>14</v>
      </c>
      <c r="U41" s="665">
        <f t="shared" si="11"/>
        <v>100</v>
      </c>
      <c r="V41" s="664" t="s">
        <v>14</v>
      </c>
      <c r="W41" s="665">
        <f t="shared" si="12"/>
        <v>100</v>
      </c>
      <c r="X41" s="666"/>
      <c r="Y41" s="33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6" t="s">
        <v>1696</v>
      </c>
      <c r="Q42" s="1263" t="str">
        <f t="shared" si="14"/>
        <v>工程地质条件</v>
      </c>
      <c r="R42" s="667" t="s">
        <v>14</v>
      </c>
      <c r="S42" s="668">
        <f t="shared" si="10"/>
        <v>100</v>
      </c>
      <c r="T42" s="667" t="s">
        <v>14</v>
      </c>
      <c r="U42" s="668">
        <f t="shared" si="11"/>
        <v>100</v>
      </c>
      <c r="V42" s="667" t="s">
        <v>14</v>
      </c>
      <c r="W42" s="668">
        <f t="shared" si="12"/>
        <v>100</v>
      </c>
      <c r="X42" s="1265"/>
      <c r="Y42" s="33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6"/>
      <c r="Q43" s="1263">
        <f t="shared" si="14"/>
        <v>111</v>
      </c>
      <c r="R43" s="667" t="s">
        <v>14</v>
      </c>
      <c r="S43" s="668">
        <f t="shared" si="10"/>
        <v>100</v>
      </c>
      <c r="T43" s="667" t="s">
        <v>14</v>
      </c>
      <c r="U43" s="668">
        <f t="shared" si="11"/>
        <v>100</v>
      </c>
      <c r="V43" s="667" t="s">
        <v>14</v>
      </c>
      <c r="W43" s="668">
        <f t="shared" si="12"/>
        <v>100</v>
      </c>
      <c r="X43" s="1265"/>
      <c r="Y43" s="33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6"/>
      <c r="Q44" s="1263">
        <f t="shared" si="14"/>
        <v>111</v>
      </c>
      <c r="R44" s="667" t="s">
        <v>14</v>
      </c>
      <c r="S44" s="668">
        <f t="shared" si="10"/>
        <v>100</v>
      </c>
      <c r="T44" s="667" t="s">
        <v>14</v>
      </c>
      <c r="U44" s="668">
        <f t="shared" si="11"/>
        <v>100</v>
      </c>
      <c r="V44" s="667" t="s">
        <v>14</v>
      </c>
      <c r="W44" s="668">
        <f t="shared" si="12"/>
        <v>100</v>
      </c>
      <c r="X44" s="1265"/>
      <c r="Y44" s="33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6"/>
      <c r="Q45" s="1263">
        <f t="shared" si="14"/>
        <v>111</v>
      </c>
      <c r="R45" s="669" t="s">
        <v>14</v>
      </c>
      <c r="S45" s="670">
        <f t="shared" si="10"/>
        <v>100</v>
      </c>
      <c r="T45" s="669" t="s">
        <v>14</v>
      </c>
      <c r="U45" s="670">
        <f t="shared" si="11"/>
        <v>100</v>
      </c>
      <c r="V45" s="669" t="s">
        <v>14</v>
      </c>
      <c r="W45" s="670">
        <f t="shared" si="12"/>
        <v>100</v>
      </c>
      <c r="X45" s="671"/>
      <c r="Y45" s="3366"/>
      <c r="Z45" s="672">
        <f t="shared" si="13"/>
        <v>111</v>
      </c>
      <c r="AA45" s="1264">
        <f t="shared" si="3"/>
        <v>1</v>
      </c>
      <c r="AB45" s="1264">
        <f t="shared" si="4"/>
        <v>1</v>
      </c>
      <c r="AC45" s="1264">
        <f t="shared" si="5"/>
        <v>1</v>
      </c>
    </row>
    <row r="46" spans="1:29" ht="15">
      <c r="A46" s="416" t="s">
        <v>1844</v>
      </c>
      <c r="B46" s="1830" t="s">
        <v>3566</v>
      </c>
      <c r="C46" s="602" t="s">
        <v>0</v>
      </c>
      <c r="D46" s="418"/>
      <c r="E46" s="419">
        <f>土地案例!S13</f>
        <v>366</v>
      </c>
      <c r="F46" s="420"/>
      <c r="G46" s="421">
        <f>土地案例!S17</f>
        <v>276</v>
      </c>
      <c r="H46" s="422"/>
      <c r="I46" s="419">
        <f>土地案例!S18</f>
        <v>334</v>
      </c>
      <c r="J46" s="422"/>
      <c r="K46" s="674"/>
      <c r="L46" s="2495"/>
      <c r="M46" s="2488"/>
      <c r="N46" s="2488"/>
      <c r="O46" s="2488"/>
      <c r="P46" s="3359" t="str">
        <f>A46</f>
        <v>成交单价</v>
      </c>
      <c r="Q46" s="3359"/>
      <c r="R46" s="3360">
        <f>E46</f>
        <v>366</v>
      </c>
      <c r="S46" s="3360"/>
      <c r="T46" s="3360">
        <f>G46</f>
        <v>276</v>
      </c>
      <c r="U46" s="3360"/>
      <c r="V46" s="3360">
        <f>I46</f>
        <v>334</v>
      </c>
      <c r="W46" s="3360"/>
      <c r="X46" s="385"/>
      <c r="Y46" s="673"/>
      <c r="Z46" s="385"/>
      <c r="AA46" s="385"/>
      <c r="AB46" s="385"/>
      <c r="AC46" s="385"/>
    </row>
    <row r="47" spans="1:29" ht="15.75" thickBot="1">
      <c r="A47" s="423" t="s">
        <v>1793</v>
      </c>
      <c r="B47" s="603"/>
      <c r="C47" s="426">
        <f>R48</f>
        <v>250</v>
      </c>
      <c r="D47" s="2141" t="s">
        <v>2136</v>
      </c>
      <c r="E47" s="426">
        <f>R47</f>
        <v>277</v>
      </c>
      <c r="F47" s="2142"/>
      <c r="G47" s="425">
        <f>T47</f>
        <v>217</v>
      </c>
      <c r="H47" s="2142"/>
      <c r="I47" s="426">
        <f>V47</f>
        <v>255</v>
      </c>
      <c r="J47" s="2142"/>
      <c r="K47" s="2144">
        <f>F47+H47+J47</f>
        <v>0</v>
      </c>
      <c r="L47" s="2495"/>
      <c r="M47" s="2488"/>
      <c r="N47" s="2488"/>
      <c r="O47" s="2488"/>
      <c r="P47" s="3359" t="str">
        <f>A47</f>
        <v>比较价值（元/平方米）</v>
      </c>
      <c r="Q47" s="3359"/>
      <c r="R47" s="3418">
        <f>ROUND(PRODUCT(R46,AA7:AA45),0)</f>
        <v>277</v>
      </c>
      <c r="S47" s="3418"/>
      <c r="T47" s="3418">
        <f>ROUND(PRODUCT(T46,AB7:AB45),0)</f>
        <v>217</v>
      </c>
      <c r="U47" s="3418"/>
      <c r="V47" s="3418">
        <f>ROUND(PRODUCT(V46,AC7:AC45),0)</f>
        <v>255</v>
      </c>
      <c r="W47" s="3418"/>
      <c r="X47" s="385"/>
      <c r="Y47" s="385"/>
      <c r="Z47" s="385"/>
      <c r="AA47" s="385"/>
      <c r="AB47" s="385"/>
      <c r="AC47" s="385"/>
    </row>
    <row r="48" spans="1:29" ht="15.75" thickBot="1">
      <c r="A48" s="427" t="s">
        <v>1879</v>
      </c>
      <c r="B48" s="428"/>
      <c r="C48" s="429">
        <f>R48</f>
        <v>250</v>
      </c>
      <c r="D48" s="429"/>
      <c r="E48" s="429"/>
      <c r="F48" s="429"/>
      <c r="G48" s="429"/>
      <c r="H48" s="429"/>
      <c r="I48" s="429"/>
      <c r="J48" s="429"/>
      <c r="K48" s="675"/>
      <c r="L48" s="2495"/>
      <c r="M48" s="2488"/>
      <c r="N48" s="2488"/>
      <c r="O48" s="2488"/>
      <c r="P48" s="3356" t="str">
        <f>A48</f>
        <v>估价对象XX用房的比较价值（楼面单价，元/平方米）</v>
      </c>
      <c r="Q48" s="3357"/>
      <c r="R48" s="3419">
        <f>ROUND(IF(D47="简单平均",AVERAGE(R47:W47),R47*F47+T47*H47+V47*J47),0)</f>
        <v>250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0.32129963898916958</v>
      </c>
      <c r="F51" s="435" t="str">
        <f>IF(OR(E51&gt;=0.3,E51&lt;=-0.3),"超过30%","")</f>
        <v>超过30%</v>
      </c>
      <c r="G51" s="434">
        <f>IF(G46&lt;G47,G47/G46-1,G46/G47-1)</f>
        <v>0.27188940092165903</v>
      </c>
      <c r="H51" s="435" t="str">
        <f>IF(OR(G51&gt;=0.3,G51&lt;=-0.3),"超过30%","")</f>
        <v/>
      </c>
      <c r="I51" s="434">
        <f>IF(I46&lt;I47,I47/I46-1,I46/I47-1)</f>
        <v>0.30980392156862746</v>
      </c>
      <c r="J51" s="435" t="str">
        <f>IF(OR(I51&gt;=0.3,I51&lt;=-0.3),"超过30%","")</f>
        <v>超过30%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0.27649769585253448</v>
      </c>
      <c r="F52" s="435" t="str">
        <f>IF(OR(E52&gt;=0.2,E52&lt;=-0.2),"超过20%","")</f>
        <v>超过20%</v>
      </c>
      <c r="G52" s="434">
        <f>IF(G47&lt;I47,I47/G47-1,G47/I47-1)</f>
        <v>0.1751152073732718</v>
      </c>
      <c r="H52" s="435" t="str">
        <f>IF(OR(G52&gt;=0.2,G52&lt;=-0.2),"超过20%","")</f>
        <v/>
      </c>
      <c r="I52" s="434">
        <f>IF(I47&lt;E47,E47/I47-1,I47/E47-1)</f>
        <v>8.6274509803921484E-2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0.32608695652173902</v>
      </c>
      <c r="F53" s="435" t="str">
        <f>IF(OR(E53&gt;=0.3,E53&lt;=-0.3),"超过30%","")</f>
        <v>超过30%</v>
      </c>
      <c r="G53" s="434">
        <f>IF(G46&lt;I46,I46/G46-1,G46/I46-1)</f>
        <v>0.21014492753623193</v>
      </c>
      <c r="H53" s="435" t="str">
        <f>IF(OR(G53&gt;=0.3,G53&lt;=-0.3),"超过30%","")</f>
        <v/>
      </c>
      <c r="I53" s="434">
        <f>IF(I46&lt;E46,E46/I46-1,I46/E46-1)</f>
        <v>9.5808383233533023E-2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74" t="s">
        <v>1886</v>
      </c>
      <c r="H55" s="3420"/>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f>C48</f>
        <v>250</v>
      </c>
      <c r="C56" s="610">
        <v>1</v>
      </c>
      <c r="D56" s="890">
        <v>1</v>
      </c>
      <c r="E56" s="610">
        <f>'数据-汇总表'!E8+'数据-汇总表'!E9</f>
        <v>8821.64</v>
      </c>
      <c r="F56" s="833">
        <f t="shared" ref="F56:F64" si="15">ROUND(B56*E56/10000,0)</f>
        <v>221</v>
      </c>
      <c r="G56" s="3370"/>
      <c r="H56" s="335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f>ROUND($C$48*C57*D57,0)</f>
        <v>0</v>
      </c>
      <c r="C57" s="163">
        <f t="shared" ref="C57:C64" si="16">IF($C$55="北京市系数",I57,J57)</f>
        <v>0</v>
      </c>
      <c r="D57" s="891">
        <v>0.25</v>
      </c>
      <c r="E57" s="614"/>
      <c r="F57" s="833">
        <f t="shared" si="15"/>
        <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f t="shared" ref="B58:B64" si="17">ROUND($C$48*C58*D58,0)</f>
        <v>0</v>
      </c>
      <c r="C58" s="163">
        <f t="shared" si="16"/>
        <v>0</v>
      </c>
      <c r="D58" s="891">
        <v>0.25</v>
      </c>
      <c r="E58" s="614"/>
      <c r="F58" s="833">
        <f t="shared" si="15"/>
        <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f t="shared" si="17"/>
        <v>0</v>
      </c>
      <c r="C59" s="163">
        <f t="shared" si="16"/>
        <v>0</v>
      </c>
      <c r="D59" s="891">
        <v>0.25</v>
      </c>
      <c r="E59" s="614"/>
      <c r="F59" s="833">
        <f t="shared" si="15"/>
        <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f t="shared" si="17"/>
        <v>0</v>
      </c>
      <c r="C60" s="163">
        <f t="shared" si="16"/>
        <v>0</v>
      </c>
      <c r="D60" s="891">
        <v>0.25</v>
      </c>
      <c r="E60" s="209">
        <f>'数据-汇总表'!E11</f>
        <v>0</v>
      </c>
      <c r="F60" s="833">
        <f t="shared" si="15"/>
        <v>0</v>
      </c>
      <c r="G60" s="1835" t="s">
        <v>1895</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f t="shared" si="17"/>
        <v>0</v>
      </c>
      <c r="C62" s="163">
        <f t="shared" si="16"/>
        <v>0</v>
      </c>
      <c r="D62" s="891">
        <v>0.25</v>
      </c>
      <c r="E62" s="209">
        <f>'数据-汇总表'!E13</f>
        <v>0</v>
      </c>
      <c r="F62" s="833">
        <f t="shared" si="15"/>
        <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f t="shared" si="17"/>
        <v>0</v>
      </c>
      <c r="C64" s="163">
        <f t="shared" si="16"/>
        <v>0</v>
      </c>
      <c r="D64" s="891">
        <v>0.25</v>
      </c>
      <c r="E64" s="209">
        <f>'数据-汇总表'!E15</f>
        <v>0</v>
      </c>
      <c r="F64" s="833">
        <f t="shared" si="15"/>
        <v>0</v>
      </c>
      <c r="G64" s="1836" t="s">
        <v>1895</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8821.64</v>
      </c>
      <c r="F65" s="617">
        <f>IF(B46="楼面地价",SUM(F56:F64),ROUND(C48*E65/10000,0))</f>
        <v>221</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v>99.8</v>
      </c>
      <c r="E70" s="6">
        <v>99.6</v>
      </c>
      <c r="F70" s="6">
        <v>99.4</v>
      </c>
      <c r="G70" s="6">
        <v>99.2</v>
      </c>
      <c r="H70" s="6">
        <v>99</v>
      </c>
      <c r="I70" s="6">
        <v>98.8</v>
      </c>
      <c r="J70" s="6">
        <v>98.6</v>
      </c>
      <c r="K70" s="6">
        <v>98.4</v>
      </c>
      <c r="L70" s="6">
        <v>98.2</v>
      </c>
      <c r="M70" s="6">
        <v>98</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0（含）-2</v>
      </c>
      <c r="D78" s="478" t="str">
        <f t="shared" ref="D78:L78" si="20">D79&amp;"（含）"&amp;"-"&amp;E79</f>
        <v>2（含）-4</v>
      </c>
      <c r="E78" s="478" t="str">
        <f t="shared" si="20"/>
        <v>4（含）-6</v>
      </c>
      <c r="F78" s="478" t="str">
        <f t="shared" si="20"/>
        <v>6（含）-8</v>
      </c>
      <c r="G78" s="478" t="str">
        <f t="shared" si="20"/>
        <v>8（含）-10</v>
      </c>
      <c r="H78" s="478" t="str">
        <f t="shared" si="20"/>
        <v>10（含）-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2</v>
      </c>
      <c r="E79" s="480">
        <v>4</v>
      </c>
      <c r="F79" s="480">
        <v>6</v>
      </c>
      <c r="G79" s="480">
        <v>8</v>
      </c>
      <c r="H79" s="480">
        <v>10</v>
      </c>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1912</v>
      </c>
      <c r="C115" s="461" t="str">
        <f>C116&amp;"(含)"&amp;"-"&amp;D116</f>
        <v>0(含)-10000</v>
      </c>
      <c r="D115" s="461" t="str">
        <f t="shared" ref="D115:M115" si="25">D116&amp;"(含)"&amp;"-"&amp;E116</f>
        <v>10000(含)-20000</v>
      </c>
      <c r="E115" s="461" t="str">
        <f t="shared" si="25"/>
        <v>20000(含)-50000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10000</v>
      </c>
      <c r="E116" s="6">
        <v>20000</v>
      </c>
      <c r="F116" s="6">
        <v>50000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101</v>
      </c>
      <c r="E117" s="521">
        <v>102</v>
      </c>
      <c r="F117" s="521">
        <v>103</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978F8-FFE0-466F-9469-D27E37EC076B}">
  <sheetPr>
    <tabColor theme="0" tint="-4.9989318521683403E-2"/>
  </sheetPr>
  <dimension ref="A1:U24"/>
  <sheetViews>
    <sheetView topLeftCell="A22" workbookViewId="0">
      <selection activeCell="J50" sqref="J50"/>
    </sheetView>
  </sheetViews>
  <sheetFormatPr defaultRowHeight="13.5"/>
  <cols>
    <col min="1" max="1" width="27.875" customWidth="1"/>
    <col min="8" max="8" width="25.875" customWidth="1"/>
  </cols>
  <sheetData>
    <row r="1" spans="1:21" ht="14.25">
      <c r="A1" s="3497" t="s">
        <v>3439</v>
      </c>
      <c r="B1" s="3497" t="s">
        <v>3440</v>
      </c>
      <c r="C1" s="3497" t="s">
        <v>3441</v>
      </c>
      <c r="D1" s="3497" t="s">
        <v>3442</v>
      </c>
      <c r="E1" s="3497" t="s">
        <v>3443</v>
      </c>
      <c r="F1" s="3497" t="s">
        <v>3444</v>
      </c>
      <c r="G1" s="3497" t="s">
        <v>3445</v>
      </c>
      <c r="H1" s="3497" t="s">
        <v>3446</v>
      </c>
      <c r="I1" s="3497" t="s">
        <v>3447</v>
      </c>
      <c r="J1" s="3497" t="s">
        <v>3448</v>
      </c>
      <c r="K1" s="3497" t="s">
        <v>3449</v>
      </c>
      <c r="L1" s="3497" t="s">
        <v>3450</v>
      </c>
      <c r="M1" s="3497" t="s">
        <v>3451</v>
      </c>
      <c r="N1" s="3497" t="s">
        <v>3452</v>
      </c>
      <c r="O1" s="3497" t="s">
        <v>3453</v>
      </c>
      <c r="P1" s="3497" t="s">
        <v>3454</v>
      </c>
      <c r="Q1" s="3497" t="s">
        <v>3455</v>
      </c>
      <c r="R1" s="3497" t="s">
        <v>3456</v>
      </c>
      <c r="S1" s="3497" t="s">
        <v>3457</v>
      </c>
      <c r="T1" s="3497" t="s">
        <v>3458</v>
      </c>
      <c r="U1" s="1405" t="s">
        <v>3472</v>
      </c>
    </row>
    <row r="2" spans="1:21" s="3499" customFormat="1" ht="14.25">
      <c r="A2" s="3498" t="s">
        <v>3459</v>
      </c>
      <c r="B2" s="3498" t="s">
        <v>3460</v>
      </c>
      <c r="C2" s="3498" t="s">
        <v>3461</v>
      </c>
      <c r="D2" s="3498" t="s">
        <v>3462</v>
      </c>
      <c r="E2" s="3498">
        <v>64574.61</v>
      </c>
      <c r="F2" s="3498">
        <v>213096.21</v>
      </c>
      <c r="G2" s="3498" t="s">
        <v>3463</v>
      </c>
      <c r="H2" s="3498" t="s">
        <v>3464</v>
      </c>
      <c r="I2" s="3498" t="s">
        <v>2440</v>
      </c>
      <c r="J2" s="3498" t="s">
        <v>3465</v>
      </c>
      <c r="K2" s="3498" t="s">
        <v>3466</v>
      </c>
      <c r="L2" s="3498" t="s">
        <v>3466</v>
      </c>
      <c r="M2" s="3498" t="s">
        <v>3467</v>
      </c>
      <c r="N2" s="3498" t="s">
        <v>3468</v>
      </c>
      <c r="O2" s="3498">
        <v>8470</v>
      </c>
      <c r="P2" s="3498">
        <v>1700</v>
      </c>
      <c r="Q2" s="3498" t="s">
        <v>3465</v>
      </c>
      <c r="R2" s="3498">
        <v>8580</v>
      </c>
      <c r="S2" s="3498">
        <v>403</v>
      </c>
      <c r="T2" s="3498">
        <v>1.3</v>
      </c>
      <c r="U2" s="3499">
        <f>R2/E2*10000</f>
        <v>1328.6955972324108</v>
      </c>
    </row>
    <row r="3" spans="1:21" s="3499" customFormat="1" ht="14.25">
      <c r="A3" s="3498" t="s">
        <v>3469</v>
      </c>
      <c r="B3" s="3498" t="s">
        <v>3460</v>
      </c>
      <c r="C3" s="3498" t="s">
        <v>3470</v>
      </c>
      <c r="D3" s="3498" t="s">
        <v>3462</v>
      </c>
      <c r="E3" s="3498">
        <v>13480.95</v>
      </c>
      <c r="F3" s="3498">
        <v>33702.379999999997</v>
      </c>
      <c r="G3" s="3498" t="s">
        <v>3471</v>
      </c>
      <c r="H3" s="3498" t="s">
        <v>3464</v>
      </c>
      <c r="I3" s="3498" t="s">
        <v>2440</v>
      </c>
      <c r="J3" s="3498" t="s">
        <v>3465</v>
      </c>
      <c r="K3" s="3498" t="s">
        <v>3466</v>
      </c>
      <c r="L3" s="3498" t="s">
        <v>3466</v>
      </c>
      <c r="M3" s="3498" t="s">
        <v>3467</v>
      </c>
      <c r="N3" s="3498" t="s">
        <v>3468</v>
      </c>
      <c r="O3" s="3498">
        <v>1640</v>
      </c>
      <c r="P3" s="3498">
        <v>330</v>
      </c>
      <c r="Q3" s="3498" t="s">
        <v>3465</v>
      </c>
      <c r="R3" s="3498">
        <v>1750</v>
      </c>
      <c r="S3" s="3498">
        <v>519</v>
      </c>
      <c r="T3" s="3498">
        <v>6.71</v>
      </c>
      <c r="U3" s="3499">
        <f>R3/E3*10000</f>
        <v>1298.128099280837</v>
      </c>
    </row>
    <row r="9" spans="1:21" ht="14.25">
      <c r="A9" s="3497" t="s">
        <v>3439</v>
      </c>
      <c r="B9" s="3497" t="s">
        <v>3440</v>
      </c>
      <c r="C9" s="3497" t="s">
        <v>3441</v>
      </c>
      <c r="D9" s="3497" t="s">
        <v>3443</v>
      </c>
      <c r="E9" s="3497" t="s">
        <v>3444</v>
      </c>
      <c r="F9" s="3497" t="s">
        <v>3442</v>
      </c>
      <c r="G9" s="3497" t="s">
        <v>3447</v>
      </c>
      <c r="H9" s="3497" t="s">
        <v>3445</v>
      </c>
      <c r="I9" s="3497" t="s">
        <v>3446</v>
      </c>
      <c r="J9" s="3497" t="s">
        <v>3448</v>
      </c>
      <c r="K9" s="3497" t="s">
        <v>3449</v>
      </c>
      <c r="L9" s="3497" t="s">
        <v>3450</v>
      </c>
      <c r="M9" s="3497" t="s">
        <v>3451</v>
      </c>
      <c r="N9" s="3497" t="s">
        <v>3452</v>
      </c>
      <c r="O9" s="3497" t="s">
        <v>3455</v>
      </c>
      <c r="P9" s="3497" t="s">
        <v>3456</v>
      </c>
      <c r="Q9" s="3497" t="s">
        <v>3473</v>
      </c>
      <c r="R9" s="3497" t="s">
        <v>3474</v>
      </c>
      <c r="S9" s="3497" t="s">
        <v>3457</v>
      </c>
      <c r="T9" s="3497" t="s">
        <v>3458</v>
      </c>
    </row>
    <row r="10" spans="1:21" ht="14.25">
      <c r="A10" s="3497" t="s">
        <v>3475</v>
      </c>
      <c r="B10" s="3497" t="s">
        <v>3460</v>
      </c>
      <c r="C10" s="3497" t="s">
        <v>3476</v>
      </c>
      <c r="D10" s="3497">
        <v>17853</v>
      </c>
      <c r="E10" s="3497">
        <v>35706</v>
      </c>
      <c r="F10" s="3497" t="s">
        <v>3462</v>
      </c>
      <c r="G10" s="3497" t="s">
        <v>2436</v>
      </c>
      <c r="H10" s="3497" t="s">
        <v>3477</v>
      </c>
      <c r="I10" s="3497" t="s">
        <v>3478</v>
      </c>
      <c r="J10" s="3497" t="s">
        <v>3465</v>
      </c>
      <c r="K10" s="3497" t="s">
        <v>3479</v>
      </c>
      <c r="L10" s="3497" t="s">
        <v>3480</v>
      </c>
      <c r="M10" s="3497" t="s">
        <v>3467</v>
      </c>
      <c r="N10" s="3497" t="s">
        <v>3481</v>
      </c>
      <c r="O10" s="3497" t="s">
        <v>3482</v>
      </c>
      <c r="P10" s="3497">
        <v>1580</v>
      </c>
      <c r="Q10" s="3497">
        <v>885</v>
      </c>
      <c r="R10" s="3497">
        <v>59</v>
      </c>
      <c r="S10" s="3497">
        <v>443</v>
      </c>
      <c r="T10" s="3497">
        <v>0.64</v>
      </c>
    </row>
    <row r="11" spans="1:21" ht="14.25">
      <c r="A11" s="3497" t="s">
        <v>3483</v>
      </c>
      <c r="B11" s="3497" t="s">
        <v>3460</v>
      </c>
      <c r="C11" s="3497" t="s">
        <v>3484</v>
      </c>
      <c r="D11" s="3497">
        <v>3285</v>
      </c>
      <c r="E11" s="3497">
        <v>4927.5</v>
      </c>
      <c r="F11" s="3497" t="s">
        <v>3462</v>
      </c>
      <c r="G11" s="3497" t="s">
        <v>2430</v>
      </c>
      <c r="H11" s="3497" t="s">
        <v>3485</v>
      </c>
      <c r="I11" s="3497" t="s">
        <v>3478</v>
      </c>
      <c r="J11" s="3497" t="s">
        <v>3465</v>
      </c>
      <c r="K11" s="3497" t="s">
        <v>3479</v>
      </c>
      <c r="L11" s="3497" t="s">
        <v>3480</v>
      </c>
      <c r="M11" s="3497" t="s">
        <v>3467</v>
      </c>
      <c r="N11" s="3497" t="s">
        <v>3481</v>
      </c>
      <c r="O11" s="3497" t="s">
        <v>3482</v>
      </c>
      <c r="P11" s="3497">
        <v>181</v>
      </c>
      <c r="Q11" s="3497">
        <v>550.98</v>
      </c>
      <c r="R11" s="3497">
        <v>36.729999999999997</v>
      </c>
      <c r="S11" s="3497">
        <v>367</v>
      </c>
      <c r="T11" s="3497">
        <v>0.56000000000000005</v>
      </c>
    </row>
    <row r="12" spans="1:21" ht="14.25">
      <c r="A12" s="3497" t="s">
        <v>3486</v>
      </c>
      <c r="B12" s="3497" t="s">
        <v>3460</v>
      </c>
      <c r="C12" s="3497" t="s">
        <v>3487</v>
      </c>
      <c r="D12" s="3497">
        <v>10425</v>
      </c>
      <c r="E12" s="3497">
        <v>15637.5</v>
      </c>
      <c r="F12" s="3497" t="s">
        <v>3462</v>
      </c>
      <c r="G12" s="3497" t="s">
        <v>2436</v>
      </c>
      <c r="H12" s="3497" t="s">
        <v>3485</v>
      </c>
      <c r="I12" s="3497" t="s">
        <v>3478</v>
      </c>
      <c r="J12" s="3497" t="s">
        <v>3465</v>
      </c>
      <c r="K12" s="3497" t="s">
        <v>3479</v>
      </c>
      <c r="L12" s="3497" t="s">
        <v>3480</v>
      </c>
      <c r="M12" s="3497" t="s">
        <v>3467</v>
      </c>
      <c r="N12" s="3497" t="s">
        <v>3481</v>
      </c>
      <c r="O12" s="3497" t="s">
        <v>3482</v>
      </c>
      <c r="P12" s="3497">
        <v>690</v>
      </c>
      <c r="Q12" s="3497">
        <v>661.87</v>
      </c>
      <c r="R12" s="3497">
        <v>44.12</v>
      </c>
      <c r="S12" s="3497">
        <v>441</v>
      </c>
      <c r="T12" s="3497">
        <v>0.73</v>
      </c>
    </row>
    <row r="13" spans="1:21" s="3501" customFormat="1" ht="14.25">
      <c r="A13" s="3500" t="s">
        <v>3488</v>
      </c>
      <c r="B13" s="3500" t="s">
        <v>3460</v>
      </c>
      <c r="C13" s="3500" t="s">
        <v>3489</v>
      </c>
      <c r="D13" s="3500">
        <v>6661</v>
      </c>
      <c r="E13" s="3500">
        <v>16652.5</v>
      </c>
      <c r="F13" s="3500" t="s">
        <v>3462</v>
      </c>
      <c r="G13" s="3500" t="s">
        <v>3490</v>
      </c>
      <c r="H13" s="3500" t="s">
        <v>3491</v>
      </c>
      <c r="I13" s="3500" t="s">
        <v>3478</v>
      </c>
      <c r="J13" s="3500" t="s">
        <v>3465</v>
      </c>
      <c r="K13" s="3500" t="s">
        <v>3492</v>
      </c>
      <c r="L13" s="3500" t="s">
        <v>3492</v>
      </c>
      <c r="M13" s="3500" t="s">
        <v>3467</v>
      </c>
      <c r="N13" s="3500" t="s">
        <v>3493</v>
      </c>
      <c r="O13" s="3500" t="s">
        <v>3494</v>
      </c>
      <c r="P13" s="3500">
        <v>610</v>
      </c>
      <c r="Q13" s="3500">
        <v>915.77</v>
      </c>
      <c r="R13" s="3500">
        <v>61.05</v>
      </c>
      <c r="S13" s="3500">
        <v>366</v>
      </c>
      <c r="T13" s="3500">
        <v>0.83</v>
      </c>
    </row>
    <row r="14" spans="1:21" ht="14.25">
      <c r="A14" s="3497" t="s">
        <v>3495</v>
      </c>
      <c r="B14" s="3497" t="s">
        <v>3460</v>
      </c>
      <c r="C14" s="3497" t="s">
        <v>3496</v>
      </c>
      <c r="D14" s="3497">
        <v>8743</v>
      </c>
      <c r="E14" s="3497">
        <v>21857.5</v>
      </c>
      <c r="F14" s="3497" t="s">
        <v>3462</v>
      </c>
      <c r="G14" s="3497" t="s">
        <v>2436</v>
      </c>
      <c r="H14" s="3497" t="s">
        <v>3491</v>
      </c>
      <c r="I14" s="3497" t="s">
        <v>3478</v>
      </c>
      <c r="J14" s="3497" t="s">
        <v>3465</v>
      </c>
      <c r="K14" s="3497" t="s">
        <v>3497</v>
      </c>
      <c r="L14" s="3497" t="s">
        <v>3497</v>
      </c>
      <c r="M14" s="3497" t="s">
        <v>3467</v>
      </c>
      <c r="N14" s="3497" t="s">
        <v>3498</v>
      </c>
      <c r="O14" s="3497" t="s">
        <v>3499</v>
      </c>
      <c r="P14" s="3497">
        <v>2100</v>
      </c>
      <c r="Q14" s="3497">
        <v>2401.92</v>
      </c>
      <c r="R14" s="3497">
        <v>160.13</v>
      </c>
      <c r="S14" s="3497">
        <v>961</v>
      </c>
      <c r="T14" s="3497">
        <v>73.55</v>
      </c>
    </row>
    <row r="15" spans="1:21" ht="14.25">
      <c r="A15" s="3497" t="s">
        <v>3500</v>
      </c>
      <c r="B15" s="3497" t="s">
        <v>3460</v>
      </c>
      <c r="C15" s="3497" t="s">
        <v>3501</v>
      </c>
      <c r="D15" s="3497">
        <v>14281</v>
      </c>
      <c r="E15" s="3497">
        <v>17137.2</v>
      </c>
      <c r="F15" s="3497" t="s">
        <v>3462</v>
      </c>
      <c r="G15" s="3497" t="s">
        <v>2430</v>
      </c>
      <c r="H15" s="3497" t="s">
        <v>3502</v>
      </c>
      <c r="I15" s="3497" t="s">
        <v>3478</v>
      </c>
      <c r="J15" s="3497" t="s">
        <v>3465</v>
      </c>
      <c r="K15" s="3497" t="s">
        <v>3503</v>
      </c>
      <c r="L15" s="3497" t="s">
        <v>3503</v>
      </c>
      <c r="M15" s="3497" t="s">
        <v>3467</v>
      </c>
      <c r="N15" s="3497" t="s">
        <v>3504</v>
      </c>
      <c r="O15" s="3497" t="s">
        <v>3505</v>
      </c>
      <c r="P15" s="3497">
        <v>4450</v>
      </c>
      <c r="Q15" s="3497">
        <v>3116.02</v>
      </c>
      <c r="R15" s="3497">
        <v>207.74</v>
      </c>
      <c r="S15" s="3497">
        <v>2597</v>
      </c>
      <c r="T15" s="3497">
        <v>1.1399999999999999</v>
      </c>
    </row>
    <row r="16" spans="1:21" ht="14.25">
      <c r="A16" s="3497" t="s">
        <v>3506</v>
      </c>
      <c r="B16" s="3497" t="s">
        <v>3460</v>
      </c>
      <c r="C16" s="3497" t="s">
        <v>3507</v>
      </c>
      <c r="D16" s="3497">
        <v>32279</v>
      </c>
      <c r="E16" s="3497">
        <v>64558</v>
      </c>
      <c r="F16" s="3497" t="s">
        <v>3462</v>
      </c>
      <c r="G16" s="3497" t="s">
        <v>2430</v>
      </c>
      <c r="H16" s="3497" t="s">
        <v>3508</v>
      </c>
      <c r="I16" s="3497" t="s">
        <v>3478</v>
      </c>
      <c r="J16" s="3497" t="s">
        <v>3465</v>
      </c>
      <c r="K16" s="3497" t="s">
        <v>3509</v>
      </c>
      <c r="L16" s="3497" t="s">
        <v>3509</v>
      </c>
      <c r="M16" s="3497" t="s">
        <v>3467</v>
      </c>
      <c r="N16" s="3497" t="s">
        <v>3510</v>
      </c>
      <c r="O16" s="3497" t="s">
        <v>3511</v>
      </c>
      <c r="P16" s="3497">
        <v>14600</v>
      </c>
      <c r="Q16" s="3497">
        <v>4523.0600000000004</v>
      </c>
      <c r="R16" s="3497">
        <v>301.54000000000002</v>
      </c>
      <c r="S16" s="3497">
        <v>2262</v>
      </c>
      <c r="T16" s="3497">
        <v>30.36</v>
      </c>
    </row>
    <row r="17" spans="1:20" s="3501" customFormat="1" ht="14.25">
      <c r="A17" s="3500" t="s">
        <v>3512</v>
      </c>
      <c r="B17" s="3500" t="s">
        <v>3460</v>
      </c>
      <c r="C17" s="3500" t="s">
        <v>3513</v>
      </c>
      <c r="D17" s="3500">
        <v>4463</v>
      </c>
      <c r="E17" s="3500">
        <v>23207.599999999999</v>
      </c>
      <c r="F17" s="3500" t="s">
        <v>3462</v>
      </c>
      <c r="G17" s="3500" t="s">
        <v>2430</v>
      </c>
      <c r="H17" s="3500" t="s">
        <v>3514</v>
      </c>
      <c r="I17" s="3500" t="s">
        <v>3478</v>
      </c>
      <c r="J17" s="3500" t="s">
        <v>3465</v>
      </c>
      <c r="K17" s="3500" t="s">
        <v>3515</v>
      </c>
      <c r="L17" s="3500" t="s">
        <v>3515</v>
      </c>
      <c r="M17" s="3500" t="s">
        <v>3467</v>
      </c>
      <c r="N17" s="3500" t="s">
        <v>3516</v>
      </c>
      <c r="O17" s="3500" t="s">
        <v>3517</v>
      </c>
      <c r="P17" s="3500">
        <v>640</v>
      </c>
      <c r="Q17" s="3500">
        <v>1434.01</v>
      </c>
      <c r="R17" s="3500">
        <v>95.6</v>
      </c>
      <c r="S17" s="3500">
        <v>276</v>
      </c>
      <c r="T17" s="3500">
        <v>1.59</v>
      </c>
    </row>
    <row r="18" spans="1:20" s="3501" customFormat="1" ht="14.25">
      <c r="A18" s="3500" t="s">
        <v>3518</v>
      </c>
      <c r="B18" s="3500" t="s">
        <v>3460</v>
      </c>
      <c r="C18" s="3500" t="s">
        <v>3519</v>
      </c>
      <c r="D18" s="3500">
        <v>11573</v>
      </c>
      <c r="E18" s="3500">
        <v>34719</v>
      </c>
      <c r="F18" s="3500" t="s">
        <v>3462</v>
      </c>
      <c r="G18" s="3500" t="s">
        <v>2436</v>
      </c>
      <c r="H18" s="3500" t="s">
        <v>3520</v>
      </c>
      <c r="I18" s="3500" t="s">
        <v>3464</v>
      </c>
      <c r="J18" s="3500" t="s">
        <v>3465</v>
      </c>
      <c r="K18" s="3500" t="s">
        <v>3521</v>
      </c>
      <c r="L18" s="3500" t="s">
        <v>3521</v>
      </c>
      <c r="M18" s="3500" t="s">
        <v>3467</v>
      </c>
      <c r="N18" s="3500" t="s">
        <v>3522</v>
      </c>
      <c r="O18" s="3500" t="s">
        <v>3523</v>
      </c>
      <c r="P18" s="3500">
        <v>1160</v>
      </c>
      <c r="Q18" s="3500">
        <v>1002.33</v>
      </c>
      <c r="R18" s="3500">
        <v>66.819999999999993</v>
      </c>
      <c r="S18" s="3500">
        <v>334</v>
      </c>
      <c r="T18" s="3500">
        <v>0.87</v>
      </c>
    </row>
    <row r="19" spans="1:20" ht="14.25">
      <c r="A19" s="3497" t="s">
        <v>3524</v>
      </c>
      <c r="B19" s="3497" t="s">
        <v>3460</v>
      </c>
      <c r="C19" s="3497" t="s">
        <v>3525</v>
      </c>
      <c r="D19" s="3497">
        <v>1432</v>
      </c>
      <c r="E19" s="3497">
        <v>3150.4</v>
      </c>
      <c r="F19" s="3497" t="s">
        <v>3462</v>
      </c>
      <c r="G19" s="3497" t="s">
        <v>3526</v>
      </c>
      <c r="H19" s="3497" t="s">
        <v>3527</v>
      </c>
      <c r="I19" s="3497" t="s">
        <v>3478</v>
      </c>
      <c r="J19" s="3497" t="s">
        <v>3465</v>
      </c>
      <c r="K19" s="3497" t="s">
        <v>3528</v>
      </c>
      <c r="L19" s="3497" t="s">
        <v>3528</v>
      </c>
      <c r="M19" s="3497" t="s">
        <v>3467</v>
      </c>
      <c r="N19" s="3497" t="s">
        <v>3529</v>
      </c>
      <c r="O19" s="3497" t="s">
        <v>3530</v>
      </c>
      <c r="P19" s="3497">
        <v>174</v>
      </c>
      <c r="Q19" s="3497">
        <v>1215.08</v>
      </c>
      <c r="R19" s="3497">
        <v>81.010000000000005</v>
      </c>
      <c r="S19" s="3497">
        <v>552</v>
      </c>
      <c r="T19" s="3497">
        <v>2.35</v>
      </c>
    </row>
    <row r="20" spans="1:20" ht="14.25">
      <c r="A20" s="3497" t="s">
        <v>3531</v>
      </c>
      <c r="B20" s="3497" t="s">
        <v>3460</v>
      </c>
      <c r="C20" s="3497" t="s">
        <v>3532</v>
      </c>
      <c r="D20" s="3497">
        <v>7613</v>
      </c>
      <c r="E20" s="3497">
        <v>13703.4</v>
      </c>
      <c r="F20" s="3497" t="s">
        <v>3462</v>
      </c>
      <c r="G20" s="3497" t="s">
        <v>3526</v>
      </c>
      <c r="H20" s="3497" t="s">
        <v>3533</v>
      </c>
      <c r="I20" s="3497" t="s">
        <v>3464</v>
      </c>
      <c r="J20" s="3497" t="s">
        <v>3465</v>
      </c>
      <c r="K20" s="3497" t="s">
        <v>3534</v>
      </c>
      <c r="L20" s="3497" t="s">
        <v>3534</v>
      </c>
      <c r="M20" s="3497" t="s">
        <v>3467</v>
      </c>
      <c r="N20" s="3497" t="s">
        <v>3535</v>
      </c>
      <c r="O20" s="3497" t="s">
        <v>3536</v>
      </c>
      <c r="P20" s="3497">
        <v>820</v>
      </c>
      <c r="Q20" s="3497">
        <v>1077.0999999999999</v>
      </c>
      <c r="R20" s="3497">
        <v>71.81</v>
      </c>
      <c r="S20" s="3497">
        <v>598</v>
      </c>
      <c r="T20" s="3497">
        <v>2.5</v>
      </c>
    </row>
    <row r="21" spans="1:20" ht="14.25">
      <c r="A21" s="3497" t="s">
        <v>3537</v>
      </c>
      <c r="B21" s="3497" t="s">
        <v>3460</v>
      </c>
      <c r="C21" s="3497" t="s">
        <v>3538</v>
      </c>
      <c r="D21" s="3497">
        <v>5564</v>
      </c>
      <c r="E21" s="3497">
        <v>13910</v>
      </c>
      <c r="F21" s="3497" t="s">
        <v>3462</v>
      </c>
      <c r="G21" s="3497" t="s">
        <v>2436</v>
      </c>
      <c r="H21" s="3497" t="s">
        <v>3539</v>
      </c>
      <c r="I21" s="3497" t="s">
        <v>3464</v>
      </c>
      <c r="J21" s="3497" t="s">
        <v>3465</v>
      </c>
      <c r="K21" s="3497" t="s">
        <v>3540</v>
      </c>
      <c r="L21" s="3497" t="s">
        <v>3540</v>
      </c>
      <c r="M21" s="3497" t="s">
        <v>3467</v>
      </c>
      <c r="N21" s="3497" t="s">
        <v>3541</v>
      </c>
      <c r="O21" s="3497" t="s">
        <v>3542</v>
      </c>
      <c r="P21" s="3497">
        <v>530</v>
      </c>
      <c r="Q21" s="3497">
        <v>952.55</v>
      </c>
      <c r="R21" s="3497">
        <v>63.5</v>
      </c>
      <c r="S21" s="3497">
        <v>381</v>
      </c>
      <c r="T21" s="3497">
        <v>1.92</v>
      </c>
    </row>
    <row r="22" spans="1:20" ht="14.25">
      <c r="A22" s="3497" t="s">
        <v>3543</v>
      </c>
      <c r="B22" s="3497" t="s">
        <v>3460</v>
      </c>
      <c r="C22" s="3497" t="s">
        <v>3544</v>
      </c>
      <c r="D22" s="3497">
        <v>4429</v>
      </c>
      <c r="E22" s="3497">
        <v>12401.2</v>
      </c>
      <c r="F22" s="3497" t="s">
        <v>3462</v>
      </c>
      <c r="G22" s="3497" t="s">
        <v>2430</v>
      </c>
      <c r="H22" s="3497" t="s">
        <v>3545</v>
      </c>
      <c r="I22" s="3497" t="s">
        <v>3478</v>
      </c>
      <c r="J22" s="3497" t="s">
        <v>3465</v>
      </c>
      <c r="K22" s="3497" t="s">
        <v>3546</v>
      </c>
      <c r="L22" s="3497" t="s">
        <v>3546</v>
      </c>
      <c r="M22" s="3497" t="s">
        <v>3467</v>
      </c>
      <c r="N22" s="3497" t="s">
        <v>3547</v>
      </c>
      <c r="O22" s="3497" t="s">
        <v>3548</v>
      </c>
      <c r="P22" s="3497">
        <v>760</v>
      </c>
      <c r="Q22" s="3497">
        <v>1715.96</v>
      </c>
      <c r="R22" s="3497">
        <v>114.4</v>
      </c>
      <c r="S22" s="3497">
        <v>613</v>
      </c>
      <c r="T22" s="3497">
        <v>49.02</v>
      </c>
    </row>
    <row r="23" spans="1:20" ht="14.25">
      <c r="A23" s="3497" t="s">
        <v>3549</v>
      </c>
      <c r="B23" s="3497" t="s">
        <v>3460</v>
      </c>
      <c r="C23" s="3497" t="s">
        <v>3550</v>
      </c>
      <c r="D23" s="3497">
        <v>3626</v>
      </c>
      <c r="E23" s="3497">
        <v>10515.4</v>
      </c>
      <c r="F23" s="3497" t="s">
        <v>3462</v>
      </c>
      <c r="G23" s="3497" t="s">
        <v>2430</v>
      </c>
      <c r="H23" s="3497" t="s">
        <v>3551</v>
      </c>
      <c r="I23" s="3497" t="s">
        <v>3478</v>
      </c>
      <c r="J23" s="3497" t="s">
        <v>3465</v>
      </c>
      <c r="K23" s="3497" t="s">
        <v>3552</v>
      </c>
      <c r="L23" s="3497" t="s">
        <v>3552</v>
      </c>
      <c r="M23" s="3497" t="s">
        <v>3467</v>
      </c>
      <c r="N23" s="3497" t="s">
        <v>3553</v>
      </c>
      <c r="O23" s="3497" t="s">
        <v>3554</v>
      </c>
      <c r="P23" s="3497">
        <v>1570</v>
      </c>
      <c r="Q23" s="3497">
        <v>4329.84</v>
      </c>
      <c r="R23" s="3497">
        <v>288.66000000000003</v>
      </c>
      <c r="S23" s="3497">
        <v>1493</v>
      </c>
      <c r="T23" s="3497">
        <v>14.6</v>
      </c>
    </row>
    <row r="24" spans="1:20" ht="14.25">
      <c r="A24" s="3497" t="s">
        <v>3555</v>
      </c>
      <c r="B24" s="3497" t="s">
        <v>3460</v>
      </c>
      <c r="C24" s="3497" t="s">
        <v>3556</v>
      </c>
      <c r="D24" s="3497">
        <v>5498</v>
      </c>
      <c r="E24" s="3497">
        <v>13745</v>
      </c>
      <c r="F24" s="3497" t="s">
        <v>3462</v>
      </c>
      <c r="G24" s="3497" t="s">
        <v>2436</v>
      </c>
      <c r="H24" s="3497" t="s">
        <v>3557</v>
      </c>
      <c r="I24" s="3497" t="s">
        <v>3464</v>
      </c>
      <c r="J24" s="3497" t="s">
        <v>3465</v>
      </c>
      <c r="K24" s="3497" t="s">
        <v>3558</v>
      </c>
      <c r="L24" s="3497" t="s">
        <v>3558</v>
      </c>
      <c r="M24" s="3497" t="s">
        <v>3467</v>
      </c>
      <c r="N24" s="3497" t="s">
        <v>3559</v>
      </c>
      <c r="O24" s="3497" t="s">
        <v>3560</v>
      </c>
      <c r="P24" s="3497">
        <v>706</v>
      </c>
      <c r="Q24" s="3497">
        <v>1284.0999999999999</v>
      </c>
      <c r="R24" s="3497">
        <v>85.61</v>
      </c>
      <c r="S24" s="3497">
        <v>514</v>
      </c>
      <c r="T24" s="3497">
        <v>4.4400000000000004</v>
      </c>
    </row>
  </sheetData>
  <mergeCells count="380">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
    <mergeCell ref="T2"/>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
    <mergeCell ref="K2"/>
    <mergeCell ref="L2"/>
    <mergeCell ref="M2"/>
    <mergeCell ref="N2"/>
    <mergeCell ref="O2"/>
    <mergeCell ref="P2"/>
    <mergeCell ref="Q2"/>
    <mergeCell ref="R2"/>
    <mergeCell ref="A2"/>
    <mergeCell ref="B2"/>
    <mergeCell ref="C2"/>
    <mergeCell ref="D2"/>
    <mergeCell ref="E2"/>
    <mergeCell ref="F2"/>
    <mergeCell ref="G2"/>
    <mergeCell ref="H2"/>
    <mergeCell ref="I2"/>
    <mergeCell ref="A3"/>
    <mergeCell ref="B3"/>
    <mergeCell ref="C3"/>
    <mergeCell ref="D3"/>
    <mergeCell ref="E3"/>
    <mergeCell ref="F3"/>
    <mergeCell ref="G3"/>
    <mergeCell ref="H3"/>
    <mergeCell ref="I3"/>
    <mergeCell ref="S3"/>
    <mergeCell ref="T3"/>
    <mergeCell ref="J3"/>
    <mergeCell ref="K3"/>
    <mergeCell ref="L3"/>
    <mergeCell ref="M3"/>
    <mergeCell ref="N3"/>
    <mergeCell ref="O3"/>
    <mergeCell ref="P3"/>
    <mergeCell ref="Q3"/>
    <mergeCell ref="R3"/>
    <mergeCell ref="A1"/>
    <mergeCell ref="B1"/>
    <mergeCell ref="C1"/>
    <mergeCell ref="D1"/>
    <mergeCell ref="E1"/>
    <mergeCell ref="F1"/>
    <mergeCell ref="G1"/>
    <mergeCell ref="H1"/>
    <mergeCell ref="I1"/>
    <mergeCell ref="S1"/>
    <mergeCell ref="T1"/>
    <mergeCell ref="J1"/>
    <mergeCell ref="K1"/>
    <mergeCell ref="L1"/>
    <mergeCell ref="M1"/>
    <mergeCell ref="N1"/>
    <mergeCell ref="O1"/>
    <mergeCell ref="P1"/>
    <mergeCell ref="Q1"/>
    <mergeCell ref="R1"/>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3">
        <f ca="1">ROUND(IF(D2="——",C52/10000,C52/10000-E2),4)</f>
        <v>5394.5991999999997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6115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705731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705731</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60</v>
      </c>
      <c r="F9" s="213"/>
      <c r="G9" s="218"/>
    </row>
    <row r="10" spans="1:8" s="206" customFormat="1" ht="13.5" customHeight="1">
      <c r="A10" s="733" t="s">
        <v>356</v>
      </c>
      <c r="B10" s="216" t="s">
        <v>1480</v>
      </c>
      <c r="C10" s="217">
        <f ca="1">ROUND(D10*E10,0)</f>
        <v>705731</v>
      </c>
      <c r="D10" s="795">
        <f ca="1">IF(B1="",'数据-汇总表'!E6,IF(INDIRECT("'数据-取费表'!c"&amp;$G$1)="住宅",INDIRECT("'数据-取费表'!s"&amp;$G$1),INDIRECT("'数据-取费表'!k"&amp;$G$1)+INDIRECT("'数据-取费表'!s"&amp;$G$1)))</f>
        <v>8821.64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1764328</v>
      </c>
      <c r="D19" s="204">
        <f ca="1">D9+D10</f>
        <v>8821.64</v>
      </c>
      <c r="E19" s="203">
        <f>'数据-取费表'!B31</f>
        <v>200</v>
      </c>
      <c r="F19" s="223"/>
      <c r="G19" s="1714"/>
    </row>
    <row r="20" spans="1:7" s="206" customFormat="1" ht="13.5" customHeight="1">
      <c r="A20" s="247" t="s">
        <v>1574</v>
      </c>
      <c r="B20" s="202" t="s">
        <v>1575</v>
      </c>
      <c r="C20" s="224">
        <f ca="1">ROUND((C5+C19)*F20,0)</f>
        <v>49401</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197825</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55972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139931</v>
      </c>
      <c r="D24" s="230"/>
      <c r="E24" s="230"/>
      <c r="F24" s="231"/>
      <c r="G24" s="232" t="s">
        <v>1586</v>
      </c>
    </row>
    <row r="25" spans="1:7" s="206" customFormat="1" ht="24">
      <c r="A25" s="734" t="s">
        <v>1476</v>
      </c>
      <c r="B25" s="207" t="s">
        <v>1587</v>
      </c>
      <c r="C25" s="230">
        <f ca="1">ROUND(IF('数据-取费表'!B22&lt;=1,C20*F22*'数据-取费表'!B22/2,C20*(POWER((1+F22),'数据-取费表'!B22/2)-1)),0)</f>
        <v>1922</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503892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503892</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3541701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44240525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39697380</v>
      </c>
      <c r="D34" s="209"/>
      <c r="E34" s="212"/>
      <c r="F34" s="249"/>
      <c r="G34" s="211"/>
    </row>
    <row r="35" spans="1:7" ht="13.5" customHeight="1">
      <c r="A35" s="734" t="s">
        <v>351</v>
      </c>
      <c r="B35" s="207" t="s">
        <v>1527</v>
      </c>
      <c r="C35" s="212">
        <f ca="1">ROUND(C34*F35,0)</f>
        <v>1984869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1764328</v>
      </c>
      <c r="D37" s="209">
        <f ca="1">D19</f>
        <v>8821.64</v>
      </c>
      <c r="E37" s="241">
        <f>'数据-取费表'!B35</f>
        <v>200</v>
      </c>
      <c r="F37" s="251"/>
      <c r="G37" s="253"/>
    </row>
    <row r="38" spans="1:7" ht="13.5" customHeight="1">
      <c r="A38" s="734" t="s">
        <v>354</v>
      </c>
      <c r="B38" s="207" t="s">
        <v>1533</v>
      </c>
      <c r="C38" s="212">
        <f ca="1">ROUND(C34*F38,0)</f>
        <v>793948</v>
      </c>
      <c r="D38" s="212"/>
      <c r="E38" s="212"/>
      <c r="F38" s="251">
        <f>'数据-取费表'!B36</f>
        <v>0.02</v>
      </c>
      <c r="G38" s="211" t="s">
        <v>1528</v>
      </c>
    </row>
    <row r="39" spans="1:7" s="206" customFormat="1" ht="13.5" customHeight="1">
      <c r="A39" s="247" t="s">
        <v>1534</v>
      </c>
      <c r="B39" s="202" t="s">
        <v>1535</v>
      </c>
      <c r="C39" s="224">
        <f ca="1">ROUND(C33*F20,0)</f>
        <v>884811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1755331</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1720913</v>
      </c>
      <c r="D42" s="230"/>
      <c r="E42" s="230"/>
      <c r="F42" s="231"/>
      <c r="G42" s="3327" t="s">
        <v>1591</v>
      </c>
    </row>
    <row r="43" spans="1:7" ht="13.5" customHeight="1">
      <c r="A43" s="734" t="s">
        <v>347</v>
      </c>
      <c r="B43" s="207" t="s">
        <v>1545</v>
      </c>
      <c r="C43" s="230">
        <f ca="1">ROUND(IF('数据-取费表'!B22&lt;=1,C39*F22*'数据-取费表'!B20/2,C39*(POWER((1+F22),'数据-取费表'!B20/2)-1)),0)</f>
        <v>34418</v>
      </c>
      <c r="D43" s="230"/>
      <c r="E43" s="230"/>
      <c r="F43" s="231"/>
      <c r="G43" s="3328"/>
    </row>
    <row r="44" spans="1:7" ht="13.5" customHeight="1">
      <c r="A44" s="734" t="s">
        <v>348</v>
      </c>
      <c r="B44" s="207" t="s">
        <v>1546</v>
      </c>
      <c r="C44" s="230">
        <f ca="1">ROUND(IF('数据-取费表'!B22&lt;=1,C40*F22*'数据-取费表'!B20/2,C40*(POWER((1+F22),'数据-取费表'!B20/2)-1)),4)</f>
        <v>1.1999999999999999E-3</v>
      </c>
      <c r="D44" s="230"/>
      <c r="E44" s="230"/>
      <c r="F44" s="231"/>
      <c r="G44" s="3329"/>
    </row>
    <row r="45" spans="1:7" s="206" customFormat="1" ht="13.5" customHeight="1">
      <c r="A45" s="247" t="s">
        <v>1547</v>
      </c>
      <c r="B45" s="236" t="s">
        <v>1513</v>
      </c>
      <c r="C45" s="237">
        <f ca="1">C46</f>
        <v>9025067</v>
      </c>
      <c r="D45" s="227">
        <f ca="1">C47</f>
        <v>6.0000000000000001E-3</v>
      </c>
      <c r="E45" s="228" t="s">
        <v>1539</v>
      </c>
      <c r="F45" s="238">
        <f ca="1">F27</f>
        <v>0.2</v>
      </c>
      <c r="G45" s="239" t="s">
        <v>1548</v>
      </c>
    </row>
    <row r="46" spans="1:7" s="206" customFormat="1" ht="13.5" customHeight="1">
      <c r="A46" s="734" t="s">
        <v>346</v>
      </c>
      <c r="B46" s="240" t="s">
        <v>1549</v>
      </c>
      <c r="C46" s="241">
        <f ca="1">ROUND((C33+C39)*F27,0)</f>
        <v>9025067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61468647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50404291</v>
      </c>
      <c r="D51" s="224"/>
      <c r="E51" s="224"/>
      <c r="F51" s="256"/>
      <c r="G51" s="226" t="s">
        <v>1560</v>
      </c>
    </row>
    <row r="52" spans="1:7" s="200" customFormat="1" ht="16.5" thickBot="1">
      <c r="A52" s="257" t="s">
        <v>1561</v>
      </c>
      <c r="B52" s="258"/>
      <c r="C52" s="259">
        <f ca="1">C31+C51</f>
        <v>53945992</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10</v>
      </c>
    </row>
    <row r="2" spans="1:33" ht="18" customHeight="1">
      <c r="A2" s="193" t="s">
        <v>1462</v>
      </c>
      <c r="B2" s="196">
        <f ca="1">C32</f>
        <v>-84</v>
      </c>
      <c r="C2" s="268" t="s">
        <v>1595</v>
      </c>
      <c r="D2" s="268"/>
      <c r="E2" s="2568"/>
      <c r="F2" s="2568"/>
      <c r="G2" s="2568"/>
      <c r="H2" s="2568"/>
      <c r="I2" s="2568"/>
      <c r="J2" s="2568"/>
      <c r="K2" s="2568"/>
    </row>
    <row r="3" spans="1:33" ht="18" customHeight="1" thickBot="1">
      <c r="A3" s="195" t="s">
        <v>1464</v>
      </c>
      <c r="B3" s="196">
        <f ca="1">ROUND(B2*10000/IF(C1="",'数据-汇总表'!E3,INDIRECT("'数据-取费表'!K"&amp;$K$1)),0)</f>
        <v>-95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8821.64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8821.64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60</v>
      </c>
      <c r="F19" s="756"/>
      <c r="G19" s="12"/>
      <c r="H19" s="1108"/>
      <c r="I19" s="761"/>
      <c r="J19" s="761"/>
      <c r="K19" s="762"/>
    </row>
    <row r="20" spans="1:33" s="755" customFormat="1" ht="13.5" customHeight="1">
      <c r="A20" s="752" t="s">
        <v>361</v>
      </c>
      <c r="B20" s="753" t="s">
        <v>1627</v>
      </c>
      <c r="C20" s="21">
        <f ca="1">ROUND(D20*E20/10000,0)</f>
        <v>71</v>
      </c>
      <c r="D20" s="796">
        <f ca="1">IF(C1="",'数据-汇总表'!E6,IF(INDIRECT("'数据-取费表'!c"&amp;$K$1)="住宅",INDIRECT("'数据-取费表'!s"&amp;$K$1),INDIRECT("'数据-取费表'!k"&amp;$K$1)+INDIRECT("'数据-取费表'!s"&amp;$K$1)))</f>
        <v>8821.64</v>
      </c>
      <c r="E20" s="21">
        <f>'数据-取费表'!B28</f>
        <v>80</v>
      </c>
      <c r="F20" s="756"/>
      <c r="G20" s="12"/>
      <c r="H20" s="761"/>
      <c r="I20" s="761"/>
      <c r="J20" s="761"/>
      <c r="K20" s="762"/>
    </row>
    <row r="21" spans="1:33" s="755" customFormat="1" ht="13.5" customHeight="1">
      <c r="A21" s="744" t="s">
        <v>357</v>
      </c>
      <c r="B21" s="765" t="s">
        <v>1628</v>
      </c>
      <c r="C21" s="766">
        <f ca="1">C16+C17+C18</f>
        <v>71</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14</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1" sqref="D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3394</v>
      </c>
      <c r="D1" s="1271" t="s">
        <v>43</v>
      </c>
      <c r="E1" s="1272" t="s">
        <v>678</v>
      </c>
      <c r="F1" s="999">
        <f ca="1">J53</f>
        <v>26.56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1817</v>
      </c>
      <c r="C2" s="1289" t="s">
        <v>805</v>
      </c>
      <c r="D2" s="1289"/>
      <c r="E2" s="1295"/>
      <c r="F2" s="1296"/>
      <c r="G2" s="2479"/>
      <c r="H2" s="2469"/>
      <c r="I2" s="2469"/>
      <c r="J2" s="2469"/>
      <c r="K2" s="2470"/>
      <c r="L2" s="2469"/>
      <c r="M2" s="2469"/>
    </row>
    <row r="3" spans="1:37" ht="18" customHeight="1" thickBot="1">
      <c r="A3" s="1297" t="s">
        <v>806</v>
      </c>
      <c r="B3" s="1298">
        <f ca="1">IF(ISERROR(B2*10000/F43),0,ROUND(B2*10000/F43,0))</f>
        <v>9616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144</v>
      </c>
      <c r="D6" s="147" t="s">
        <v>2107</v>
      </c>
      <c r="E6" s="294" t="s">
        <v>696</v>
      </c>
      <c r="F6" s="295">
        <f ca="1">INDIRECT("'数据-取费表'!u"&amp;$G$1)</f>
        <v>2.4499999999999997</v>
      </c>
      <c r="G6" s="1292"/>
      <c r="H6" s="1006" t="s">
        <v>398</v>
      </c>
      <c r="I6" s="3332" t="s">
        <v>694</v>
      </c>
      <c r="J6" s="293">
        <f ca="1">ROUND(M6*M8*M7*(1-M9)/10000,0)</f>
        <v>0</v>
      </c>
      <c r="K6" s="147" t="s">
        <v>2106</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1889.55</v>
      </c>
      <c r="G7" s="1292"/>
      <c r="H7" s="296"/>
      <c r="I7" s="3333"/>
      <c r="J7" s="298"/>
      <c r="K7" s="299"/>
      <c r="L7" s="294" t="s">
        <v>697</v>
      </c>
      <c r="M7" s="295">
        <f ca="1">F7</f>
        <v>1889.55</v>
      </c>
    </row>
    <row r="8" spans="1:37" ht="18" customHeight="1">
      <c r="A8" s="296"/>
      <c r="B8" s="3333"/>
      <c r="C8" s="298"/>
      <c r="D8" s="299"/>
      <c r="E8" s="294" t="s">
        <v>698</v>
      </c>
      <c r="F8" s="295">
        <f ca="1">INDIRECT("'数据-取费表'!ai"&amp;$G$1)</f>
        <v>365</v>
      </c>
      <c r="G8" s="1292"/>
      <c r="H8" s="296"/>
      <c r="I8" s="3333"/>
      <c r="J8" s="298"/>
      <c r="K8" s="299"/>
      <c r="L8" s="294" t="s">
        <v>698</v>
      </c>
      <c r="M8" s="295">
        <f ca="1">INDIRECT("'数据-取费表'!ai"&amp;$G$1)</f>
        <v>365</v>
      </c>
    </row>
    <row r="9" spans="1:37" ht="18" customHeight="1">
      <c r="A9" s="296"/>
      <c r="B9" s="3334"/>
      <c r="C9" s="298"/>
      <c r="D9" s="299"/>
      <c r="E9" s="294" t="s">
        <v>699</v>
      </c>
      <c r="F9" s="304">
        <f ca="1">INDIRECT("'数据-取费表'!w"&amp;$G$1)</f>
        <v>0.15</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3404</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1080</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850</v>
      </c>
      <c r="D14" s="1257" t="s">
        <v>708</v>
      </c>
      <c r="E14" s="1255"/>
      <c r="F14" s="311"/>
      <c r="G14" s="1292"/>
      <c r="H14" s="928" t="s">
        <v>398</v>
      </c>
      <c r="I14" s="294" t="s">
        <v>709</v>
      </c>
      <c r="J14" s="21">
        <f ca="1">C29</f>
        <v>1317</v>
      </c>
      <c r="K14" s="12"/>
      <c r="L14" s="759"/>
      <c r="M14" s="760"/>
    </row>
    <row r="15" spans="1:37" s="1304" customFormat="1" ht="18" customHeight="1" thickBot="1">
      <c r="A15" s="928" t="s">
        <v>399</v>
      </c>
      <c r="B15" s="294" t="s">
        <v>710</v>
      </c>
      <c r="C15" s="21">
        <f ca="1">ROUND(C14*F15,0)</f>
        <v>43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38</v>
      </c>
      <c r="D17" s="294" t="s">
        <v>717</v>
      </c>
      <c r="E17" s="294" t="s">
        <v>718</v>
      </c>
      <c r="F17" s="23">
        <f>'数据-取费表'!B35</f>
        <v>200</v>
      </c>
      <c r="G17" s="1303"/>
      <c r="H17" s="928" t="s">
        <v>398</v>
      </c>
      <c r="I17" s="294" t="s">
        <v>719</v>
      </c>
      <c r="J17" s="2140">
        <f ca="1">ROUND(IF(AND(项目基本情况!B11="自然人",项目基本情况!B10="北京市"),J6*M17/(1+'数据-取费表'!C42),J18+J19+J20),2)</f>
        <v>0.09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948</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19</v>
      </c>
      <c r="D20" s="315" t="s">
        <v>729</v>
      </c>
      <c r="E20" s="294" t="s">
        <v>712</v>
      </c>
      <c r="F20" s="314">
        <f>'数据-取费表'!B37</f>
        <v>0.02</v>
      </c>
      <c r="G20" s="1303"/>
      <c r="H20" s="928" t="s">
        <v>680</v>
      </c>
      <c r="I20" s="147" t="s">
        <v>730</v>
      </c>
      <c r="J20" s="22">
        <f ca="1">ROUND(M20*M21/10000,2)</f>
        <v>0.09</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188.85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6.59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38</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1317</v>
      </c>
      <c r="D29" s="1029"/>
      <c r="E29" s="1027"/>
      <c r="F29" s="1030"/>
      <c r="G29" s="1303"/>
      <c r="H29" s="325" t="s">
        <v>396</v>
      </c>
      <c r="I29" s="326" t="s">
        <v>768</v>
      </c>
      <c r="J29" s="327">
        <f ca="1">ROUND(J26/(1+F40)^F41,0)</f>
        <v>0</v>
      </c>
      <c r="K29" s="328" t="s">
        <v>769</v>
      </c>
      <c r="L29" s="329"/>
      <c r="M29" s="330">
        <f ca="1">INDIRECT("'数据-取费表'!k"&amp;$G$1)</f>
        <v>1889.55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24.23</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7.68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16.46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0.09</v>
      </c>
      <c r="D34" s="316" t="s">
        <v>731</v>
      </c>
      <c r="E34" s="294" t="s">
        <v>732</v>
      </c>
      <c r="F34" s="317">
        <f>'数据-取费表'!B52</f>
        <v>5</v>
      </c>
      <c r="G34" s="1292"/>
      <c r="H34" s="2471"/>
      <c r="I34" s="1305"/>
      <c r="J34" s="1306"/>
      <c r="K34" s="2476"/>
      <c r="L34" s="2477"/>
      <c r="M34" s="2477"/>
    </row>
    <row r="35" spans="1:18" ht="18" customHeight="1">
      <c r="A35" s="1040"/>
      <c r="B35" s="1038"/>
      <c r="C35" s="26"/>
      <c r="D35" s="319"/>
      <c r="E35" s="294" t="s">
        <v>736</v>
      </c>
      <c r="F35" s="295">
        <f ca="1">INDIRECT("'数据-取费表'!r"&amp;$G$1)</f>
        <v>188.85</v>
      </c>
      <c r="G35" s="1292"/>
      <c r="H35" s="2471"/>
      <c r="I35" s="1305"/>
      <c r="J35" s="1306"/>
      <c r="K35" s="2475"/>
      <c r="L35" s="2474"/>
      <c r="M35" s="2474"/>
    </row>
    <row r="36" spans="1:18" ht="18" customHeight="1">
      <c r="A36" s="1039" t="s">
        <v>402</v>
      </c>
      <c r="B36" s="294" t="s">
        <v>738</v>
      </c>
      <c r="C36" s="21">
        <f ca="1">ROUND(C29*F36,2)</f>
        <v>6.59</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1.62</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2.88</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109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1749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26.56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9256</v>
      </c>
      <c r="D43" s="328" t="s">
        <v>777</v>
      </c>
      <c r="E43" s="329" t="s">
        <v>778</v>
      </c>
      <c r="F43" s="330">
        <f ca="1">INDIRECT("'数据-取费表'!k"&amp;$G$1)</f>
        <v>1889.55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-1859</v>
      </c>
      <c r="D46" s="1313" t="str">
        <f>C2</f>
        <v>万元</v>
      </c>
      <c r="E46" s="1307"/>
      <c r="F46" s="1307"/>
      <c r="I46" s="1314" t="s">
        <v>810</v>
      </c>
      <c r="J46" s="1315"/>
      <c r="K46" s="1316"/>
      <c r="L46" s="1317">
        <f ca="1">IF(M47="住宅",0,IF(L48&gt;J51,L60,J60))</f>
        <v>68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3405</v>
      </c>
      <c r="K47" s="1323" t="s">
        <v>816</v>
      </c>
      <c r="L47" s="1324">
        <f ca="1">INDIRECT("'数据-取费表'!d"&amp;$G$1)</f>
        <v>40</v>
      </c>
      <c r="M47" s="1288" t="str">
        <f>IF(ISNUMBER(FIND("住宅",C1)),"住宅","非住宅")</f>
        <v>非住宅</v>
      </c>
      <c r="O47" s="1325" t="s">
        <v>403</v>
      </c>
      <c r="P47" s="1326" t="s">
        <v>817</v>
      </c>
      <c r="Q47" s="1327">
        <f ca="1">C40+J29</f>
        <v>1749</v>
      </c>
      <c r="R47" s="1327" t="s">
        <v>818</v>
      </c>
    </row>
    <row r="48" spans="1:18" s="1292" customFormat="1" ht="28.5" thickBot="1">
      <c r="A48" s="1047" t="s">
        <v>438</v>
      </c>
      <c r="B48" s="292" t="s">
        <v>692</v>
      </c>
      <c r="C48" s="1268">
        <f ca="1">C49+C53+C55</f>
        <v>0</v>
      </c>
      <c r="D48" s="1049"/>
      <c r="E48" s="1050"/>
      <c r="F48" s="908"/>
      <c r="G48" s="681"/>
      <c r="H48" s="682"/>
      <c r="I48" s="1328" t="s">
        <v>819</v>
      </c>
      <c r="J48" s="1329" t="s">
        <v>3406</v>
      </c>
      <c r="K48" s="1330" t="s">
        <v>820</v>
      </c>
      <c r="L48" s="1331">
        <f ca="1">INDIRECT("'数据-取费表'!f"&amp;$G$1)</f>
        <v>26.56</v>
      </c>
      <c r="O48" s="1325" t="s">
        <v>404</v>
      </c>
      <c r="P48" s="1326" t="s">
        <v>821</v>
      </c>
      <c r="Q48" s="1327">
        <f ca="1">J60</f>
        <v>68</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2013</v>
      </c>
      <c r="K49" s="1330" t="s">
        <v>824</v>
      </c>
      <c r="L49" s="1333"/>
      <c r="O49" s="1334" t="s">
        <v>405</v>
      </c>
      <c r="P49" s="1326" t="s">
        <v>825</v>
      </c>
      <c r="Q49" s="1327">
        <f ca="1">C29</f>
        <v>1317</v>
      </c>
      <c r="R49" s="1327" t="s">
        <v>818</v>
      </c>
    </row>
    <row r="50" spans="1:18" s="1292" customFormat="1" ht="13.5" thickBot="1">
      <c r="A50" s="922"/>
      <c r="B50" s="925"/>
      <c r="C50" s="1055"/>
      <c r="D50" s="899"/>
      <c r="E50" s="993" t="s">
        <v>697</v>
      </c>
      <c r="F50" s="994">
        <f ca="1">F7</f>
        <v>1889.55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509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26.56</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26.56</v>
      </c>
      <c r="K53" s="3330" t="s">
        <v>837</v>
      </c>
      <c r="L53" s="3331"/>
      <c r="O53" s="1325" t="s">
        <v>409</v>
      </c>
      <c r="P53" s="1326" t="s">
        <v>838</v>
      </c>
      <c r="Q53" s="1327">
        <f ca="1">Q47+Q48</f>
        <v>1817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0.374</v>
      </c>
      <c r="K55" s="1350" t="s">
        <v>841</v>
      </c>
      <c r="L55" s="1351"/>
      <c r="O55" s="1318" t="s">
        <v>811</v>
      </c>
      <c r="P55" s="1319" t="s">
        <v>812</v>
      </c>
      <c r="Q55" s="1320" t="s">
        <v>813</v>
      </c>
      <c r="R55" s="1320" t="s">
        <v>814</v>
      </c>
    </row>
    <row r="56" spans="1:18" s="1292" customFormat="1" ht="25.5" thickTop="1" thickBot="1">
      <c r="A56" s="903">
        <v>2</v>
      </c>
      <c r="B56" s="904" t="s">
        <v>704</v>
      </c>
      <c r="C56" s="224">
        <f ca="1">C13</f>
        <v>1080</v>
      </c>
      <c r="D56" s="1352"/>
      <c r="E56" s="1353"/>
      <c r="F56" s="1345"/>
      <c r="I56" s="1354" t="s">
        <v>842</v>
      </c>
      <c r="J56" s="1355"/>
      <c r="K56" s="1328" t="s">
        <v>843</v>
      </c>
      <c r="L56" s="1331" t="str">
        <f ca="1">IF(L48&lt;J51,"——",L48-J53)</f>
        <v>——</v>
      </c>
      <c r="O56" s="1325" t="s">
        <v>403</v>
      </c>
      <c r="P56" s="1326" t="s">
        <v>817</v>
      </c>
      <c r="Q56" s="1327">
        <f ca="1">C40+J29</f>
        <v>1749</v>
      </c>
      <c r="R56" s="1327" t="s">
        <v>818</v>
      </c>
    </row>
    <row r="57" spans="1:18" s="1292" customFormat="1" ht="24.75" thickBot="1">
      <c r="A57" s="1356"/>
      <c r="B57" s="896" t="s">
        <v>767</v>
      </c>
      <c r="C57" s="230">
        <f ca="1">C29</f>
        <v>1317</v>
      </c>
      <c r="D57" s="1357"/>
      <c r="E57" s="1358"/>
      <c r="F57" s="1359"/>
      <c r="I57" s="1360" t="s">
        <v>844</v>
      </c>
      <c r="J57" s="1361">
        <f ca="1">IF(OR(M47="住宅",J51&lt;L48,J56="是"),"——",J51-L48)</f>
        <v>22.44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0.09</v>
      </c>
      <c r="D62" s="911" t="s">
        <v>786</v>
      </c>
      <c r="E62" s="896" t="s">
        <v>787</v>
      </c>
      <c r="F62" s="317">
        <f t="shared" si="0"/>
        <v>5</v>
      </c>
      <c r="I62" s="1367" t="s">
        <v>858</v>
      </c>
      <c r="J62" s="610" t="s">
        <v>859</v>
      </c>
      <c r="K62" s="610" t="s">
        <v>860</v>
      </c>
      <c r="L62" s="610" t="s">
        <v>861</v>
      </c>
      <c r="M62" s="1368" t="s">
        <v>862</v>
      </c>
      <c r="O62" s="1325" t="s">
        <v>409</v>
      </c>
      <c r="P62" s="1326" t="s">
        <v>863</v>
      </c>
      <c r="Q62" s="1327">
        <f ca="1">Q56+Q57</f>
        <v>1749</v>
      </c>
      <c r="R62" s="1327" t="s">
        <v>410</v>
      </c>
    </row>
    <row r="63" spans="1:18" s="1292" customFormat="1" ht="13.5" thickBot="1">
      <c r="A63" s="318"/>
      <c r="B63" s="902"/>
      <c r="C63" s="26"/>
      <c r="D63" s="912"/>
      <c r="E63" s="896" t="s">
        <v>788</v>
      </c>
      <c r="F63" s="295">
        <f t="shared" ca="1" si="0"/>
        <v>188.85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6.59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1.62</v>
      </c>
      <c r="D65" s="910" t="s">
        <v>743</v>
      </c>
      <c r="E65" s="896" t="s">
        <v>744</v>
      </c>
      <c r="F65" s="321">
        <f t="shared" ca="1" si="0"/>
        <v>1.5E-3</v>
      </c>
      <c r="I65" s="1367" t="s">
        <v>867</v>
      </c>
      <c r="J65" s="610">
        <v>40</v>
      </c>
      <c r="K65" s="610">
        <v>30</v>
      </c>
      <c r="L65" s="610">
        <v>50</v>
      </c>
      <c r="M65" s="1369">
        <v>0.02</v>
      </c>
      <c r="O65" s="1325" t="s">
        <v>403</v>
      </c>
      <c r="P65" s="1326" t="s">
        <v>868</v>
      </c>
      <c r="Q65" s="1327">
        <f ca="1">C40+J29</f>
        <v>1749</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509</v>
      </c>
      <c r="R67" s="1327" t="s">
        <v>870</v>
      </c>
    </row>
    <row r="68" spans="1:18" s="1292" customFormat="1" ht="16.5" thickBot="1">
      <c r="A68" s="893" t="s">
        <v>395</v>
      </c>
      <c r="B68" s="894" t="s">
        <v>774</v>
      </c>
      <c r="C68" s="293">
        <f ca="1">ROUND(C67*(1-((1+F70)/(1+F68))^F69)/(F68-F70),0)</f>
        <v>-110</v>
      </c>
      <c r="D68" s="911" t="s">
        <v>758</v>
      </c>
      <c r="E68" s="896" t="s">
        <v>759</v>
      </c>
      <c r="F68" s="304">
        <f ca="1">F40</f>
        <v>5.5E-2</v>
      </c>
      <c r="O68" s="1334" t="s">
        <v>406</v>
      </c>
      <c r="P68" s="1371" t="s">
        <v>871</v>
      </c>
      <c r="Q68" s="1327">
        <f ca="1">ROUND(Q69-Q70*Q71,0)</f>
        <v>28</v>
      </c>
      <c r="R68" s="1327" t="s">
        <v>414</v>
      </c>
    </row>
    <row r="69" spans="1:18" s="1292" customFormat="1" ht="13.5" thickBot="1">
      <c r="A69" s="897"/>
      <c r="B69" s="898"/>
      <c r="C69" s="298"/>
      <c r="D69" s="916" t="s">
        <v>762</v>
      </c>
      <c r="E69" s="896" t="s">
        <v>763</v>
      </c>
      <c r="F69" s="324">
        <f ca="1">F41</f>
        <v>26.56</v>
      </c>
      <c r="O69" s="1334" t="s">
        <v>411</v>
      </c>
      <c r="P69" s="1371" t="s">
        <v>872</v>
      </c>
      <c r="Q69" s="1327">
        <f ca="1">C39</f>
        <v>109</v>
      </c>
      <c r="R69" s="1327" t="s">
        <v>818</v>
      </c>
    </row>
    <row r="70" spans="1:18" s="1292" customFormat="1" ht="13.5" thickBot="1">
      <c r="A70" s="900"/>
      <c r="B70" s="901"/>
      <c r="C70" s="302"/>
      <c r="D70" s="912"/>
      <c r="E70" s="896" t="s">
        <v>766</v>
      </c>
      <c r="F70" s="991"/>
      <c r="O70" s="1334" t="s">
        <v>412</v>
      </c>
      <c r="P70" s="1371" t="s">
        <v>873</v>
      </c>
      <c r="Q70" s="1327">
        <f ca="1">C13</f>
        <v>1080</v>
      </c>
      <c r="R70" s="1327" t="s">
        <v>818</v>
      </c>
    </row>
    <row r="71" spans="1:18" s="1292" customFormat="1" ht="13.5" thickBot="1">
      <c r="A71" s="917" t="s">
        <v>396</v>
      </c>
      <c r="B71" s="918" t="s">
        <v>776</v>
      </c>
      <c r="C71" s="327">
        <f ca="1">ROUND(C68*10000/F71,0)</f>
        <v>-582</v>
      </c>
      <c r="D71" s="919" t="s">
        <v>777</v>
      </c>
      <c r="E71" s="920" t="s">
        <v>778</v>
      </c>
      <c r="F71" s="330">
        <f ca="1">F43</f>
        <v>1889.55</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81</v>
      </c>
      <c r="D75" s="1292"/>
      <c r="E75" s="1292"/>
      <c r="F75" s="1292"/>
      <c r="K75" s="1309"/>
      <c r="L75" s="1292"/>
      <c r="O75" s="1325" t="s">
        <v>409</v>
      </c>
      <c r="P75" s="1326" t="s">
        <v>838</v>
      </c>
      <c r="Q75" s="1327">
        <f ca="1">Q65+Q66</f>
        <v>1749</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0.25700000000000001</v>
      </c>
    </row>
    <row r="80" spans="1:18">
      <c r="B80" s="331" t="s">
        <v>800</v>
      </c>
      <c r="C80" s="266">
        <f ca="1">ROUND(C75/C39,3)</f>
        <v>0.74299999999999999</v>
      </c>
    </row>
    <row r="81" spans="2:3">
      <c r="B81" s="262" t="s">
        <v>801</v>
      </c>
      <c r="C81" s="230"/>
    </row>
    <row r="82" spans="2:3">
      <c r="B82" s="265" t="s">
        <v>802</v>
      </c>
      <c r="C82" s="267">
        <f ca="1">1-C83</f>
        <v>0.38300000000000001</v>
      </c>
    </row>
    <row r="83" spans="2:3">
      <c r="B83" s="265" t="s">
        <v>803</v>
      </c>
      <c r="C83" s="266">
        <f ca="1">ROUND(C13/C40,3)</f>
        <v>0.61699999999999999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2104</v>
      </c>
      <c r="E6" s="294" t="s">
        <v>696</v>
      </c>
      <c r="F6" s="295">
        <f ca="1">INDIRECT("'数据-取费表'!u"&amp;$G$1)</f>
        <v>0</v>
      </c>
      <c r="G6" s="1292"/>
      <c r="H6" s="1006" t="s">
        <v>398</v>
      </c>
      <c r="I6" s="3332" t="s">
        <v>694</v>
      </c>
      <c r="J6" s="293">
        <f ca="1">ROUND(M6*M8*M7*(1-M9),0)</f>
        <v>0</v>
      </c>
      <c r="K6" s="1284" t="s">
        <v>2105</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41" t="s">
        <v>2308</v>
      </c>
      <c r="K2" s="334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43" t="s">
        <v>2318</v>
      </c>
      <c r="K3" s="334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43" t="s">
        <v>2320</v>
      </c>
      <c r="K4" s="334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49" t="s">
        <v>2324</v>
      </c>
      <c r="B6" s="3350"/>
      <c r="C6" s="3351"/>
      <c r="D6" s="2622"/>
      <c r="E6" s="2623"/>
      <c r="F6" s="2624"/>
      <c r="G6" s="2625"/>
      <c r="H6" s="2600"/>
      <c r="I6" s="2601"/>
      <c r="J6" s="3335">
        <v>1</v>
      </c>
      <c r="K6" s="333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35"/>
      <c r="K7" s="333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52" t="s">
        <v>2338</v>
      </c>
      <c r="C8" s="3353"/>
      <c r="D8" s="2641" t="s">
        <v>2339</v>
      </c>
      <c r="E8" s="2642" t="s">
        <v>2340</v>
      </c>
      <c r="F8" s="2643" t="s">
        <v>2341</v>
      </c>
      <c r="G8" s="2644"/>
      <c r="H8" s="2600"/>
      <c r="I8" s="2601"/>
      <c r="J8" s="3335"/>
      <c r="K8" s="333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52" t="s">
        <v>2344</v>
      </c>
      <c r="C9" s="3353"/>
      <c r="D9" s="2641">
        <f>ROUND(D6*E9,0)</f>
        <v>0</v>
      </c>
      <c r="E9" s="2645"/>
      <c r="F9" s="2646" t="s">
        <v>2345</v>
      </c>
      <c r="G9" s="2625"/>
      <c r="H9" s="2600"/>
      <c r="I9" s="2601"/>
      <c r="J9" s="3335"/>
      <c r="K9" s="3337"/>
      <c r="L9" s="2635" t="s">
        <v>2346</v>
      </c>
      <c r="M9" s="2636"/>
      <c r="N9" s="2612"/>
      <c r="O9" s="2637"/>
      <c r="P9" s="2637"/>
      <c r="Q9" s="2638">
        <v>365</v>
      </c>
      <c r="R9" s="2639">
        <f t="shared" si="0"/>
        <v>0</v>
      </c>
      <c r="S9" s="2593"/>
      <c r="T9" s="2593"/>
      <c r="U9" s="2593"/>
      <c r="V9" s="2601"/>
    </row>
    <row r="10" spans="1:22" s="2605" customFormat="1" ht="13.15" customHeight="1">
      <c r="A10" s="2640">
        <v>2</v>
      </c>
      <c r="B10" s="3352" t="s">
        <v>2347</v>
      </c>
      <c r="C10" s="3353"/>
      <c r="D10" s="2641">
        <f>ROUND(D6*E10,0)</f>
        <v>0</v>
      </c>
      <c r="E10" s="2645"/>
      <c r="F10" s="2646" t="s">
        <v>2348</v>
      </c>
      <c r="G10" s="2625"/>
      <c r="H10" s="2600"/>
      <c r="I10" s="2601"/>
      <c r="J10" s="3335"/>
      <c r="K10" s="3337"/>
      <c r="L10" s="2635" t="s">
        <v>2349</v>
      </c>
      <c r="M10" s="2636"/>
      <c r="N10" s="2612"/>
      <c r="O10" s="2637"/>
      <c r="P10" s="2637"/>
      <c r="Q10" s="2638">
        <v>365</v>
      </c>
      <c r="R10" s="2639">
        <f t="shared" si="0"/>
        <v>0</v>
      </c>
      <c r="S10" s="2593"/>
      <c r="T10" s="2593"/>
      <c r="U10" s="2593"/>
      <c r="V10" s="2601"/>
    </row>
    <row r="11" spans="1:22" s="2605" customFormat="1" ht="13.15" customHeight="1">
      <c r="A11" s="2640">
        <v>3</v>
      </c>
      <c r="B11" s="3352" t="s">
        <v>2350</v>
      </c>
      <c r="C11" s="3353"/>
      <c r="D11" s="2641">
        <f>D12+D14+D15+D16</f>
        <v>0</v>
      </c>
      <c r="E11" s="2647" t="e">
        <f>D11/D6</f>
        <v>#DIV/0!</v>
      </c>
      <c r="F11" s="2643"/>
      <c r="G11" s="2644"/>
      <c r="H11" s="2600"/>
      <c r="I11" s="2601"/>
      <c r="J11" s="3335"/>
      <c r="K11" s="333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45" t="s">
        <v>2353</v>
      </c>
      <c r="C12" s="3346"/>
      <c r="D12" s="2649">
        <f>ROUND(D13*1.2%*(1-30%),0)</f>
        <v>0</v>
      </c>
      <c r="E12" s="2650">
        <v>1.2E-2</v>
      </c>
      <c r="F12" s="2643" t="s">
        <v>2354</v>
      </c>
      <c r="G12" s="2644"/>
      <c r="H12" s="2600"/>
      <c r="I12" s="2601"/>
      <c r="J12" s="3335"/>
      <c r="K12" s="333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35"/>
      <c r="K13" s="333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45" t="s">
        <v>2359</v>
      </c>
      <c r="C14" s="3346"/>
      <c r="D14" s="2649">
        <f>ROUND(E14*B5/10000,0)</f>
        <v>0</v>
      </c>
      <c r="E14" s="2638"/>
      <c r="F14" s="2643" t="s">
        <v>2360</v>
      </c>
      <c r="G14" s="2644"/>
      <c r="H14" s="2600"/>
      <c r="I14" s="2601"/>
      <c r="J14" s="3335"/>
      <c r="K14" s="333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45" t="s">
        <v>2363</v>
      </c>
      <c r="C15" s="3346"/>
      <c r="D15" s="2649">
        <f>ROUND(D6*E15,0)</f>
        <v>0</v>
      </c>
      <c r="E15" s="2650">
        <v>5.5E-2</v>
      </c>
      <c r="F15" s="2643" t="s">
        <v>2364</v>
      </c>
      <c r="G15" s="2625"/>
      <c r="H15" s="2600"/>
      <c r="I15" s="2601"/>
      <c r="J15" s="3335">
        <v>2</v>
      </c>
      <c r="K15" s="333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45" t="s">
        <v>2372</v>
      </c>
      <c r="C16" s="3346"/>
      <c r="D16" s="2660">
        <f>D6*E16</f>
        <v>0</v>
      </c>
      <c r="E16" s="2661"/>
      <c r="F16" s="2646" t="s">
        <v>2373</v>
      </c>
      <c r="G16" s="2625"/>
      <c r="H16" s="2600"/>
      <c r="I16" s="2601"/>
      <c r="J16" s="3335"/>
      <c r="K16" s="333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47" t="s">
        <v>2375</v>
      </c>
      <c r="C17" s="3348"/>
      <c r="D17" s="2663">
        <f>ROUND(D6*E17,0)</f>
        <v>0</v>
      </c>
      <c r="E17" s="2664"/>
      <c r="F17" s="2665" t="s">
        <v>2376</v>
      </c>
      <c r="G17" s="2625"/>
      <c r="H17" s="2600"/>
      <c r="I17" s="2601"/>
      <c r="J17" s="3335"/>
      <c r="K17" s="333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35"/>
      <c r="K18" s="333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35"/>
      <c r="K19" s="333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5">
        <v>3</v>
      </c>
      <c r="K20" s="333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35"/>
      <c r="K21" s="333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35"/>
      <c r="K22" s="333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35"/>
      <c r="K23" s="333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35"/>
      <c r="K24" s="333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3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41" t="s">
        <v>2308</v>
      </c>
      <c r="K32" s="334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43" t="s">
        <v>2318</v>
      </c>
      <c r="K33" s="334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43" t="s">
        <v>2320</v>
      </c>
      <c r="K34" s="334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35">
        <v>1</v>
      </c>
      <c r="K36" s="333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35"/>
      <c r="K37" s="333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5"/>
      <c r="K38" s="333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35"/>
      <c r="K39" s="333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35"/>
      <c r="K40" s="333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3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1817</v>
      </c>
      <c r="C2" s="1729" t="s">
        <v>1651</v>
      </c>
      <c r="D2" s="1730" t="s">
        <v>1652</v>
      </c>
      <c r="E2" s="2393">
        <f>SUM(E6:E13)</f>
        <v>1889.55</v>
      </c>
      <c r="F2" s="2480"/>
      <c r="G2" s="459"/>
      <c r="H2" s="459"/>
      <c r="I2" s="459"/>
      <c r="J2" s="459"/>
      <c r="K2" s="459"/>
      <c r="L2" s="459"/>
      <c r="M2" s="459"/>
      <c r="N2" s="459"/>
      <c r="O2" s="459"/>
      <c r="P2" s="459"/>
      <c r="Q2" s="459"/>
      <c r="R2" s="459"/>
      <c r="S2" s="459"/>
    </row>
    <row r="3" spans="1:22" ht="15.75">
      <c r="A3" s="1728" t="s">
        <v>686</v>
      </c>
      <c r="B3" s="2387">
        <f ca="1">ROUND(B2*10000/E2,0)</f>
        <v>9616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1817</v>
      </c>
      <c r="C6" s="1729" t="s">
        <v>1651</v>
      </c>
      <c r="D6" s="2480"/>
      <c r="E6" s="2392">
        <f>IF(OR(A6=0,F6="否"),0,'数据-取费表'!K6+'数据-取费表'!S6)</f>
        <v>1889.55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8821.64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84" t="s">
        <v>1668</v>
      </c>
      <c r="S4" s="3385"/>
      <c r="T4" s="3384" t="s">
        <v>1669</v>
      </c>
      <c r="U4" s="3385"/>
      <c r="V4" s="3360" t="s">
        <v>1670</v>
      </c>
      <c r="W4" s="3360"/>
      <c r="X4" s="1265"/>
      <c r="Y4" s="3384" t="s">
        <v>1672</v>
      </c>
      <c r="Z4" s="3385"/>
      <c r="AA4" s="3371" t="s">
        <v>1668</v>
      </c>
      <c r="AB4" s="3371" t="s">
        <v>1669</v>
      </c>
      <c r="AC4" s="3371" t="s">
        <v>1670</v>
      </c>
    </row>
    <row r="5" spans="1:29" ht="15">
      <c r="A5" s="348"/>
      <c r="B5" s="349"/>
      <c r="C5" s="3392" t="s">
        <v>1673</v>
      </c>
      <c r="D5" s="3393"/>
      <c r="E5" s="3399" t="s">
        <v>1674</v>
      </c>
      <c r="F5" s="3400"/>
      <c r="G5" s="3392" t="s">
        <v>1675</v>
      </c>
      <c r="H5" s="3393"/>
      <c r="I5" s="3392" t="s">
        <v>1676</v>
      </c>
      <c r="J5" s="3393"/>
      <c r="K5" s="1745"/>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1745"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0"/>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0"/>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0"/>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0"/>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8" t="s">
        <v>1691</v>
      </c>
      <c r="Q15" s="1263" t="str">
        <f t="shared" si="6"/>
        <v>居住社区成熟度</v>
      </c>
      <c r="R15" s="667" t="s">
        <v>18</v>
      </c>
      <c r="S15" s="668">
        <f t="shared" si="0"/>
        <v>100</v>
      </c>
      <c r="T15" s="667" t="s">
        <v>18</v>
      </c>
      <c r="U15" s="668">
        <f t="shared" si="1"/>
        <v>100</v>
      </c>
      <c r="V15" s="667" t="s">
        <v>18</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9"/>
      <c r="Q16" s="1263"/>
      <c r="R16" s="667"/>
      <c r="S16" s="668"/>
      <c r="T16" s="667"/>
      <c r="U16" s="668"/>
      <c r="V16" s="667"/>
      <c r="W16" s="668"/>
      <c r="X16" s="1265"/>
      <c r="Y16" s="3362"/>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9"/>
      <c r="Q17" s="1263" t="str">
        <f>B17</f>
        <v>交通便捷度</v>
      </c>
      <c r="R17" s="667" t="s">
        <v>18</v>
      </c>
      <c r="S17" s="668">
        <f>F17</f>
        <v>100</v>
      </c>
      <c r="T17" s="667" t="s">
        <v>18</v>
      </c>
      <c r="U17" s="668">
        <f>H17</f>
        <v>100</v>
      </c>
      <c r="V17" s="667" t="s">
        <v>18</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9"/>
      <c r="Q19" s="1263" t="str">
        <f>B19</f>
        <v>公共配套设施</v>
      </c>
      <c r="R19" s="667" t="s">
        <v>18</v>
      </c>
      <c r="S19" s="668">
        <f>F19</f>
        <v>100</v>
      </c>
      <c r="T19" s="667" t="s">
        <v>18</v>
      </c>
      <c r="U19" s="668">
        <f>H19</f>
        <v>100</v>
      </c>
      <c r="V19" s="667" t="s">
        <v>18</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9"/>
      <c r="Q22" s="1263"/>
      <c r="R22" s="667"/>
      <c r="S22" s="668"/>
      <c r="T22" s="667"/>
      <c r="U22" s="668"/>
      <c r="V22" s="667"/>
      <c r="W22" s="668"/>
      <c r="X22" s="1265"/>
      <c r="Y22" s="3362"/>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9"/>
      <c r="Q23" s="1263" t="str">
        <f>B23</f>
        <v>自然及人文环境</v>
      </c>
      <c r="R23" s="667" t="s">
        <v>18</v>
      </c>
      <c r="S23" s="668">
        <f>F23</f>
        <v>100</v>
      </c>
      <c r="T23" s="667" t="s">
        <v>18</v>
      </c>
      <c r="U23" s="668">
        <f>H23</f>
        <v>100</v>
      </c>
      <c r="V23" s="667" t="s">
        <v>18</v>
      </c>
      <c r="W23" s="668">
        <f>J23</f>
        <v>100</v>
      </c>
      <c r="X23" s="1265"/>
      <c r="Y23" s="33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9"/>
      <c r="Q26" s="1263" t="str">
        <f t="shared" si="11"/>
        <v>朝向</v>
      </c>
      <c r="R26" s="667" t="s">
        <v>18</v>
      </c>
      <c r="S26" s="668">
        <f t="shared" si="12"/>
        <v>100</v>
      </c>
      <c r="T26" s="667" t="s">
        <v>18</v>
      </c>
      <c r="U26" s="668">
        <f t="shared" si="13"/>
        <v>100</v>
      </c>
      <c r="V26" s="667" t="s">
        <v>18</v>
      </c>
      <c r="W26" s="668">
        <f t="shared" si="14"/>
        <v>100</v>
      </c>
      <c r="X26" s="1265"/>
      <c r="Y26" s="33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9"/>
      <c r="Q27" s="530">
        <f t="shared" si="11"/>
        <v>111</v>
      </c>
      <c r="R27" s="664" t="s">
        <v>18</v>
      </c>
      <c r="S27" s="665">
        <f t="shared" si="12"/>
        <v>100</v>
      </c>
      <c r="T27" s="664" t="s">
        <v>18</v>
      </c>
      <c r="U27" s="665">
        <f t="shared" si="13"/>
        <v>100</v>
      </c>
      <c r="V27" s="664" t="s">
        <v>18</v>
      </c>
      <c r="W27" s="665">
        <f t="shared" si="14"/>
        <v>100</v>
      </c>
      <c r="X27" s="666"/>
      <c r="Y27" s="33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9"/>
      <c r="Q28" s="1263">
        <f t="shared" si="11"/>
        <v>111</v>
      </c>
      <c r="R28" s="667" t="s">
        <v>18</v>
      </c>
      <c r="S28" s="668">
        <f t="shared" si="12"/>
        <v>100</v>
      </c>
      <c r="T28" s="667" t="s">
        <v>18</v>
      </c>
      <c r="U28" s="668">
        <f t="shared" si="13"/>
        <v>100</v>
      </c>
      <c r="V28" s="667" t="s">
        <v>18</v>
      </c>
      <c r="W28" s="668">
        <f t="shared" si="14"/>
        <v>100</v>
      </c>
      <c r="X28" s="1265"/>
      <c r="Y28" s="33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9"/>
      <c r="Q29" s="1263">
        <f t="shared" si="11"/>
        <v>111</v>
      </c>
      <c r="R29" s="667" t="s">
        <v>18</v>
      </c>
      <c r="S29" s="668">
        <f t="shared" si="12"/>
        <v>100</v>
      </c>
      <c r="T29" s="667" t="s">
        <v>18</v>
      </c>
      <c r="U29" s="668">
        <f t="shared" si="13"/>
        <v>100</v>
      </c>
      <c r="V29" s="667" t="s">
        <v>18</v>
      </c>
      <c r="W29" s="668">
        <f t="shared" si="14"/>
        <v>100</v>
      </c>
      <c r="X29" s="1265"/>
      <c r="Y29" s="33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9"/>
      <c r="Q30" s="1263">
        <f t="shared" si="11"/>
        <v>111</v>
      </c>
      <c r="R30" s="667" t="s">
        <v>18</v>
      </c>
      <c r="S30" s="668">
        <f t="shared" si="12"/>
        <v>100</v>
      </c>
      <c r="T30" s="667" t="s">
        <v>18</v>
      </c>
      <c r="U30" s="668">
        <f t="shared" si="13"/>
        <v>100</v>
      </c>
      <c r="V30" s="667" t="s">
        <v>18</v>
      </c>
      <c r="W30" s="668">
        <f t="shared" si="14"/>
        <v>100</v>
      </c>
      <c r="X30" s="1265"/>
      <c r="Y30" s="33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9"/>
      <c r="Q31" s="1263">
        <f t="shared" si="11"/>
        <v>111</v>
      </c>
      <c r="R31" s="667" t="s">
        <v>18</v>
      </c>
      <c r="S31" s="668">
        <f t="shared" si="12"/>
        <v>100</v>
      </c>
      <c r="T31" s="667" t="s">
        <v>18</v>
      </c>
      <c r="U31" s="668">
        <f t="shared" si="13"/>
        <v>100</v>
      </c>
      <c r="V31" s="667" t="s">
        <v>18</v>
      </c>
      <c r="W31" s="668">
        <f t="shared" si="14"/>
        <v>100</v>
      </c>
      <c r="X31" s="1265"/>
      <c r="Y31" s="33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3" t="s">
        <v>1696</v>
      </c>
      <c r="Q32" s="1263" t="str">
        <f t="shared" si="11"/>
        <v>建筑类型</v>
      </c>
      <c r="R32" s="667" t="s">
        <v>18</v>
      </c>
      <c r="S32" s="668">
        <f t="shared" si="12"/>
        <v>100</v>
      </c>
      <c r="T32" s="667" t="s">
        <v>18</v>
      </c>
      <c r="U32" s="668">
        <f t="shared" si="13"/>
        <v>100</v>
      </c>
      <c r="V32" s="667" t="s">
        <v>18</v>
      </c>
      <c r="W32" s="668">
        <f t="shared" si="14"/>
        <v>100</v>
      </c>
      <c r="X32" s="1265"/>
      <c r="Y32" s="33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4"/>
      <c r="Q33" s="531" t="str">
        <f t="shared" si="11"/>
        <v>项目建筑规模</v>
      </c>
      <c r="R33" s="669" t="s">
        <v>18</v>
      </c>
      <c r="S33" s="670" t="e">
        <f t="shared" si="12"/>
        <v>#N/A</v>
      </c>
      <c r="T33" s="669" t="s">
        <v>18</v>
      </c>
      <c r="U33" s="670" t="e">
        <f t="shared" si="13"/>
        <v>#N/A</v>
      </c>
      <c r="V33" s="669" t="s">
        <v>18</v>
      </c>
      <c r="W33" s="670" t="e">
        <f t="shared" si="14"/>
        <v>#N/A</v>
      </c>
      <c r="X33" s="671"/>
      <c r="Y33" s="33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4"/>
      <c r="Q34" s="1263" t="str">
        <f t="shared" si="11"/>
        <v>建筑结构</v>
      </c>
      <c r="R34" s="667" t="s">
        <v>18</v>
      </c>
      <c r="S34" s="668">
        <f t="shared" si="12"/>
        <v>100</v>
      </c>
      <c r="T34" s="667" t="s">
        <v>18</v>
      </c>
      <c r="U34" s="668">
        <f t="shared" si="13"/>
        <v>100</v>
      </c>
      <c r="V34" s="667" t="s">
        <v>18</v>
      </c>
      <c r="W34" s="668">
        <f t="shared" si="14"/>
        <v>100</v>
      </c>
      <c r="X34" s="1265"/>
      <c r="Y34" s="33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4"/>
      <c r="Q35" s="1263" t="str">
        <f t="shared" si="11"/>
        <v>建筑品质</v>
      </c>
      <c r="R35" s="667" t="s">
        <v>18</v>
      </c>
      <c r="S35" s="668">
        <f t="shared" si="12"/>
        <v>100</v>
      </c>
      <c r="T35" s="667" t="s">
        <v>18</v>
      </c>
      <c r="U35" s="668">
        <f t="shared" si="13"/>
        <v>100</v>
      </c>
      <c r="V35" s="667" t="s">
        <v>18</v>
      </c>
      <c r="W35" s="668">
        <f t="shared" si="14"/>
        <v>100</v>
      </c>
      <c r="X35" s="1265"/>
      <c r="Y35" s="33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4"/>
      <c r="Q36" s="1263" t="str">
        <f t="shared" si="11"/>
        <v>公共部分装修</v>
      </c>
      <c r="R36" s="667" t="s">
        <v>18</v>
      </c>
      <c r="S36" s="668">
        <f t="shared" si="12"/>
        <v>100</v>
      </c>
      <c r="T36" s="667" t="s">
        <v>18</v>
      </c>
      <c r="U36" s="668">
        <f t="shared" si="13"/>
        <v>100</v>
      </c>
      <c r="V36" s="667" t="s">
        <v>18</v>
      </c>
      <c r="W36" s="668">
        <f t="shared" si="14"/>
        <v>100</v>
      </c>
      <c r="X36" s="1265"/>
      <c r="Y36" s="33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4"/>
      <c r="Q37" s="530" t="str">
        <f t="shared" si="11"/>
        <v>成新度</v>
      </c>
      <c r="R37" s="664" t="s">
        <v>18</v>
      </c>
      <c r="S37" s="665" t="e">
        <f t="shared" si="12"/>
        <v>#N/A</v>
      </c>
      <c r="T37" s="664" t="s">
        <v>18</v>
      </c>
      <c r="U37" s="665" t="e">
        <f t="shared" si="13"/>
        <v>#N/A</v>
      </c>
      <c r="V37" s="664" t="s">
        <v>18</v>
      </c>
      <c r="W37" s="665" t="e">
        <f t="shared" si="14"/>
        <v>#N/A</v>
      </c>
      <c r="X37" s="666"/>
      <c r="Y37" s="33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4" t="s">
        <v>1696</v>
      </c>
      <c r="Q38" s="1263" t="str">
        <f t="shared" si="11"/>
        <v>物业管理</v>
      </c>
      <c r="R38" s="667" t="s">
        <v>18</v>
      </c>
      <c r="S38" s="668">
        <f t="shared" si="12"/>
        <v>100</v>
      </c>
      <c r="T38" s="667" t="s">
        <v>18</v>
      </c>
      <c r="U38" s="668">
        <f t="shared" si="13"/>
        <v>100</v>
      </c>
      <c r="V38" s="667" t="s">
        <v>18</v>
      </c>
      <c r="W38" s="668">
        <f t="shared" si="14"/>
        <v>100</v>
      </c>
      <c r="X38" s="1265"/>
      <c r="Y38" s="33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4"/>
      <c r="Q39" s="1263" t="str">
        <f t="shared" si="11"/>
        <v>市政基础设施</v>
      </c>
      <c r="R39" s="667" t="s">
        <v>18</v>
      </c>
      <c r="S39" s="668">
        <f t="shared" si="12"/>
        <v>100</v>
      </c>
      <c r="T39" s="667" t="s">
        <v>18</v>
      </c>
      <c r="U39" s="668">
        <f t="shared" si="13"/>
        <v>100</v>
      </c>
      <c r="V39" s="667" t="s">
        <v>18</v>
      </c>
      <c r="W39" s="668">
        <f t="shared" si="14"/>
        <v>100</v>
      </c>
      <c r="X39" s="1265"/>
      <c r="Y39" s="33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4"/>
      <c r="Q40" s="1263" t="str">
        <f t="shared" si="11"/>
        <v>房型</v>
      </c>
      <c r="R40" s="667" t="s">
        <v>18</v>
      </c>
      <c r="S40" s="668">
        <f t="shared" si="12"/>
        <v>100</v>
      </c>
      <c r="T40" s="667" t="s">
        <v>18</v>
      </c>
      <c r="U40" s="668">
        <f t="shared" si="13"/>
        <v>100</v>
      </c>
      <c r="V40" s="667" t="s">
        <v>18</v>
      </c>
      <c r="W40" s="668">
        <f t="shared" si="14"/>
        <v>100</v>
      </c>
      <c r="X40" s="1265"/>
      <c r="Y40" s="33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4"/>
      <c r="Q41" s="531" t="str">
        <f t="shared" si="11"/>
        <v>单套/主力户型建筑面积</v>
      </c>
      <c r="R41" s="669" t="s">
        <v>18</v>
      </c>
      <c r="S41" s="670">
        <f t="shared" si="12"/>
        <v>100</v>
      </c>
      <c r="T41" s="669" t="s">
        <v>18</v>
      </c>
      <c r="U41" s="670">
        <f t="shared" si="13"/>
        <v>100</v>
      </c>
      <c r="V41" s="669" t="s">
        <v>18</v>
      </c>
      <c r="W41" s="670">
        <f t="shared" si="14"/>
        <v>100</v>
      </c>
      <c r="X41" s="671"/>
      <c r="Y41" s="33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4"/>
      <c r="Q42" s="1263" t="str">
        <f t="shared" si="11"/>
        <v>内部装修</v>
      </c>
      <c r="R42" s="667" t="s">
        <v>18</v>
      </c>
      <c r="S42" s="668">
        <f t="shared" si="12"/>
        <v>100</v>
      </c>
      <c r="T42" s="667" t="s">
        <v>18</v>
      </c>
      <c r="U42" s="668">
        <f t="shared" si="13"/>
        <v>100</v>
      </c>
      <c r="V42" s="667" t="s">
        <v>18</v>
      </c>
      <c r="W42" s="668">
        <f t="shared" si="14"/>
        <v>100</v>
      </c>
      <c r="X42" s="1265"/>
      <c r="Y42" s="33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4"/>
      <c r="Q43" s="1263" t="str">
        <f t="shared" si="11"/>
        <v>内部装修维护情况</v>
      </c>
      <c r="R43" s="667" t="s">
        <v>18</v>
      </c>
      <c r="S43" s="668">
        <f t="shared" si="12"/>
        <v>100</v>
      </c>
      <c r="T43" s="667" t="s">
        <v>18</v>
      </c>
      <c r="U43" s="668">
        <f t="shared" si="13"/>
        <v>100</v>
      </c>
      <c r="V43" s="667" t="s">
        <v>18</v>
      </c>
      <c r="W43" s="668">
        <f t="shared" si="14"/>
        <v>100</v>
      </c>
      <c r="X43" s="1265"/>
      <c r="Y43" s="33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4"/>
      <c r="Q44" s="530">
        <f t="shared" si="11"/>
        <v>111</v>
      </c>
      <c r="R44" s="664" t="s">
        <v>18</v>
      </c>
      <c r="S44" s="665">
        <f t="shared" si="12"/>
        <v>100</v>
      </c>
      <c r="T44" s="664" t="s">
        <v>18</v>
      </c>
      <c r="U44" s="665">
        <f t="shared" si="13"/>
        <v>100</v>
      </c>
      <c r="V44" s="664" t="s">
        <v>18</v>
      </c>
      <c r="W44" s="665">
        <f t="shared" si="14"/>
        <v>100</v>
      </c>
      <c r="X44" s="666"/>
      <c r="Y44" s="33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4"/>
      <c r="Q45" s="1263">
        <f t="shared" si="11"/>
        <v>111</v>
      </c>
      <c r="R45" s="667" t="s">
        <v>18</v>
      </c>
      <c r="S45" s="668">
        <f t="shared" si="12"/>
        <v>100</v>
      </c>
      <c r="T45" s="667" t="s">
        <v>18</v>
      </c>
      <c r="U45" s="668">
        <f t="shared" si="13"/>
        <v>100</v>
      </c>
      <c r="V45" s="667" t="s">
        <v>18</v>
      </c>
      <c r="W45" s="668">
        <f t="shared" si="14"/>
        <v>100</v>
      </c>
      <c r="X45" s="1265"/>
      <c r="Y45" s="33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5"/>
      <c r="Q46" s="1263">
        <f t="shared" si="11"/>
        <v>111</v>
      </c>
      <c r="R46" s="667" t="s">
        <v>17</v>
      </c>
      <c r="S46" s="668">
        <f t="shared" si="12"/>
        <v>100</v>
      </c>
      <c r="T46" s="667" t="s">
        <v>17</v>
      </c>
      <c r="U46" s="668">
        <f t="shared" si="13"/>
        <v>100</v>
      </c>
      <c r="V46" s="667" t="s">
        <v>17</v>
      </c>
      <c r="W46" s="668">
        <f t="shared" si="14"/>
        <v>100</v>
      </c>
      <c r="X46" s="1265"/>
      <c r="Y46" s="33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1709</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估价对象为房地产，为所有。根据《国有土地使用证》[]，估价对象（分摊）出让国有建设用地使用权面积为881.68平方米，建筑面积为8821.64平方米。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估价对象为房地产,属开发建设的，该项目尚在开发建设中。根据《国有土地使用证》[]，估价对象（分摊）出让国有建设用地使用权面积为881.68平方米，规划建筑面积为8821.64平方米。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8821.64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60"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60"/>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60"/>
      <c r="AC6" s="3373"/>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0"/>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8" t="s">
        <v>1691</v>
      </c>
      <c r="Q15" s="1263" t="str">
        <f t="shared" si="6"/>
        <v>商业繁华度</v>
      </c>
      <c r="R15" s="667" t="s">
        <v>14</v>
      </c>
      <c r="S15" s="668">
        <f t="shared" si="0"/>
        <v>100</v>
      </c>
      <c r="T15" s="667" t="s">
        <v>14</v>
      </c>
      <c r="U15" s="668">
        <f t="shared" si="1"/>
        <v>100</v>
      </c>
      <c r="V15" s="667" t="s">
        <v>14</v>
      </c>
      <c r="W15" s="668">
        <f t="shared" si="2"/>
        <v>100</v>
      </c>
      <c r="X15" s="1265"/>
      <c r="Y15" s="336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9"/>
      <c r="Q22" s="1263"/>
      <c r="R22" s="667"/>
      <c r="S22" s="668"/>
      <c r="T22" s="667"/>
      <c r="U22" s="668"/>
      <c r="V22" s="667"/>
      <c r="W22" s="668"/>
      <c r="X22" s="1265"/>
      <c r="Y22" s="3362"/>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9"/>
      <c r="Q23" s="1263" t="str">
        <f>B23</f>
        <v>自然及人文环境</v>
      </c>
      <c r="R23" s="667" t="s">
        <v>14</v>
      </c>
      <c r="S23" s="668">
        <f>F23</f>
        <v>100</v>
      </c>
      <c r="T23" s="667" t="s">
        <v>14</v>
      </c>
      <c r="U23" s="668">
        <f>H23</f>
        <v>100</v>
      </c>
      <c r="V23" s="667" t="s">
        <v>14</v>
      </c>
      <c r="W23" s="668">
        <f>J23</f>
        <v>100</v>
      </c>
      <c r="X23" s="1265"/>
      <c r="Y23" s="336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9"/>
      <c r="Q25" s="1263" t="str">
        <f t="shared" ref="Q25:Q46" si="11">B25</f>
        <v>临街状况</v>
      </c>
      <c r="R25" s="667" t="s">
        <v>14</v>
      </c>
      <c r="S25" s="668">
        <f>F25</f>
        <v>100</v>
      </c>
      <c r="T25" s="667" t="s">
        <v>14</v>
      </c>
      <c r="U25" s="668">
        <f>H25</f>
        <v>100</v>
      </c>
      <c r="V25" s="667" t="s">
        <v>14</v>
      </c>
      <c r="W25" s="668">
        <f>J25</f>
        <v>100</v>
      </c>
      <c r="X25" s="1265"/>
      <c r="Y25" s="33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9"/>
      <c r="Q26" s="1263" t="str">
        <f t="shared" si="11"/>
        <v>平面位置/可视性</v>
      </c>
      <c r="R26" s="667" t="s">
        <v>14</v>
      </c>
      <c r="S26" s="668">
        <f>F26</f>
        <v>100</v>
      </c>
      <c r="T26" s="667" t="s">
        <v>14</v>
      </c>
      <c r="U26" s="668">
        <f>H26</f>
        <v>100</v>
      </c>
      <c r="V26" s="667" t="s">
        <v>14</v>
      </c>
      <c r="W26" s="668">
        <f>J26</f>
        <v>100</v>
      </c>
      <c r="X26" s="1265"/>
      <c r="Y26" s="336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9"/>
      <c r="Q27" s="530" t="str">
        <f t="shared" si="11"/>
        <v>人流量</v>
      </c>
      <c r="R27" s="664" t="s">
        <v>14</v>
      </c>
      <c r="S27" s="665">
        <f>F27</f>
        <v>100</v>
      </c>
      <c r="T27" s="664" t="s">
        <v>14</v>
      </c>
      <c r="U27" s="665">
        <f>H27</f>
        <v>100</v>
      </c>
      <c r="V27" s="664" t="s">
        <v>14</v>
      </c>
      <c r="W27" s="665">
        <f>J27</f>
        <v>100</v>
      </c>
      <c r="X27" s="666"/>
      <c r="Y27" s="336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9"/>
      <c r="Q29" s="1263">
        <f t="shared" si="11"/>
        <v>111</v>
      </c>
      <c r="R29" s="667" t="s">
        <v>14</v>
      </c>
      <c r="S29" s="668">
        <f t="shared" si="12"/>
        <v>100</v>
      </c>
      <c r="T29" s="667" t="s">
        <v>14</v>
      </c>
      <c r="U29" s="668">
        <f t="shared" si="13"/>
        <v>100</v>
      </c>
      <c r="V29" s="667" t="s">
        <v>14</v>
      </c>
      <c r="W29" s="668">
        <f t="shared" si="14"/>
        <v>100</v>
      </c>
      <c r="X29" s="1265"/>
      <c r="Y29" s="33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3" t="s">
        <v>1696</v>
      </c>
      <c r="Q32" s="1263" t="str">
        <f t="shared" si="11"/>
        <v>商业类型</v>
      </c>
      <c r="R32" s="667" t="s">
        <v>14</v>
      </c>
      <c r="S32" s="668">
        <f t="shared" si="12"/>
        <v>100</v>
      </c>
      <c r="T32" s="667" t="s">
        <v>14</v>
      </c>
      <c r="U32" s="668">
        <f t="shared" si="13"/>
        <v>100</v>
      </c>
      <c r="V32" s="667" t="s">
        <v>14</v>
      </c>
      <c r="W32" s="668">
        <f t="shared" si="14"/>
        <v>100</v>
      </c>
      <c r="X32" s="1265"/>
      <c r="Y32" s="336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4"/>
      <c r="Q33" s="531" t="str">
        <f t="shared" si="11"/>
        <v>项目建筑规模</v>
      </c>
      <c r="R33" s="669" t="s">
        <v>14</v>
      </c>
      <c r="S33" s="670" t="e">
        <f t="shared" si="12"/>
        <v>#N/A</v>
      </c>
      <c r="T33" s="669" t="s">
        <v>14</v>
      </c>
      <c r="U33" s="670" t="e">
        <f t="shared" si="13"/>
        <v>#N/A</v>
      </c>
      <c r="V33" s="669" t="s">
        <v>14</v>
      </c>
      <c r="W33" s="670" t="e">
        <f t="shared" si="14"/>
        <v>#N/A</v>
      </c>
      <c r="X33" s="671"/>
      <c r="Y33" s="336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4"/>
      <c r="Q34" s="1263" t="str">
        <f t="shared" si="11"/>
        <v>建筑结构</v>
      </c>
      <c r="R34" s="667" t="s">
        <v>14</v>
      </c>
      <c r="S34" s="668">
        <f t="shared" si="12"/>
        <v>100</v>
      </c>
      <c r="T34" s="667" t="s">
        <v>14</v>
      </c>
      <c r="U34" s="668">
        <f t="shared" si="13"/>
        <v>100</v>
      </c>
      <c r="V34" s="667" t="s">
        <v>14</v>
      </c>
      <c r="W34" s="668">
        <f t="shared" si="14"/>
        <v>100</v>
      </c>
      <c r="X34" s="1265"/>
      <c r="Y34" s="33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4"/>
      <c r="Q35" s="1263" t="str">
        <f t="shared" si="11"/>
        <v>公共部分装修</v>
      </c>
      <c r="R35" s="667" t="s">
        <v>14</v>
      </c>
      <c r="S35" s="668">
        <f t="shared" si="12"/>
        <v>100</v>
      </c>
      <c r="T35" s="667" t="s">
        <v>14</v>
      </c>
      <c r="U35" s="668">
        <f t="shared" si="13"/>
        <v>100</v>
      </c>
      <c r="V35" s="667" t="s">
        <v>14</v>
      </c>
      <c r="W35" s="668">
        <f t="shared" si="14"/>
        <v>100</v>
      </c>
      <c r="X35" s="1265"/>
      <c r="Y35" s="336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4"/>
      <c r="Q36" s="1263" t="str">
        <f t="shared" si="11"/>
        <v>成新度</v>
      </c>
      <c r="R36" s="667" t="s">
        <v>14</v>
      </c>
      <c r="S36" s="668" t="e">
        <f t="shared" si="12"/>
        <v>#N/A</v>
      </c>
      <c r="T36" s="667" t="s">
        <v>14</v>
      </c>
      <c r="U36" s="668" t="e">
        <f t="shared" si="13"/>
        <v>#N/A</v>
      </c>
      <c r="V36" s="667" t="s">
        <v>14</v>
      </c>
      <c r="W36" s="668" t="e">
        <f t="shared" si="14"/>
        <v>#N/A</v>
      </c>
      <c r="X36" s="1265"/>
      <c r="Y36" s="336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4"/>
      <c r="Q37" s="530" t="str">
        <f t="shared" si="11"/>
        <v>市政基础设施</v>
      </c>
      <c r="R37" s="664" t="s">
        <v>14</v>
      </c>
      <c r="S37" s="665">
        <f t="shared" si="12"/>
        <v>100</v>
      </c>
      <c r="T37" s="664" t="s">
        <v>14</v>
      </c>
      <c r="U37" s="665">
        <f t="shared" si="13"/>
        <v>100</v>
      </c>
      <c r="V37" s="664" t="s">
        <v>14</v>
      </c>
      <c r="W37" s="665">
        <f t="shared" si="14"/>
        <v>100</v>
      </c>
      <c r="X37" s="666"/>
      <c r="Y37" s="33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4" t="s">
        <v>1696</v>
      </c>
      <c r="Q38" s="1263" t="str">
        <f t="shared" si="11"/>
        <v>业态</v>
      </c>
      <c r="R38" s="667" t="s">
        <v>14</v>
      </c>
      <c r="S38" s="668">
        <f t="shared" si="12"/>
        <v>100</v>
      </c>
      <c r="T38" s="667" t="s">
        <v>14</v>
      </c>
      <c r="U38" s="668">
        <f t="shared" si="13"/>
        <v>100</v>
      </c>
      <c r="V38" s="667" t="s">
        <v>14</v>
      </c>
      <c r="W38" s="668">
        <f t="shared" si="14"/>
        <v>100</v>
      </c>
      <c r="X38" s="1265"/>
      <c r="Y38" s="33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4"/>
      <c r="Q39" s="1263" t="str">
        <f t="shared" si="11"/>
        <v>层高</v>
      </c>
      <c r="R39" s="667" t="s">
        <v>14</v>
      </c>
      <c r="S39" s="668">
        <f t="shared" si="12"/>
        <v>100</v>
      </c>
      <c r="T39" s="667" t="s">
        <v>14</v>
      </c>
      <c r="U39" s="668">
        <f t="shared" si="13"/>
        <v>100</v>
      </c>
      <c r="V39" s="667" t="s">
        <v>14</v>
      </c>
      <c r="W39" s="668">
        <f t="shared" si="14"/>
        <v>100</v>
      </c>
      <c r="X39" s="1265"/>
      <c r="Y39" s="33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4"/>
      <c r="Q40" s="1263" t="str">
        <f t="shared" si="11"/>
        <v>单套建筑面积</v>
      </c>
      <c r="R40" s="667" t="s">
        <v>14</v>
      </c>
      <c r="S40" s="668">
        <f t="shared" si="12"/>
        <v>100</v>
      </c>
      <c r="T40" s="667" t="s">
        <v>14</v>
      </c>
      <c r="U40" s="668">
        <f t="shared" si="13"/>
        <v>100</v>
      </c>
      <c r="V40" s="667" t="s">
        <v>14</v>
      </c>
      <c r="W40" s="668">
        <f t="shared" si="14"/>
        <v>100</v>
      </c>
      <c r="X40" s="1265"/>
      <c r="Y40" s="33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4"/>
      <c r="Q41" s="531" t="str">
        <f t="shared" si="11"/>
        <v>进深比</v>
      </c>
      <c r="R41" s="669" t="s">
        <v>14</v>
      </c>
      <c r="S41" s="670">
        <f t="shared" si="12"/>
        <v>100</v>
      </c>
      <c r="T41" s="669" t="s">
        <v>14</v>
      </c>
      <c r="U41" s="670">
        <f t="shared" si="13"/>
        <v>100</v>
      </c>
      <c r="V41" s="669" t="s">
        <v>14</v>
      </c>
      <c r="W41" s="670">
        <f t="shared" si="14"/>
        <v>100</v>
      </c>
      <c r="X41" s="671"/>
      <c r="Y41" s="336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4"/>
      <c r="Q42" s="1263" t="str">
        <f t="shared" si="11"/>
        <v>内部装修</v>
      </c>
      <c r="R42" s="667" t="s">
        <v>14</v>
      </c>
      <c r="S42" s="668">
        <f t="shared" si="12"/>
        <v>100</v>
      </c>
      <c r="T42" s="667" t="s">
        <v>14</v>
      </c>
      <c r="U42" s="668">
        <f t="shared" si="13"/>
        <v>100</v>
      </c>
      <c r="V42" s="667" t="s">
        <v>14</v>
      </c>
      <c r="W42" s="668">
        <f t="shared" si="14"/>
        <v>100</v>
      </c>
      <c r="X42" s="1265"/>
      <c r="Y42" s="336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4"/>
      <c r="Q43" s="1263" t="str">
        <f t="shared" si="11"/>
        <v>内部装修维护情况</v>
      </c>
      <c r="R43" s="667" t="s">
        <v>14</v>
      </c>
      <c r="S43" s="668">
        <f t="shared" si="12"/>
        <v>100</v>
      </c>
      <c r="T43" s="667" t="s">
        <v>14</v>
      </c>
      <c r="U43" s="668">
        <f t="shared" si="13"/>
        <v>100</v>
      </c>
      <c r="V43" s="667" t="s">
        <v>14</v>
      </c>
      <c r="W43" s="668">
        <f t="shared" si="14"/>
        <v>100</v>
      </c>
      <c r="X43" s="1265"/>
      <c r="Y43" s="33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4"/>
      <c r="Q44" s="530">
        <f t="shared" si="11"/>
        <v>111</v>
      </c>
      <c r="R44" s="664" t="s">
        <v>14</v>
      </c>
      <c r="S44" s="665">
        <f t="shared" si="12"/>
        <v>100</v>
      </c>
      <c r="T44" s="664" t="s">
        <v>14</v>
      </c>
      <c r="U44" s="665">
        <f t="shared" si="13"/>
        <v>100</v>
      </c>
      <c r="V44" s="664" t="s">
        <v>14</v>
      </c>
      <c r="W44" s="665">
        <f t="shared" si="14"/>
        <v>100</v>
      </c>
      <c r="X44" s="666"/>
      <c r="Y44" s="33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4"/>
      <c r="Q45" s="1263">
        <f t="shared" si="11"/>
        <v>111</v>
      </c>
      <c r="R45" s="667" t="s">
        <v>14</v>
      </c>
      <c r="S45" s="668">
        <f t="shared" si="12"/>
        <v>100</v>
      </c>
      <c r="T45" s="667" t="s">
        <v>14</v>
      </c>
      <c r="U45" s="668">
        <f t="shared" si="13"/>
        <v>100</v>
      </c>
      <c r="V45" s="667" t="s">
        <v>14</v>
      </c>
      <c r="W45" s="668">
        <f t="shared" si="14"/>
        <v>100</v>
      </c>
      <c r="X45" s="1265"/>
      <c r="Y45" s="33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5"/>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1793</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8821.64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11" t="s">
        <v>1771</v>
      </c>
      <c r="S4" s="3412"/>
      <c r="T4" s="3411" t="s">
        <v>1772</v>
      </c>
      <c r="U4" s="3412"/>
      <c r="V4" s="3413" t="s">
        <v>1773</v>
      </c>
      <c r="W4" s="3413"/>
      <c r="X4" s="1809"/>
      <c r="Y4" s="3411" t="s">
        <v>1775</v>
      </c>
      <c r="Z4" s="3412"/>
      <c r="AA4" s="3415" t="s">
        <v>1771</v>
      </c>
      <c r="AB4" s="3415" t="s">
        <v>1772</v>
      </c>
      <c r="AC4" s="3404" t="s">
        <v>1773</v>
      </c>
    </row>
    <row r="5" spans="1:29" ht="15">
      <c r="A5" s="348"/>
      <c r="B5" s="349"/>
      <c r="C5" s="3392" t="s">
        <v>1673</v>
      </c>
      <c r="D5" s="3393"/>
      <c r="E5" s="3399" t="s">
        <v>1674</v>
      </c>
      <c r="F5" s="3400"/>
      <c r="G5" s="3392" t="s">
        <v>1675</v>
      </c>
      <c r="H5" s="3393"/>
      <c r="I5" s="3392" t="s">
        <v>1676</v>
      </c>
      <c r="J5" s="3393"/>
      <c r="K5" s="537"/>
      <c r="L5" s="2487"/>
      <c r="M5" s="2488"/>
      <c r="N5" s="2488"/>
      <c r="O5" s="2488"/>
      <c r="P5" s="3409"/>
      <c r="Q5" s="3381"/>
      <c r="R5" s="3386"/>
      <c r="S5" s="3387"/>
      <c r="T5" s="3386"/>
      <c r="U5" s="3387"/>
      <c r="V5" s="3360"/>
      <c r="W5" s="3360"/>
      <c r="X5" s="1265"/>
      <c r="Y5" s="3386"/>
      <c r="Z5" s="3387"/>
      <c r="AA5" s="3372"/>
      <c r="AB5" s="3372"/>
      <c r="AC5" s="3405"/>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410"/>
      <c r="Q6" s="3383"/>
      <c r="R6" s="3386"/>
      <c r="S6" s="3387"/>
      <c r="T6" s="3388"/>
      <c r="U6" s="3389"/>
      <c r="V6" s="3360"/>
      <c r="W6" s="3360"/>
      <c r="X6" s="1265"/>
      <c r="Y6" s="3388"/>
      <c r="Z6" s="3389"/>
      <c r="AA6" s="3373"/>
      <c r="AB6" s="3373"/>
      <c r="AC6" s="3406"/>
    </row>
    <row r="7" spans="1:29" s="102" customFormat="1" ht="15.75" thickBot="1">
      <c r="A7" s="352" t="s">
        <v>1679</v>
      </c>
      <c r="B7" s="353"/>
      <c r="C7" s="354">
        <f>'数据-取费表'!B2</f>
        <v>45628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8" t="s">
        <v>1691</v>
      </c>
      <c r="Q15" s="1263" t="str">
        <f t="shared" si="6"/>
        <v>办公集聚程度</v>
      </c>
      <c r="R15" s="667" t="s">
        <v>14</v>
      </c>
      <c r="S15" s="668">
        <f t="shared" si="0"/>
        <v>100</v>
      </c>
      <c r="T15" s="667" t="s">
        <v>14</v>
      </c>
      <c r="U15" s="668">
        <f t="shared" si="1"/>
        <v>100</v>
      </c>
      <c r="V15" s="667" t="s">
        <v>14</v>
      </c>
      <c r="W15" s="668">
        <f t="shared" si="2"/>
        <v>100</v>
      </c>
      <c r="X15" s="1265"/>
      <c r="Y15" s="33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9"/>
      <c r="Q22" s="1263"/>
      <c r="R22" s="667"/>
      <c r="S22" s="668"/>
      <c r="T22" s="667"/>
      <c r="U22" s="668"/>
      <c r="V22" s="667"/>
      <c r="W22" s="668"/>
      <c r="X22" s="1265"/>
      <c r="Y22" s="3362"/>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9"/>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9"/>
      <c r="Q25" s="1263" t="str">
        <f>B25</f>
        <v>毗邻道路的类型与等级</v>
      </c>
      <c r="R25" s="667" t="s">
        <v>14</v>
      </c>
      <c r="S25" s="668">
        <f>F25</f>
        <v>100</v>
      </c>
      <c r="T25" s="667" t="s">
        <v>14</v>
      </c>
      <c r="U25" s="668">
        <f>H25</f>
        <v>100</v>
      </c>
      <c r="V25" s="667" t="s">
        <v>14</v>
      </c>
      <c r="W25" s="668">
        <f>J25</f>
        <v>100</v>
      </c>
      <c r="X25" s="1265"/>
      <c r="Y25" s="33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9"/>
      <c r="Q26" s="1263"/>
      <c r="R26" s="667"/>
      <c r="S26" s="668"/>
      <c r="T26" s="667"/>
      <c r="U26" s="668"/>
      <c r="V26" s="667"/>
      <c r="W26" s="668"/>
      <c r="X26" s="1265"/>
      <c r="Y26" s="33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9"/>
      <c r="Q27" s="1263" t="str">
        <f t="shared" ref="Q27:Q47" si="11">B27</f>
        <v>楼层</v>
      </c>
      <c r="R27" s="667" t="s">
        <v>14</v>
      </c>
      <c r="S27" s="668">
        <f>F27</f>
        <v>100</v>
      </c>
      <c r="T27" s="667" t="s">
        <v>14</v>
      </c>
      <c r="U27" s="668">
        <f>H27</f>
        <v>100</v>
      </c>
      <c r="V27" s="667" t="s">
        <v>14</v>
      </c>
      <c r="W27" s="668">
        <f>J27</f>
        <v>100</v>
      </c>
      <c r="X27" s="1265"/>
      <c r="Y27" s="33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9"/>
      <c r="Q28" s="530" t="str">
        <f t="shared" si="11"/>
        <v>朝向</v>
      </c>
      <c r="R28" s="664" t="s">
        <v>14</v>
      </c>
      <c r="S28" s="665">
        <f>F28</f>
        <v>100</v>
      </c>
      <c r="T28" s="664" t="s">
        <v>14</v>
      </c>
      <c r="U28" s="665">
        <f>H28</f>
        <v>100</v>
      </c>
      <c r="V28" s="664" t="s">
        <v>14</v>
      </c>
      <c r="W28" s="665">
        <f>J28</f>
        <v>100</v>
      </c>
      <c r="X28" s="666"/>
      <c r="Y28" s="33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9"/>
      <c r="Q32" s="1263">
        <f t="shared" si="11"/>
        <v>111</v>
      </c>
      <c r="R32" s="667" t="s">
        <v>14</v>
      </c>
      <c r="S32" s="668">
        <f t="shared" si="12"/>
        <v>100</v>
      </c>
      <c r="T32" s="667" t="s">
        <v>14</v>
      </c>
      <c r="U32" s="668">
        <f t="shared" si="13"/>
        <v>100</v>
      </c>
      <c r="V32" s="667" t="s">
        <v>14</v>
      </c>
      <c r="W32" s="668">
        <f t="shared" si="14"/>
        <v>100</v>
      </c>
      <c r="X32" s="1265"/>
      <c r="Y32" s="33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3" t="s">
        <v>1696</v>
      </c>
      <c r="Q33" s="1263" t="str">
        <f t="shared" si="11"/>
        <v>建筑类型</v>
      </c>
      <c r="R33" s="667" t="s">
        <v>14</v>
      </c>
      <c r="S33" s="668">
        <f t="shared" si="12"/>
        <v>100</v>
      </c>
      <c r="T33" s="667" t="s">
        <v>14</v>
      </c>
      <c r="U33" s="668">
        <f t="shared" si="13"/>
        <v>100</v>
      </c>
      <c r="V33" s="667" t="s">
        <v>14</v>
      </c>
      <c r="W33" s="668">
        <f t="shared" si="14"/>
        <v>100</v>
      </c>
      <c r="X33" s="1265"/>
      <c r="Y33" s="33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4"/>
      <c r="Q34" s="531" t="str">
        <f t="shared" si="11"/>
        <v>项目建筑规模</v>
      </c>
      <c r="R34" s="669" t="s">
        <v>14</v>
      </c>
      <c r="S34" s="670" t="e">
        <f t="shared" si="12"/>
        <v>#N/A</v>
      </c>
      <c r="T34" s="669" t="s">
        <v>14</v>
      </c>
      <c r="U34" s="670" t="e">
        <f t="shared" si="13"/>
        <v>#N/A</v>
      </c>
      <c r="V34" s="669" t="s">
        <v>14</v>
      </c>
      <c r="W34" s="670" t="e">
        <f t="shared" si="14"/>
        <v>#N/A</v>
      </c>
      <c r="X34" s="671"/>
      <c r="Y34" s="33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4"/>
      <c r="Q35" s="1263" t="str">
        <f t="shared" si="11"/>
        <v>建筑结构</v>
      </c>
      <c r="R35" s="667" t="s">
        <v>14</v>
      </c>
      <c r="S35" s="668">
        <f t="shared" si="12"/>
        <v>100</v>
      </c>
      <c r="T35" s="667" t="s">
        <v>14</v>
      </c>
      <c r="U35" s="668">
        <f t="shared" si="13"/>
        <v>100</v>
      </c>
      <c r="V35" s="667" t="s">
        <v>14</v>
      </c>
      <c r="W35" s="668">
        <f t="shared" si="14"/>
        <v>100</v>
      </c>
      <c r="X35" s="1265"/>
      <c r="Y35" s="33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4"/>
      <c r="Q36" s="1263" t="str">
        <f t="shared" si="11"/>
        <v>公共部分装修</v>
      </c>
      <c r="R36" s="667" t="s">
        <v>14</v>
      </c>
      <c r="S36" s="668">
        <f t="shared" si="12"/>
        <v>100</v>
      </c>
      <c r="T36" s="667" t="s">
        <v>14</v>
      </c>
      <c r="U36" s="668">
        <f t="shared" si="13"/>
        <v>100</v>
      </c>
      <c r="V36" s="667" t="s">
        <v>14</v>
      </c>
      <c r="W36" s="668">
        <f t="shared" si="14"/>
        <v>100</v>
      </c>
      <c r="X36" s="1265"/>
      <c r="Y36" s="33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4"/>
      <c r="Q37" s="1263" t="str">
        <f t="shared" si="11"/>
        <v>成新度</v>
      </c>
      <c r="R37" s="667" t="s">
        <v>14</v>
      </c>
      <c r="S37" s="668" t="e">
        <f t="shared" si="12"/>
        <v>#N/A</v>
      </c>
      <c r="T37" s="667" t="s">
        <v>14</v>
      </c>
      <c r="U37" s="668" t="e">
        <f t="shared" si="13"/>
        <v>#N/A</v>
      </c>
      <c r="V37" s="667" t="s">
        <v>14</v>
      </c>
      <c r="W37" s="668" t="e">
        <f t="shared" si="14"/>
        <v>#N/A</v>
      </c>
      <c r="X37" s="1265"/>
      <c r="Y37" s="33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4"/>
      <c r="Q38" s="530" t="str">
        <f t="shared" si="11"/>
        <v>写字楼等级</v>
      </c>
      <c r="R38" s="664" t="s">
        <v>14</v>
      </c>
      <c r="S38" s="665">
        <f t="shared" si="12"/>
        <v>100</v>
      </c>
      <c r="T38" s="664" t="s">
        <v>14</v>
      </c>
      <c r="U38" s="665">
        <f t="shared" si="13"/>
        <v>100</v>
      </c>
      <c r="V38" s="664" t="s">
        <v>14</v>
      </c>
      <c r="W38" s="665">
        <f t="shared" si="14"/>
        <v>100</v>
      </c>
      <c r="X38" s="666"/>
      <c r="Y38" s="33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4" t="s">
        <v>1696</v>
      </c>
      <c r="Q39" s="1263" t="str">
        <f t="shared" si="11"/>
        <v>物业管理</v>
      </c>
      <c r="R39" s="667" t="s">
        <v>14</v>
      </c>
      <c r="S39" s="668">
        <f t="shared" si="12"/>
        <v>100</v>
      </c>
      <c r="T39" s="667" t="s">
        <v>14</v>
      </c>
      <c r="U39" s="668">
        <f t="shared" si="13"/>
        <v>100</v>
      </c>
      <c r="V39" s="667" t="s">
        <v>14</v>
      </c>
      <c r="W39" s="668">
        <f t="shared" si="14"/>
        <v>100</v>
      </c>
      <c r="X39" s="1265"/>
      <c r="Y39" s="33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4"/>
      <c r="Q40" s="1263" t="str">
        <f t="shared" si="11"/>
        <v>市政基础设施</v>
      </c>
      <c r="R40" s="667" t="s">
        <v>14</v>
      </c>
      <c r="S40" s="668">
        <f t="shared" si="12"/>
        <v>100</v>
      </c>
      <c r="T40" s="667" t="s">
        <v>14</v>
      </c>
      <c r="U40" s="668">
        <f t="shared" si="13"/>
        <v>100</v>
      </c>
      <c r="V40" s="667" t="s">
        <v>14</v>
      </c>
      <c r="W40" s="668">
        <f t="shared" si="14"/>
        <v>100</v>
      </c>
      <c r="X40" s="1265"/>
      <c r="Y40" s="33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4"/>
      <c r="Q41" s="1263" t="str">
        <f t="shared" si="11"/>
        <v>层高</v>
      </c>
      <c r="R41" s="667" t="s">
        <v>14</v>
      </c>
      <c r="S41" s="668">
        <f t="shared" si="12"/>
        <v>100</v>
      </c>
      <c r="T41" s="667" t="s">
        <v>14</v>
      </c>
      <c r="U41" s="668">
        <f t="shared" si="13"/>
        <v>100</v>
      </c>
      <c r="V41" s="667" t="s">
        <v>14</v>
      </c>
      <c r="W41" s="668">
        <f t="shared" si="14"/>
        <v>100</v>
      </c>
      <c r="X41" s="1265"/>
      <c r="Y41" s="33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4"/>
      <c r="Q42" s="531" t="str">
        <f t="shared" si="11"/>
        <v>单套建筑面积</v>
      </c>
      <c r="R42" s="669" t="s">
        <v>14</v>
      </c>
      <c r="S42" s="670">
        <f t="shared" si="12"/>
        <v>100</v>
      </c>
      <c r="T42" s="669" t="s">
        <v>14</v>
      </c>
      <c r="U42" s="670">
        <f t="shared" si="13"/>
        <v>100</v>
      </c>
      <c r="V42" s="669" t="s">
        <v>14</v>
      </c>
      <c r="W42" s="670">
        <f t="shared" si="14"/>
        <v>100</v>
      </c>
      <c r="X42" s="671"/>
      <c r="Y42" s="33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4"/>
      <c r="Q43" s="1263" t="str">
        <f t="shared" si="11"/>
        <v>内部装修</v>
      </c>
      <c r="R43" s="667" t="s">
        <v>14</v>
      </c>
      <c r="S43" s="668">
        <f t="shared" si="12"/>
        <v>100</v>
      </c>
      <c r="T43" s="667" t="s">
        <v>14</v>
      </c>
      <c r="U43" s="668">
        <f t="shared" si="13"/>
        <v>100</v>
      </c>
      <c r="V43" s="667" t="s">
        <v>14</v>
      </c>
      <c r="W43" s="668">
        <f t="shared" si="14"/>
        <v>100</v>
      </c>
      <c r="X43" s="1265"/>
      <c r="Y43" s="33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4"/>
      <c r="Q44" s="1263" t="str">
        <f t="shared" si="11"/>
        <v>内部装修维护情况</v>
      </c>
      <c r="R44" s="667" t="s">
        <v>14</v>
      </c>
      <c r="S44" s="668">
        <f t="shared" si="12"/>
        <v>100</v>
      </c>
      <c r="T44" s="667" t="s">
        <v>14</v>
      </c>
      <c r="U44" s="668">
        <f t="shared" si="13"/>
        <v>100</v>
      </c>
      <c r="V44" s="667" t="s">
        <v>14</v>
      </c>
      <c r="W44" s="668">
        <f t="shared" si="14"/>
        <v>100</v>
      </c>
      <c r="X44" s="1265"/>
      <c r="Y44" s="33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4"/>
      <c r="Q45" s="530">
        <f t="shared" si="11"/>
        <v>111</v>
      </c>
      <c r="R45" s="664" t="s">
        <v>14</v>
      </c>
      <c r="S45" s="665">
        <f t="shared" si="12"/>
        <v>100</v>
      </c>
      <c r="T45" s="664" t="s">
        <v>14</v>
      </c>
      <c r="U45" s="665">
        <f t="shared" si="13"/>
        <v>100</v>
      </c>
      <c r="V45" s="664" t="s">
        <v>14</v>
      </c>
      <c r="W45" s="665">
        <f t="shared" si="14"/>
        <v>100</v>
      </c>
      <c r="X45" s="666"/>
      <c r="Y45" s="33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5"/>
      <c r="Q47" s="1263">
        <f t="shared" si="11"/>
        <v>111</v>
      </c>
      <c r="R47" s="667" t="s">
        <v>14</v>
      </c>
      <c r="S47" s="668">
        <f t="shared" si="12"/>
        <v>100</v>
      </c>
      <c r="T47" s="667" t="s">
        <v>14</v>
      </c>
      <c r="U47" s="668">
        <f t="shared" si="13"/>
        <v>100</v>
      </c>
      <c r="V47" s="667" t="s">
        <v>14</v>
      </c>
      <c r="W47" s="668">
        <f t="shared" si="14"/>
        <v>100</v>
      </c>
      <c r="X47" s="1265"/>
      <c r="Y47" s="33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0" t="str">
        <f>A48</f>
        <v>成交单价（元/平方米）</v>
      </c>
      <c r="Q48" s="3359"/>
      <c r="R48" s="3360">
        <f>E48</f>
        <v>0</v>
      </c>
      <c r="S48" s="3360"/>
      <c r="T48" s="3360">
        <f>G48</f>
        <v>0</v>
      </c>
      <c r="U48" s="3360"/>
      <c r="V48" s="3360">
        <f>I48</f>
        <v>0</v>
      </c>
      <c r="W48" s="3360"/>
      <c r="X48" s="385"/>
      <c r="Y48" s="673"/>
      <c r="Z48" s="385"/>
      <c r="AA48" s="385"/>
      <c r="AB48" s="385"/>
      <c r="AC48" s="555"/>
    </row>
    <row r="49" spans="1:29" ht="15.75" thickBot="1">
      <c r="A49" s="423" t="s">
        <v>1793</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8821.64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860"/>
      <c r="M5" s="861"/>
      <c r="N5" s="861"/>
      <c r="O5" s="861"/>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2"/>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2"/>
      <c r="Q18" s="1263"/>
      <c r="R18" s="667"/>
      <c r="S18" s="668"/>
      <c r="T18" s="667"/>
      <c r="U18" s="668"/>
      <c r="V18" s="667"/>
      <c r="W18" s="668"/>
      <c r="X18" s="1265"/>
      <c r="Y18" s="3362"/>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2"/>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2"/>
      <c r="Q20" s="1263"/>
      <c r="R20" s="667"/>
      <c r="S20" s="668"/>
      <c r="T20" s="667"/>
      <c r="U20" s="668"/>
      <c r="V20" s="667"/>
      <c r="W20" s="668"/>
      <c r="X20" s="1265"/>
      <c r="Y20" s="3362"/>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2"/>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2"/>
      <c r="Q22" s="1263"/>
      <c r="R22" s="667"/>
      <c r="S22" s="668"/>
      <c r="T22" s="667"/>
      <c r="U22" s="668"/>
      <c r="V22" s="667"/>
      <c r="W22" s="668"/>
      <c r="X22" s="1265"/>
      <c r="Y22" s="3362"/>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2"/>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2"/>
      <c r="Q24" s="1263"/>
      <c r="R24" s="667"/>
      <c r="S24" s="668"/>
      <c r="T24" s="667"/>
      <c r="U24" s="668"/>
      <c r="V24" s="667"/>
      <c r="W24" s="668"/>
      <c r="X24" s="1265"/>
      <c r="Y24" s="33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2"/>
      <c r="Q25" s="1263">
        <f>B25</f>
        <v>111</v>
      </c>
      <c r="R25" s="667" t="s">
        <v>14</v>
      </c>
      <c r="S25" s="668">
        <f>F25</f>
        <v>100</v>
      </c>
      <c r="T25" s="667" t="s">
        <v>14</v>
      </c>
      <c r="U25" s="668">
        <f>H25</f>
        <v>100</v>
      </c>
      <c r="V25" s="667" t="s">
        <v>14</v>
      </c>
      <c r="W25" s="668">
        <f>J25</f>
        <v>100</v>
      </c>
      <c r="X25" s="1265"/>
      <c r="Y25" s="33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2"/>
      <c r="Q26" s="1263">
        <f t="shared" ref="Q26:Q40" si="11">B26</f>
        <v>111</v>
      </c>
      <c r="R26" s="667" t="s">
        <v>14</v>
      </c>
      <c r="S26" s="668">
        <f>F26</f>
        <v>100</v>
      </c>
      <c r="T26" s="667" t="s">
        <v>14</v>
      </c>
      <c r="U26" s="668">
        <f>H26</f>
        <v>100</v>
      </c>
      <c r="V26" s="667" t="s">
        <v>14</v>
      </c>
      <c r="W26" s="668">
        <f>J26</f>
        <v>100</v>
      </c>
      <c r="X26" s="1265"/>
      <c r="Y26" s="33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2"/>
      <c r="Q27" s="530">
        <f t="shared" si="11"/>
        <v>111</v>
      </c>
      <c r="R27" s="664" t="s">
        <v>14</v>
      </c>
      <c r="S27" s="665">
        <f>F27</f>
        <v>100</v>
      </c>
      <c r="T27" s="664" t="s">
        <v>14</v>
      </c>
      <c r="U27" s="665">
        <f>H27</f>
        <v>100</v>
      </c>
      <c r="V27" s="664" t="s">
        <v>14</v>
      </c>
      <c r="W27" s="665">
        <f>J27</f>
        <v>100</v>
      </c>
      <c r="X27" s="666"/>
      <c r="Y27" s="33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2"/>
      <c r="Q28" s="1263">
        <f t="shared" si="11"/>
        <v>111</v>
      </c>
      <c r="R28" s="667" t="s">
        <v>14</v>
      </c>
      <c r="S28" s="668">
        <f t="shared" ref="S28:S40" si="12">F28</f>
        <v>100</v>
      </c>
      <c r="T28" s="667" t="s">
        <v>14</v>
      </c>
      <c r="U28" s="668">
        <f t="shared" ref="U28:U40" si="13">H28</f>
        <v>100</v>
      </c>
      <c r="V28" s="667" t="s">
        <v>14</v>
      </c>
      <c r="W28" s="668">
        <f t="shared" ref="W28:W40" si="14">J28</f>
        <v>100</v>
      </c>
      <c r="X28" s="1265"/>
      <c r="Y28" s="33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6"/>
      <c r="Q30" s="531" t="str">
        <f t="shared" si="11"/>
        <v>项目建筑规模</v>
      </c>
      <c r="R30" s="669" t="s">
        <v>14</v>
      </c>
      <c r="S30" s="670" t="e">
        <f t="shared" si="12"/>
        <v>#N/A</v>
      </c>
      <c r="T30" s="669" t="s">
        <v>14</v>
      </c>
      <c r="U30" s="670" t="e">
        <f t="shared" si="13"/>
        <v>#N/A</v>
      </c>
      <c r="V30" s="669" t="s">
        <v>14</v>
      </c>
      <c r="W30" s="670" t="e">
        <f t="shared" si="14"/>
        <v>#N/A</v>
      </c>
      <c r="X30" s="671"/>
      <c r="Y30" s="33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6"/>
      <c r="Q31" s="1263" t="str">
        <f t="shared" si="11"/>
        <v>建筑结构</v>
      </c>
      <c r="R31" s="667" t="s">
        <v>14</v>
      </c>
      <c r="S31" s="668">
        <f t="shared" si="12"/>
        <v>100</v>
      </c>
      <c r="T31" s="667" t="s">
        <v>14</v>
      </c>
      <c r="U31" s="668">
        <f t="shared" si="13"/>
        <v>100</v>
      </c>
      <c r="V31" s="667" t="s">
        <v>14</v>
      </c>
      <c r="W31" s="668">
        <f t="shared" si="14"/>
        <v>100</v>
      </c>
      <c r="X31" s="1265"/>
      <c r="Y31" s="33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6"/>
      <c r="Q32" s="1263" t="str">
        <f t="shared" si="11"/>
        <v>公共部分装修</v>
      </c>
      <c r="R32" s="667" t="s">
        <v>14</v>
      </c>
      <c r="S32" s="668">
        <f t="shared" si="12"/>
        <v>100</v>
      </c>
      <c r="T32" s="667" t="s">
        <v>14</v>
      </c>
      <c r="U32" s="668">
        <f t="shared" si="13"/>
        <v>100</v>
      </c>
      <c r="V32" s="667" t="s">
        <v>14</v>
      </c>
      <c r="W32" s="668">
        <f t="shared" si="14"/>
        <v>100</v>
      </c>
      <c r="X32" s="1265"/>
      <c r="Y32" s="33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6"/>
      <c r="Q33" s="1263" t="str">
        <f t="shared" si="11"/>
        <v>成新度</v>
      </c>
      <c r="R33" s="667" t="s">
        <v>14</v>
      </c>
      <c r="S33" s="668" t="e">
        <f t="shared" si="12"/>
        <v>#N/A</v>
      </c>
      <c r="T33" s="667" t="s">
        <v>14</v>
      </c>
      <c r="U33" s="668" t="e">
        <f t="shared" si="13"/>
        <v>#N/A</v>
      </c>
      <c r="V33" s="667" t="s">
        <v>14</v>
      </c>
      <c r="W33" s="668" t="e">
        <f t="shared" si="14"/>
        <v>#N/A</v>
      </c>
      <c r="X33" s="1265"/>
      <c r="Y33" s="33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6"/>
      <c r="Q34" s="530" t="str">
        <f t="shared" si="11"/>
        <v>物业管理</v>
      </c>
      <c r="R34" s="664" t="s">
        <v>14</v>
      </c>
      <c r="S34" s="665">
        <f t="shared" si="12"/>
        <v>100</v>
      </c>
      <c r="T34" s="664" t="s">
        <v>14</v>
      </c>
      <c r="U34" s="665">
        <f t="shared" si="13"/>
        <v>100</v>
      </c>
      <c r="V34" s="664" t="s">
        <v>14</v>
      </c>
      <c r="W34" s="665">
        <f t="shared" si="14"/>
        <v>100</v>
      </c>
      <c r="X34" s="666"/>
      <c r="Y34" s="33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6" t="s">
        <v>1696</v>
      </c>
      <c r="Q35" s="1263" t="str">
        <f t="shared" si="11"/>
        <v>市政基础设施</v>
      </c>
      <c r="R35" s="667" t="s">
        <v>14</v>
      </c>
      <c r="S35" s="668">
        <f t="shared" si="12"/>
        <v>100</v>
      </c>
      <c r="T35" s="667" t="s">
        <v>14</v>
      </c>
      <c r="U35" s="668">
        <f t="shared" si="13"/>
        <v>100</v>
      </c>
      <c r="V35" s="667" t="s">
        <v>14</v>
      </c>
      <c r="W35" s="668">
        <f t="shared" si="14"/>
        <v>100</v>
      </c>
      <c r="X35" s="1265"/>
      <c r="Y35" s="33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6"/>
      <c r="Q36" s="1263" t="str">
        <f t="shared" si="11"/>
        <v>内部装修</v>
      </c>
      <c r="R36" s="667" t="s">
        <v>14</v>
      </c>
      <c r="S36" s="668">
        <f t="shared" si="12"/>
        <v>100</v>
      </c>
      <c r="T36" s="667" t="s">
        <v>14</v>
      </c>
      <c r="U36" s="668">
        <f t="shared" si="13"/>
        <v>100</v>
      </c>
      <c r="V36" s="667" t="s">
        <v>14</v>
      </c>
      <c r="W36" s="668">
        <f t="shared" si="14"/>
        <v>100</v>
      </c>
      <c r="X36" s="1265"/>
      <c r="Y36" s="33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6"/>
      <c r="Q37" s="1263" t="str">
        <f t="shared" si="11"/>
        <v>内部装修状况</v>
      </c>
      <c r="R37" s="667" t="s">
        <v>14</v>
      </c>
      <c r="S37" s="668">
        <f t="shared" si="12"/>
        <v>100</v>
      </c>
      <c r="T37" s="667" t="s">
        <v>14</v>
      </c>
      <c r="U37" s="668">
        <f t="shared" si="13"/>
        <v>100</v>
      </c>
      <c r="V37" s="667" t="s">
        <v>14</v>
      </c>
      <c r="W37" s="668">
        <f t="shared" si="14"/>
        <v>100</v>
      </c>
      <c r="X37" s="1265"/>
      <c r="Y37" s="33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6"/>
      <c r="Q38" s="531">
        <f t="shared" si="11"/>
        <v>111</v>
      </c>
      <c r="R38" s="669" t="s">
        <v>14</v>
      </c>
      <c r="S38" s="670">
        <f t="shared" si="12"/>
        <v>100</v>
      </c>
      <c r="T38" s="669" t="s">
        <v>14</v>
      </c>
      <c r="U38" s="670">
        <f t="shared" si="13"/>
        <v>100</v>
      </c>
      <c r="V38" s="669" t="s">
        <v>14</v>
      </c>
      <c r="W38" s="670">
        <f t="shared" si="14"/>
        <v>100</v>
      </c>
      <c r="X38" s="671"/>
      <c r="Y38" s="33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6"/>
      <c r="Q39" s="1263">
        <f t="shared" si="11"/>
        <v>111</v>
      </c>
      <c r="R39" s="667" t="s">
        <v>14</v>
      </c>
      <c r="S39" s="668">
        <f t="shared" si="12"/>
        <v>100</v>
      </c>
      <c r="T39" s="667" t="s">
        <v>14</v>
      </c>
      <c r="U39" s="668">
        <f t="shared" si="13"/>
        <v>100</v>
      </c>
      <c r="V39" s="667" t="s">
        <v>14</v>
      </c>
      <c r="W39" s="668">
        <f t="shared" si="14"/>
        <v>100</v>
      </c>
      <c r="X39" s="1265"/>
      <c r="Y39" s="33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7"/>
      <c r="Q40" s="1263">
        <f t="shared" si="11"/>
        <v>111</v>
      </c>
      <c r="R40" s="667" t="s">
        <v>14</v>
      </c>
      <c r="S40" s="668">
        <f t="shared" si="12"/>
        <v>100</v>
      </c>
      <c r="T40" s="667" t="s">
        <v>14</v>
      </c>
      <c r="U40" s="668">
        <f t="shared" si="13"/>
        <v>100</v>
      </c>
      <c r="V40" s="667" t="s">
        <v>14</v>
      </c>
      <c r="W40" s="668">
        <f t="shared" si="14"/>
        <v>100</v>
      </c>
      <c r="X40" s="1265"/>
      <c r="Y40" s="33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2"/>
      <c r="Q15" s="1263"/>
      <c r="R15" s="667"/>
      <c r="S15" s="668"/>
      <c r="T15" s="667"/>
      <c r="U15" s="668"/>
      <c r="V15" s="667"/>
      <c r="W15" s="668"/>
      <c r="X15" s="1265"/>
      <c r="Y15" s="3362"/>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2"/>
      <c r="Q17" s="1263"/>
      <c r="R17" s="667"/>
      <c r="S17" s="668"/>
      <c r="T17" s="667"/>
      <c r="U17" s="668"/>
      <c r="V17" s="667"/>
      <c r="W17" s="668"/>
      <c r="X17" s="1265"/>
      <c r="Y17" s="3362"/>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2"/>
      <c r="Q19" s="1263"/>
      <c r="R19" s="667"/>
      <c r="S19" s="668"/>
      <c r="T19" s="667"/>
      <c r="U19" s="668"/>
      <c r="V19" s="667"/>
      <c r="W19" s="668"/>
      <c r="X19" s="1265"/>
      <c r="Y19" s="3362"/>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2"/>
      <c r="Q21" s="1263"/>
      <c r="R21" s="667"/>
      <c r="S21" s="668"/>
      <c r="T21" s="667"/>
      <c r="U21" s="668"/>
      <c r="V21" s="667"/>
      <c r="W21" s="668"/>
      <c r="X21" s="1265"/>
      <c r="Y21" s="33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2"/>
      <c r="Q24" s="1263">
        <f t="shared" ref="Q24:Q36"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6"/>
      <c r="Q27" s="531" t="str">
        <f t="shared" si="11"/>
        <v>项目停车位配比</v>
      </c>
      <c r="R27" s="669" t="s">
        <v>14</v>
      </c>
      <c r="S27" s="670">
        <f t="shared" si="12"/>
        <v>100</v>
      </c>
      <c r="T27" s="669" t="s">
        <v>14</v>
      </c>
      <c r="U27" s="670">
        <f t="shared" si="13"/>
        <v>100</v>
      </c>
      <c r="V27" s="669" t="s">
        <v>14</v>
      </c>
      <c r="W27" s="670">
        <f t="shared" si="14"/>
        <v>100</v>
      </c>
      <c r="X27" s="671"/>
      <c r="Y27" s="33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6"/>
      <c r="Q28" s="1263" t="str">
        <f t="shared" si="11"/>
        <v>公共部分装修</v>
      </c>
      <c r="R28" s="667" t="s">
        <v>14</v>
      </c>
      <c r="S28" s="668">
        <f t="shared" si="12"/>
        <v>100</v>
      </c>
      <c r="T28" s="667" t="s">
        <v>14</v>
      </c>
      <c r="U28" s="668">
        <f t="shared" si="13"/>
        <v>100</v>
      </c>
      <c r="V28" s="667" t="s">
        <v>14</v>
      </c>
      <c r="W28" s="668">
        <f t="shared" si="14"/>
        <v>100</v>
      </c>
      <c r="X28" s="1265"/>
      <c r="Y28" s="33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6"/>
      <c r="Q29" s="1263" t="str">
        <f t="shared" si="11"/>
        <v>成新率</v>
      </c>
      <c r="R29" s="667" t="s">
        <v>14</v>
      </c>
      <c r="S29" s="668" t="e">
        <f t="shared" si="12"/>
        <v>#N/A</v>
      </c>
      <c r="T29" s="667" t="s">
        <v>14</v>
      </c>
      <c r="U29" s="668" t="e">
        <f t="shared" si="13"/>
        <v>#N/A</v>
      </c>
      <c r="V29" s="667" t="s">
        <v>14</v>
      </c>
      <c r="W29" s="668" t="e">
        <f t="shared" si="14"/>
        <v>#N/A</v>
      </c>
      <c r="X29" s="1265"/>
      <c r="Y29" s="33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6"/>
      <c r="Q30" s="1263" t="str">
        <f t="shared" si="11"/>
        <v>物业等级</v>
      </c>
      <c r="R30" s="667" t="s">
        <v>14</v>
      </c>
      <c r="S30" s="668">
        <f t="shared" si="12"/>
        <v>100</v>
      </c>
      <c r="T30" s="667" t="s">
        <v>14</v>
      </c>
      <c r="U30" s="668">
        <f t="shared" si="13"/>
        <v>100</v>
      </c>
      <c r="V30" s="667" t="s">
        <v>14</v>
      </c>
      <c r="W30" s="668">
        <f t="shared" si="14"/>
        <v>100</v>
      </c>
      <c r="X30" s="1265"/>
      <c r="Y30" s="33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6"/>
      <c r="Q31" s="530" t="str">
        <f t="shared" si="11"/>
        <v>停车位面积</v>
      </c>
      <c r="R31" s="664" t="s">
        <v>14</v>
      </c>
      <c r="S31" s="665" t="e">
        <f t="shared" si="12"/>
        <v>#N/A</v>
      </c>
      <c r="T31" s="664" t="s">
        <v>14</v>
      </c>
      <c r="U31" s="665" t="e">
        <f t="shared" si="13"/>
        <v>#N/A</v>
      </c>
      <c r="V31" s="664" t="s">
        <v>14</v>
      </c>
      <c r="W31" s="665" t="e">
        <f t="shared" si="14"/>
        <v>#N/A</v>
      </c>
      <c r="X31" s="666"/>
      <c r="Y31" s="33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6" t="s">
        <v>1696</v>
      </c>
      <c r="Q32" s="1263" t="str">
        <f t="shared" si="11"/>
        <v>车位类型</v>
      </c>
      <c r="R32" s="667" t="s">
        <v>14</v>
      </c>
      <c r="S32" s="668">
        <f t="shared" si="12"/>
        <v>100</v>
      </c>
      <c r="T32" s="667" t="s">
        <v>14</v>
      </c>
      <c r="U32" s="668">
        <f t="shared" si="13"/>
        <v>100</v>
      </c>
      <c r="V32" s="667" t="s">
        <v>14</v>
      </c>
      <c r="W32" s="668">
        <f t="shared" si="14"/>
        <v>100</v>
      </c>
      <c r="X32" s="1265"/>
      <c r="Y32" s="33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6"/>
      <c r="Q33" s="1263" t="str">
        <f t="shared" si="11"/>
        <v>是否直接入户</v>
      </c>
      <c r="R33" s="667" t="s">
        <v>14</v>
      </c>
      <c r="S33" s="668">
        <f t="shared" si="12"/>
        <v>100</v>
      </c>
      <c r="T33" s="667" t="s">
        <v>14</v>
      </c>
      <c r="U33" s="668">
        <f t="shared" si="13"/>
        <v>100</v>
      </c>
      <c r="V33" s="667" t="s">
        <v>14</v>
      </c>
      <c r="W33" s="668">
        <f t="shared" si="14"/>
        <v>100</v>
      </c>
      <c r="X33" s="1265"/>
      <c r="Y33" s="33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6"/>
      <c r="Q35" s="531">
        <f t="shared" si="11"/>
        <v>111</v>
      </c>
      <c r="R35" s="669" t="s">
        <v>14</v>
      </c>
      <c r="S35" s="670">
        <f t="shared" si="12"/>
        <v>100</v>
      </c>
      <c r="T35" s="669" t="s">
        <v>14</v>
      </c>
      <c r="U35" s="670">
        <f t="shared" si="13"/>
        <v>100</v>
      </c>
      <c r="V35" s="669" t="s">
        <v>14</v>
      </c>
      <c r="W35" s="670">
        <f t="shared" si="14"/>
        <v>100</v>
      </c>
      <c r="X35" s="671"/>
      <c r="Y35" s="33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6"/>
      <c r="Q36" s="1263">
        <f t="shared" si="11"/>
        <v>111</v>
      </c>
      <c r="R36" s="667" t="s">
        <v>14</v>
      </c>
      <c r="S36" s="668">
        <f t="shared" si="12"/>
        <v>100</v>
      </c>
      <c r="T36" s="667" t="s">
        <v>14</v>
      </c>
      <c r="U36" s="668">
        <f t="shared" si="13"/>
        <v>100</v>
      </c>
      <c r="V36" s="667" t="s">
        <v>14</v>
      </c>
      <c r="W36" s="668">
        <f t="shared" si="14"/>
        <v>100</v>
      </c>
      <c r="X36" s="1265"/>
      <c r="Y36" s="336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59" t="str">
        <f>A37</f>
        <v>成交单价</v>
      </c>
      <c r="Q37" s="3359"/>
      <c r="R37" s="3360">
        <f>E37</f>
        <v>0</v>
      </c>
      <c r="S37" s="3360"/>
      <c r="T37" s="3360">
        <f>G37</f>
        <v>0</v>
      </c>
      <c r="U37" s="3360"/>
      <c r="V37" s="3360">
        <f>I37</f>
        <v>0</v>
      </c>
      <c r="W37" s="3360"/>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6" t="str">
        <f>A39</f>
        <v>估价对象XX用房的比较价值（楼面单价，元/平方米）</v>
      </c>
      <c r="Q39" s="3357"/>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2"/>
      <c r="Q15" s="1263"/>
      <c r="R15" s="667"/>
      <c r="S15" s="668"/>
      <c r="T15" s="667"/>
      <c r="U15" s="668"/>
      <c r="V15" s="667"/>
      <c r="W15" s="668"/>
      <c r="X15" s="1265"/>
      <c r="Y15" s="3362"/>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2"/>
      <c r="Q17" s="1263"/>
      <c r="R17" s="667"/>
      <c r="S17" s="668"/>
      <c r="T17" s="667"/>
      <c r="U17" s="668"/>
      <c r="V17" s="667"/>
      <c r="W17" s="668"/>
      <c r="X17" s="1265"/>
      <c r="Y17" s="3362"/>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2"/>
      <c r="Q19" s="1263"/>
      <c r="R19" s="667"/>
      <c r="S19" s="668"/>
      <c r="T19" s="667"/>
      <c r="U19" s="668"/>
      <c r="V19" s="667"/>
      <c r="W19" s="668"/>
      <c r="X19" s="1265"/>
      <c r="Y19" s="3362"/>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2"/>
      <c r="Q21" s="1263"/>
      <c r="R21" s="667"/>
      <c r="S21" s="668"/>
      <c r="T21" s="667"/>
      <c r="U21" s="668"/>
      <c r="V21" s="667"/>
      <c r="W21" s="668"/>
      <c r="X21" s="1265"/>
      <c r="Y21" s="33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2"/>
      <c r="Q24" s="1263">
        <f t="shared" ref="Q24:Q34"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6"/>
      <c r="Q27" s="531" t="str">
        <f t="shared" si="11"/>
        <v>成新率</v>
      </c>
      <c r="R27" s="669" t="s">
        <v>14</v>
      </c>
      <c r="S27" s="670" t="e">
        <f t="shared" si="12"/>
        <v>#N/A</v>
      </c>
      <c r="T27" s="669" t="s">
        <v>14</v>
      </c>
      <c r="U27" s="670" t="e">
        <f t="shared" si="13"/>
        <v>#N/A</v>
      </c>
      <c r="V27" s="669" t="s">
        <v>14</v>
      </c>
      <c r="W27" s="670" t="e">
        <f t="shared" si="14"/>
        <v>#N/A</v>
      </c>
      <c r="X27" s="671"/>
      <c r="Y27" s="33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6"/>
      <c r="Q28" s="1263" t="str">
        <f t="shared" si="11"/>
        <v>物业等级</v>
      </c>
      <c r="R28" s="667" t="s">
        <v>14</v>
      </c>
      <c r="S28" s="668">
        <f t="shared" si="12"/>
        <v>100</v>
      </c>
      <c r="T28" s="667" t="s">
        <v>14</v>
      </c>
      <c r="U28" s="668">
        <f t="shared" si="13"/>
        <v>100</v>
      </c>
      <c r="V28" s="667" t="s">
        <v>14</v>
      </c>
      <c r="W28" s="668">
        <f t="shared" si="14"/>
        <v>100</v>
      </c>
      <c r="X28" s="1265"/>
      <c r="Y28" s="33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6"/>
      <c r="Q29" s="1263" t="str">
        <f t="shared" si="11"/>
        <v>有无电梯</v>
      </c>
      <c r="R29" s="667" t="s">
        <v>14</v>
      </c>
      <c r="S29" s="668">
        <f t="shared" si="12"/>
        <v>100</v>
      </c>
      <c r="T29" s="667" t="s">
        <v>14</v>
      </c>
      <c r="U29" s="668">
        <f t="shared" si="13"/>
        <v>100</v>
      </c>
      <c r="V29" s="667" t="s">
        <v>14</v>
      </c>
      <c r="W29" s="668">
        <f t="shared" si="14"/>
        <v>100</v>
      </c>
      <c r="X29" s="1265"/>
      <c r="Y29" s="33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6"/>
      <c r="Q30" s="1263" t="str">
        <f t="shared" si="11"/>
        <v>建筑面积</v>
      </c>
      <c r="R30" s="667" t="s">
        <v>14</v>
      </c>
      <c r="S30" s="668" t="e">
        <f t="shared" si="12"/>
        <v>#N/A</v>
      </c>
      <c r="T30" s="667" t="s">
        <v>14</v>
      </c>
      <c r="U30" s="668" t="e">
        <f t="shared" si="13"/>
        <v>#N/A</v>
      </c>
      <c r="V30" s="667" t="s">
        <v>14</v>
      </c>
      <c r="W30" s="668" t="e">
        <f t="shared" si="14"/>
        <v>#N/A</v>
      </c>
      <c r="X30" s="1265"/>
      <c r="Y30" s="33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6"/>
      <c r="Q31" s="530" t="str">
        <f t="shared" si="11"/>
        <v>是否封闭</v>
      </c>
      <c r="R31" s="664" t="s">
        <v>14</v>
      </c>
      <c r="S31" s="665">
        <f t="shared" si="12"/>
        <v>100</v>
      </c>
      <c r="T31" s="664" t="s">
        <v>14</v>
      </c>
      <c r="U31" s="665">
        <f t="shared" si="13"/>
        <v>100</v>
      </c>
      <c r="V31" s="664" t="s">
        <v>14</v>
      </c>
      <c r="W31" s="665">
        <f t="shared" si="14"/>
        <v>100</v>
      </c>
      <c r="X31" s="666"/>
      <c r="Y31" s="33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6" t="s">
        <v>1696</v>
      </c>
      <c r="Q32" s="1263">
        <f t="shared" si="11"/>
        <v>111</v>
      </c>
      <c r="R32" s="667" t="s">
        <v>14</v>
      </c>
      <c r="S32" s="668">
        <f t="shared" si="12"/>
        <v>100</v>
      </c>
      <c r="T32" s="667" t="s">
        <v>14</v>
      </c>
      <c r="U32" s="668">
        <f t="shared" si="13"/>
        <v>100</v>
      </c>
      <c r="V32" s="667" t="s">
        <v>14</v>
      </c>
      <c r="W32" s="668">
        <f t="shared" si="14"/>
        <v>100</v>
      </c>
      <c r="X32" s="1265"/>
      <c r="Y32" s="33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6"/>
      <c r="Q33" s="1263">
        <f t="shared" si="11"/>
        <v>111</v>
      </c>
      <c r="R33" s="667" t="s">
        <v>14</v>
      </c>
      <c r="S33" s="668">
        <f t="shared" si="12"/>
        <v>100</v>
      </c>
      <c r="T33" s="667" t="s">
        <v>14</v>
      </c>
      <c r="U33" s="668">
        <f t="shared" si="13"/>
        <v>100</v>
      </c>
      <c r="V33" s="667" t="s">
        <v>14</v>
      </c>
      <c r="W33" s="668">
        <f t="shared" si="14"/>
        <v>100</v>
      </c>
      <c r="X33" s="1265"/>
      <c r="Y33" s="336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75" thickBot="1">
      <c r="A36" s="423" t="s">
        <v>1793</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6" t="str">
        <f>A37</f>
        <v>估价对象XX用房的比较价值（楼面单价，元/平方米）</v>
      </c>
      <c r="Q37" s="3357"/>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80" sqref="Q80"/>
      <selection pane="bottomLeft" activeCell="T33" sqref="T3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28" t="s">
        <v>2083</v>
      </c>
      <c r="D1" s="3429"/>
      <c r="E1" s="3429"/>
      <c r="F1" s="3429"/>
      <c r="G1" s="3429"/>
      <c r="H1" s="3429"/>
      <c r="I1" s="3429"/>
      <c r="J1" s="3429"/>
      <c r="K1" s="3429"/>
      <c r="L1" s="3429"/>
      <c r="M1" s="3429"/>
      <c r="N1" s="3429"/>
      <c r="O1" s="3429"/>
      <c r="P1" s="3429"/>
      <c r="Q1" s="3429"/>
      <c r="R1" s="3429"/>
      <c r="S1" s="3430"/>
      <c r="T1" s="929" t="s">
        <v>2084</v>
      </c>
    </row>
    <row r="2" spans="1:45" s="625" customFormat="1">
      <c r="A2" s="930"/>
      <c r="B2" s="622" t="s">
        <v>2085</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500</v>
      </c>
      <c r="E3" s="628">
        <v>1000</v>
      </c>
      <c r="F3" s="1220">
        <v>1500</v>
      </c>
      <c r="G3" s="1220">
        <v>2000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4">
        <v>94</v>
      </c>
      <c r="G4" s="1224">
        <v>92</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v>1</v>
      </c>
      <c r="D17" s="954">
        <v>2</v>
      </c>
      <c r="E17" s="954">
        <v>3</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70</v>
      </c>
      <c r="E18" s="965">
        <v>60</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f ca="1">IF(D20="——",S22,S22-F20)</f>
        <v>7268</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8239</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8821.64</v>
      </c>
      <c r="C22" s="3425" t="s">
        <v>27</v>
      </c>
      <c r="D22" s="3426"/>
      <c r="E22" s="3426"/>
      <c r="F22" s="3426"/>
      <c r="G22" s="3426"/>
      <c r="H22" s="3426"/>
      <c r="I22" s="3426"/>
      <c r="J22" s="3426"/>
      <c r="K22" s="3426"/>
      <c r="L22" s="3426"/>
      <c r="M22" s="3426"/>
      <c r="N22" s="3426"/>
      <c r="O22" s="3426"/>
      <c r="P22" s="3426"/>
      <c r="Q22" s="3427"/>
      <c r="R22" s="21">
        <f ca="1">ROUND(S22*10000/B22,0)</f>
        <v>8239</v>
      </c>
      <c r="S22" s="21">
        <f ca="1">SUM(S24:S10000)</f>
        <v>7268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面积!C3</f>
        <v>4号楼201</v>
      </c>
      <c r="B24" s="633">
        <f>面积!E3</f>
        <v>1889.55</v>
      </c>
      <c r="C24" s="2571">
        <v>1</v>
      </c>
      <c r="D24" s="2572"/>
      <c r="E24" s="2571">
        <v>1</v>
      </c>
      <c r="F24" s="2572"/>
      <c r="G24" s="2571">
        <v>1</v>
      </c>
      <c r="H24" s="2572"/>
      <c r="I24" s="2571">
        <v>1</v>
      </c>
      <c r="J24" s="2572"/>
      <c r="K24" s="2571">
        <v>1</v>
      </c>
      <c r="L24" s="2572"/>
      <c r="M24" s="2571">
        <v>1</v>
      </c>
      <c r="N24" s="2572"/>
      <c r="O24" s="2571">
        <v>1</v>
      </c>
      <c r="P24" s="2572">
        <v>2</v>
      </c>
      <c r="Q24" s="2571">
        <v>1</v>
      </c>
      <c r="R24" s="633">
        <f ca="1">结果表!G20</f>
        <v>8795</v>
      </c>
      <c r="S24" s="634">
        <f t="shared" ref="S24:S54" ca="1" si="11">ROUND(R24*B24/10000,0)</f>
        <v>1662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面积!C4</f>
        <v>5号楼202</v>
      </c>
      <c r="B25" s="633">
        <f>面积!E4</f>
        <v>2645.92</v>
      </c>
      <c r="C25" s="21">
        <f>IF(B25="",1,(LOOKUP(B25,$3:$3,$4:$4)-LOOKUP($B$24,$3:$3,$4:$4)+100)/100)</f>
        <v>0.98</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2</v>
      </c>
      <c r="Q25" s="21">
        <f>(SUMIF($17:$17,P25,$18:$18)-SUMIF($17:$17,$P$24,$18:$18)+100)/100</f>
        <v>1</v>
      </c>
      <c r="R25" s="21">
        <f ca="1">IF(B25="",0,ROUND($R$24*C25*E25*G25*I25*K25*M25*O25*Q25,0))</f>
        <v>8619</v>
      </c>
      <c r="S25" s="308">
        <f t="shared" ca="1" si="11"/>
        <v>2281</v>
      </c>
    </row>
    <row r="26" spans="1:45">
      <c r="A26" s="633" t="str">
        <f>面积!C5</f>
        <v>4号楼301</v>
      </c>
      <c r="B26" s="633">
        <f>面积!E5</f>
        <v>2193.71</v>
      </c>
      <c r="C26" s="21">
        <f t="shared" ref="C26:C89" si="12">IF(B26="",1,(LOOKUP(B26,$3:$3,$4:$4)-LOOKUP($B$24,$3:$3,$4:$4)+100)/100)</f>
        <v>0.98</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3</v>
      </c>
      <c r="Q26" s="21">
        <f t="shared" ref="Q26:Q89" si="19">(SUMIF($17:$17,P26,$18:$18)-SUMIF($17:$17,$P$24,$18:$18)+100)/100</f>
        <v>0.9</v>
      </c>
      <c r="R26" s="21">
        <f t="shared" ref="R26:R89" ca="1" si="20">IF(B26="",0,ROUND($R$24*C26*E26*G26*I26*K26*M26*O26*Q26,0))</f>
        <v>7757</v>
      </c>
      <c r="S26" s="308">
        <f t="shared" ca="1" si="11"/>
        <v>1702</v>
      </c>
    </row>
    <row r="27" spans="1:45">
      <c r="A27" s="633" t="str">
        <f>面积!C6</f>
        <v>4号楼302</v>
      </c>
      <c r="B27" s="633">
        <f>面积!E6</f>
        <v>2092.46</v>
      </c>
      <c r="C27" s="21">
        <f t="shared" si="12"/>
        <v>0.98</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v>3</v>
      </c>
      <c r="Q27" s="21">
        <f t="shared" si="19"/>
        <v>0.9</v>
      </c>
      <c r="R27" s="21">
        <f t="shared" ca="1" si="20"/>
        <v>7757</v>
      </c>
      <c r="S27" s="308">
        <f t="shared" ca="1" si="11"/>
        <v>1623</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0.3</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0.3</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0.3</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0.3</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0.3</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0.3</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0.3</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0.3</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0.3</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0.3</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0.3</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0.3</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0.3</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0.3</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0.3</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0.3</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0.3</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0.3</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0.3</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0.3</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0.3</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0.3</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0.3</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0.3</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0.3</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0.3</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0.3</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0.3</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0.3</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0.3</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0.3</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0.3</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0.3</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0.3</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0.3</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0.3</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0.3</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0.3</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0.3</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0.3</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0.3</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0.3</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0.3</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0.3</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0.3</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0.3</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0.3</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0.3</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0.3</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0.3</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0.3</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0.3</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0.3</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0.3</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0.3</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0.3</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0.3</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0.3</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0.3</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0.3</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0.3</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0.3</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0.3</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0.3</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0.3</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0.3</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0.3</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0.3</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0.3</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0.3</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0.3</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0.3</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0.3</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0.3</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0.3</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0.3</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0.3</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0.3</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0.3</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0.3</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0.3</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0.3</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0.3</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0.3</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0.3</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0.3</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0.3</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0.3</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0.3</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0.3</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0.3</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0.3</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0.3</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0.3</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0.3</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0.3</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0.3</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0.3</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0.3</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0.3</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0.3</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0.3</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0.3</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0.3</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0.3</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0.3</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0.3</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0.3</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0.3</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0.3</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0.3</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0.3</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0.3</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0.3</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0.3</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0.3</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0.3</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0.3</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0.3</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0.3</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0.3</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0.3</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0.3</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0.3</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0.3</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0.3</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0.3</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0.3</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0.3</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0.3</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0.3</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0.3</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0.3</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0.3</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0.3</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0.3</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0.3</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0.3</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0.3</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0.3</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0.3</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0.3</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0.3</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0.3</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0.3</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0.3</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0.3</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0.3</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0.3</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0.3</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0.3</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0.3</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0.3</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0.3</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0.3</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0.3</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0.3</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0.3</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0.3</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0.3</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0.3</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0.3</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0.3</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0.3</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0.3</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0.3</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0.3</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0.3</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0.3</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0.3</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0.3</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0.3</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0.3</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0.3</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0.3</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0.3</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0.3</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0.3</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0.3</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0.3</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0.3</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0.3</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0.3</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0.3</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0.3</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0.3</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0.3</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0.3</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0.3</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0.3</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0.3</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0.3</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0.3</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0.3</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0.3</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0.3</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0.3</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0.3</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0.3</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0.3</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0.3</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0.3</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0.3</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0.3</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0.3</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0.3</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0.3</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0.3</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0.3</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0.3</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0.3</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0.3</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0.3</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0.3</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0.3</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0.3</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0.3</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0.3</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0.3</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0.3</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0.3</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0.3</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0.3</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0.3</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0.3</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0.3</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0.3</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0.3</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0.3</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0.3</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0.3</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0.3</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0.3</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0.3</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0.3</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0.3</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0.3</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0.3</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0.3</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0.3</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0.3</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0.3</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0.3</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0.3</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0.3</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0.3</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0.3</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0.3</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0.3</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0.3</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0.3</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0.3</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0.3</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0.3</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0.3</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0.3</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0.3</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0.3</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0.3</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0.3</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0.3</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0.3</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0.3</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0.3</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0.3</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0.3</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0.3</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0.3</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0.3</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0.3</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0.3</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0.3</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0.3</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0.3</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0.3</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0.3</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0.3</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0.3</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0.3</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0.3</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0.3</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0.3</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0.3</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0.3</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0.3</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0.3</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0.3</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0.3</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0.3</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0.3</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0.3</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0.3</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0.3</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0.3</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0.3</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0.3</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0.3</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0.3</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0.3</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0.3</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0.3</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0.3</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0.3</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0.3</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0.3</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0.3</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0.3</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0.3</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0.3</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0.3</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0.3</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0.3</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0.3</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0.3</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0.3</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0.3</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0.3</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0.3</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0.3</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0.3</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0.3</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0.3</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0.3</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0.3</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0.3</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0.3</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0.3</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0.3</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0.3</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0.3</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0.3</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0.3</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0.3</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0.3</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0.3</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0.3</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0.3</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0.3</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0.3</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0.3</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0.3</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0.3</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0.3</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0.3</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0.3</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0.3</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0.3</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0.3</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0.3</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0.3</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0.3</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0.3</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0.3</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0.3</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0.3</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0.3</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0.3</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0.3</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0.3</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0.3</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0.3</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0.3</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0.3</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0.3</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0.3</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0.3</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0.3</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0.3</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0.3</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0.3</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0.3</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0.3</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0.3</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0.3</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0.3</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0.3</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0.3</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0.3</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0.3</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0.3</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0.3</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0.3</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0.3</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0.3</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0.3</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0.3</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0.3</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0.3</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0.3</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0.3</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0.3</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0.3</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0.3</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0.3</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0.3</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0.3</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0.3</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0.3</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0.3</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0.3</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0.3</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0.3</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0.3</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0.3</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0.3</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0.3</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0.3</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0.3</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0.3</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0.3</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0.3</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0.3</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0.3</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0.3</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0.3</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0.3</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0.3</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0.3</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0.3</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0.3</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0.3</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0.3</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0.3</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0.3</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0.3</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0.3</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0.3</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0.3</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0.3</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0.3</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0.3</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0.3</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0.3</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0.3</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0.3</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0.3</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0.3</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0.3</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0.3</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0.3</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0.3</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0.3</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0.3</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0.3</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0.3</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0.3</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0.3</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0.3</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0.3</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0.3</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0.3</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0.3</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0.3</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0.3</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0.3</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0.3</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0.3</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0.3</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0.3</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0.3</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0.3</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0.3</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0.3</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0.3</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0.3</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0.3</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0.3</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0.3</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0.3</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0.3</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0.3</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0.3</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0.3</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0.3</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0.3</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0.3</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0.3</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0.3</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0.3</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0.3</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0.3</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0.3</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0.3</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0.3</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0.3</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0.3</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0.3</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0.3</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0.3</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0.3</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0.3</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0.3</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0.3</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0.3</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0.3</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0.3</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0.3</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D0D2-D3BE-4050-97E0-D39EEE906E27}">
  <dimension ref="A1"/>
  <sheetViews>
    <sheetView zoomScale="70" zoomScaleNormal="70" workbookViewId="0">
      <selection activeCell="N26" sqref="N26"/>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421" t="s">
        <v>1918</v>
      </c>
      <c r="D6" s="3422"/>
      <c r="E6" s="3423" t="s">
        <v>1918</v>
      </c>
      <c r="F6" s="3424"/>
      <c r="G6" s="3421" t="s">
        <v>1918</v>
      </c>
      <c r="H6" s="3422"/>
      <c r="I6" s="3421" t="s">
        <v>1918</v>
      </c>
      <c r="J6" s="3422"/>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59"/>
      <c r="Q10" s="530" t="str">
        <f t="shared" si="6"/>
        <v>土地使用年限（年）</v>
      </c>
      <c r="R10" s="664" t="s">
        <v>14</v>
      </c>
      <c r="S10" s="665">
        <f t="shared" si="0"/>
        <v>118</v>
      </c>
      <c r="T10" s="664" t="s">
        <v>14</v>
      </c>
      <c r="U10" s="665">
        <f t="shared" si="1"/>
        <v>118</v>
      </c>
      <c r="V10" s="664" t="s">
        <v>14</v>
      </c>
      <c r="W10" s="665">
        <f t="shared" si="2"/>
        <v>118</v>
      </c>
      <c r="X10" s="666"/>
      <c r="Y10" s="323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2"/>
      <c r="Q19" s="1263" t="str">
        <f t="shared" ref="Q19:Q33" si="8">B19</f>
        <v>区域土地利用方向</v>
      </c>
      <c r="R19" s="667" t="s">
        <v>14</v>
      </c>
      <c r="S19" s="668">
        <f>F19</f>
        <v>100</v>
      </c>
      <c r="T19" s="667" t="s">
        <v>14</v>
      </c>
      <c r="U19" s="668">
        <f>H19</f>
        <v>100</v>
      </c>
      <c r="V19" s="667" t="s">
        <v>14</v>
      </c>
      <c r="W19" s="668">
        <f>J19</f>
        <v>100</v>
      </c>
      <c r="X19" s="1265"/>
      <c r="Y19" s="33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2"/>
      <c r="Q20" s="1263"/>
      <c r="R20" s="667"/>
      <c r="S20" s="668"/>
      <c r="T20" s="667"/>
      <c r="U20" s="668"/>
      <c r="V20" s="667"/>
      <c r="W20" s="668"/>
      <c r="X20" s="1265"/>
      <c r="Y20" s="3362"/>
      <c r="Z20" s="1264"/>
      <c r="AA20" s="1264"/>
      <c r="AB20" s="1264"/>
      <c r="AC20" s="1264"/>
    </row>
    <row r="21" spans="1:29" ht="71.2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2"/>
      <c r="Q21" s="1263" t="str">
        <f t="shared" si="8"/>
        <v>环境状况</v>
      </c>
      <c r="R21" s="667" t="s">
        <v>14</v>
      </c>
      <c r="S21" s="668">
        <f>F21</f>
        <v>100</v>
      </c>
      <c r="T21" s="667" t="s">
        <v>14</v>
      </c>
      <c r="U21" s="668">
        <f>H21</f>
        <v>100</v>
      </c>
      <c r="V21" s="667" t="s">
        <v>14</v>
      </c>
      <c r="W21" s="668">
        <f>J21</f>
        <v>100</v>
      </c>
      <c r="X21" s="1265"/>
      <c r="Y21" s="33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2"/>
      <c r="Q23" s="530" t="str">
        <f t="shared" si="8"/>
        <v>公共配套设施</v>
      </c>
      <c r="R23" s="664" t="s">
        <v>14</v>
      </c>
      <c r="S23" s="665">
        <f>F23</f>
        <v>100</v>
      </c>
      <c r="T23" s="664" t="s">
        <v>14</v>
      </c>
      <c r="U23" s="665">
        <f>H23</f>
        <v>100</v>
      </c>
      <c r="V23" s="664" t="s">
        <v>14</v>
      </c>
      <c r="W23" s="665">
        <f>J23</f>
        <v>100</v>
      </c>
      <c r="X23" s="666"/>
      <c r="Y23" s="33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2"/>
      <c r="Q24" s="530"/>
      <c r="R24" s="664"/>
      <c r="S24" s="665"/>
      <c r="T24" s="664"/>
      <c r="U24" s="665"/>
      <c r="V24" s="664"/>
      <c r="W24" s="665"/>
      <c r="X24" s="666"/>
      <c r="Y24" s="3362"/>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2"/>
      <c r="Q25" s="530" t="str">
        <f t="shared" ref="Q25" si="9">B25</f>
        <v>基础设施水平</v>
      </c>
      <c r="R25" s="664" t="s">
        <v>14</v>
      </c>
      <c r="S25" s="665">
        <f>F25</f>
        <v>100</v>
      </c>
      <c r="T25" s="664" t="s">
        <v>14</v>
      </c>
      <c r="U25" s="665">
        <f>H25</f>
        <v>100</v>
      </c>
      <c r="V25" s="664" t="s">
        <v>14</v>
      </c>
      <c r="W25" s="665">
        <f>J25</f>
        <v>100</v>
      </c>
      <c r="X25" s="666"/>
      <c r="Y25" s="33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2"/>
      <c r="Q26" s="530"/>
      <c r="R26" s="664"/>
      <c r="S26" s="665"/>
      <c r="T26" s="664"/>
      <c r="U26" s="665"/>
      <c r="V26" s="664"/>
      <c r="W26" s="665"/>
      <c r="X26" s="666"/>
      <c r="Y26" s="33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2"/>
      <c r="Q28" s="1263" t="str">
        <f t="shared" si="8"/>
        <v>毗邻道路的类型与等级</v>
      </c>
      <c r="R28" s="667" t="s">
        <v>14</v>
      </c>
      <c r="S28" s="668">
        <f t="shared" si="10"/>
        <v>100</v>
      </c>
      <c r="T28" s="667" t="s">
        <v>14</v>
      </c>
      <c r="U28" s="668">
        <f t="shared" si="11"/>
        <v>100</v>
      </c>
      <c r="V28" s="667" t="s">
        <v>14</v>
      </c>
      <c r="W28" s="668">
        <f t="shared" si="12"/>
        <v>100</v>
      </c>
      <c r="X28" s="1265"/>
      <c r="Y28" s="33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2"/>
      <c r="Q29" s="1263"/>
      <c r="R29" s="667"/>
      <c r="S29" s="668"/>
      <c r="T29" s="667"/>
      <c r="U29" s="668"/>
      <c r="V29" s="667"/>
      <c r="W29" s="668"/>
      <c r="X29" s="1265"/>
      <c r="Y29" s="33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2"/>
      <c r="Q30" s="1263" t="str">
        <f t="shared" si="8"/>
        <v>土地级别</v>
      </c>
      <c r="R30" s="667" t="s">
        <v>14</v>
      </c>
      <c r="S30" s="668">
        <f t="shared" si="10"/>
        <v>100</v>
      </c>
      <c r="T30" s="667" t="s">
        <v>14</v>
      </c>
      <c r="U30" s="668">
        <f t="shared" si="11"/>
        <v>100</v>
      </c>
      <c r="V30" s="667" t="s">
        <v>14</v>
      </c>
      <c r="W30" s="668">
        <f t="shared" si="12"/>
        <v>100</v>
      </c>
      <c r="X30" s="1265"/>
      <c r="Y30" s="33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2"/>
      <c r="Q31" s="1263">
        <f t="shared" si="8"/>
        <v>111</v>
      </c>
      <c r="R31" s="667" t="s">
        <v>14</v>
      </c>
      <c r="S31" s="668">
        <f t="shared" si="10"/>
        <v>100</v>
      </c>
      <c r="T31" s="667" t="s">
        <v>14</v>
      </c>
      <c r="U31" s="668">
        <f t="shared" si="11"/>
        <v>100</v>
      </c>
      <c r="V31" s="667" t="s">
        <v>14</v>
      </c>
      <c r="W31" s="668">
        <f t="shared" si="12"/>
        <v>100</v>
      </c>
      <c r="X31" s="1265"/>
      <c r="Y31" s="33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6"/>
      <c r="Q33" s="1263">
        <f t="shared" si="8"/>
        <v>111</v>
      </c>
      <c r="R33" s="669" t="s">
        <v>14</v>
      </c>
      <c r="S33" s="670">
        <f t="shared" si="10"/>
        <v>100</v>
      </c>
      <c r="T33" s="669" t="s">
        <v>14</v>
      </c>
      <c r="U33" s="670">
        <f t="shared" si="11"/>
        <v>100</v>
      </c>
      <c r="V33" s="669" t="s">
        <v>14</v>
      </c>
      <c r="W33" s="670">
        <f t="shared" si="12"/>
        <v>100</v>
      </c>
      <c r="X33" s="671"/>
      <c r="Y33" s="33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6"/>
      <c r="Q34" s="1263" t="str">
        <f>B34</f>
        <v>宗地面积</v>
      </c>
      <c r="R34" s="667" t="s">
        <v>14</v>
      </c>
      <c r="S34" s="668" t="e">
        <f t="shared" si="10"/>
        <v>#N/A</v>
      </c>
      <c r="T34" s="667" t="s">
        <v>14</v>
      </c>
      <c r="U34" s="668" t="e">
        <f t="shared" si="11"/>
        <v>#N/A</v>
      </c>
      <c r="V34" s="667" t="s">
        <v>14</v>
      </c>
      <c r="W34" s="668" t="e">
        <f t="shared" si="12"/>
        <v>#N/A</v>
      </c>
      <c r="X34" s="1265"/>
      <c r="Y34" s="33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6"/>
      <c r="Q35" s="1263" t="str">
        <f t="shared" ref="Q35:Q40" si="14">B35</f>
        <v>宗地形状</v>
      </c>
      <c r="R35" s="667" t="s">
        <v>14</v>
      </c>
      <c r="S35" s="668">
        <f t="shared" si="10"/>
        <v>100</v>
      </c>
      <c r="T35" s="667" t="s">
        <v>14</v>
      </c>
      <c r="U35" s="668">
        <f t="shared" si="11"/>
        <v>100</v>
      </c>
      <c r="V35" s="667" t="s">
        <v>14</v>
      </c>
      <c r="W35" s="668">
        <f t="shared" si="12"/>
        <v>100</v>
      </c>
      <c r="X35" s="1265"/>
      <c r="Y35" s="33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6"/>
      <c r="Q36" s="1263" t="str">
        <f t="shared" si="14"/>
        <v>宗地开发程度</v>
      </c>
      <c r="R36" s="664" t="s">
        <v>14</v>
      </c>
      <c r="S36" s="665">
        <f t="shared" si="10"/>
        <v>100</v>
      </c>
      <c r="T36" s="664" t="s">
        <v>14</v>
      </c>
      <c r="U36" s="665">
        <f t="shared" si="11"/>
        <v>100</v>
      </c>
      <c r="V36" s="664" t="s">
        <v>14</v>
      </c>
      <c r="W36" s="665">
        <f t="shared" si="12"/>
        <v>100</v>
      </c>
      <c r="X36" s="666"/>
      <c r="Y36" s="33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6" t="s">
        <v>1696</v>
      </c>
      <c r="Q37" s="1263" t="str">
        <f t="shared" si="14"/>
        <v>工程地质条件</v>
      </c>
      <c r="R37" s="667" t="s">
        <v>14</v>
      </c>
      <c r="S37" s="668">
        <f t="shared" si="10"/>
        <v>100</v>
      </c>
      <c r="T37" s="667" t="s">
        <v>14</v>
      </c>
      <c r="U37" s="668">
        <f t="shared" si="11"/>
        <v>100</v>
      </c>
      <c r="V37" s="667" t="s">
        <v>14</v>
      </c>
      <c r="W37" s="668">
        <f t="shared" si="12"/>
        <v>100</v>
      </c>
      <c r="X37" s="1265"/>
      <c r="Y37" s="33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6"/>
      <c r="Q38" s="1263">
        <f t="shared" si="14"/>
        <v>111</v>
      </c>
      <c r="R38" s="667" t="s">
        <v>14</v>
      </c>
      <c r="S38" s="668">
        <f t="shared" si="10"/>
        <v>100</v>
      </c>
      <c r="T38" s="667" t="s">
        <v>14</v>
      </c>
      <c r="U38" s="668">
        <f t="shared" si="11"/>
        <v>100</v>
      </c>
      <c r="V38" s="667" t="s">
        <v>14</v>
      </c>
      <c r="W38" s="668">
        <f t="shared" si="12"/>
        <v>100</v>
      </c>
      <c r="X38" s="1265"/>
      <c r="Y38" s="33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6"/>
      <c r="Q39" s="1263">
        <f t="shared" si="14"/>
        <v>111</v>
      </c>
      <c r="R39" s="667" t="s">
        <v>14</v>
      </c>
      <c r="S39" s="668">
        <f t="shared" si="10"/>
        <v>100</v>
      </c>
      <c r="T39" s="667" t="s">
        <v>14</v>
      </c>
      <c r="U39" s="668">
        <f t="shared" si="11"/>
        <v>100</v>
      </c>
      <c r="V39" s="667" t="s">
        <v>14</v>
      </c>
      <c r="W39" s="668">
        <f t="shared" si="12"/>
        <v>100</v>
      </c>
      <c r="X39" s="1265"/>
      <c r="Y39" s="33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6"/>
      <c r="Q40" s="1263">
        <f t="shared" si="14"/>
        <v>111</v>
      </c>
      <c r="R40" s="669" t="s">
        <v>14</v>
      </c>
      <c r="S40" s="670">
        <f t="shared" si="10"/>
        <v>100</v>
      </c>
      <c r="T40" s="669" t="s">
        <v>14</v>
      </c>
      <c r="U40" s="670">
        <f t="shared" si="11"/>
        <v>100</v>
      </c>
      <c r="V40" s="669" t="s">
        <v>14</v>
      </c>
      <c r="W40" s="670">
        <f t="shared" si="12"/>
        <v>100</v>
      </c>
      <c r="X40" s="671"/>
      <c r="Y40" s="3366"/>
      <c r="Z40" s="672">
        <f t="shared" si="13"/>
        <v>111</v>
      </c>
      <c r="AA40" s="1264">
        <f t="shared" si="3"/>
        <v>1</v>
      </c>
      <c r="AB40" s="1264">
        <f t="shared" si="4"/>
        <v>1</v>
      </c>
      <c r="AC40" s="1264">
        <f t="shared" si="5"/>
        <v>1</v>
      </c>
    </row>
    <row r="41" spans="1:31" ht="15">
      <c r="A41" s="416" t="s">
        <v>1844</v>
      </c>
      <c r="B41" s="1830" t="s">
        <v>1921</v>
      </c>
      <c r="C41" s="602" t="s">
        <v>0</v>
      </c>
      <c r="D41" s="418"/>
      <c r="E41" s="419"/>
      <c r="F41" s="420"/>
      <c r="G41" s="421"/>
      <c r="H41" s="422"/>
      <c r="I41" s="419"/>
      <c r="J41" s="422"/>
      <c r="K41" s="674"/>
      <c r="L41" s="2495"/>
      <c r="M41" s="2488"/>
      <c r="N41" s="2488"/>
      <c r="O41" s="2488"/>
      <c r="P41" s="3359" t="str">
        <f>A41</f>
        <v>成交单价</v>
      </c>
      <c r="Q41" s="3359"/>
      <c r="R41" s="3360">
        <f>E41</f>
        <v>0</v>
      </c>
      <c r="S41" s="3360"/>
      <c r="T41" s="3360">
        <f>G41</f>
        <v>0</v>
      </c>
      <c r="U41" s="3360"/>
      <c r="V41" s="3360">
        <f>I41</f>
        <v>0</v>
      </c>
      <c r="W41" s="3360"/>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59" t="str">
        <f>A42</f>
        <v>比较价值（元/平方米）</v>
      </c>
      <c r="Q42" s="3359"/>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6" t="str">
        <f>A43</f>
        <v>估价对象XX用房的比较价值（楼面单价，元/平方米）</v>
      </c>
      <c r="Q43" s="3357"/>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74" t="s">
        <v>1886</v>
      </c>
      <c r="H50" s="3420"/>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8821.64</v>
      </c>
      <c r="F51" s="611" t="e">
        <f t="shared" ref="F51:F60" si="15">ROUND(B51*E51/10000,0)</f>
        <v>#DIV/0!</v>
      </c>
      <c r="G51" s="3370"/>
      <c r="H51" s="335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881.68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1959</v>
      </c>
      <c r="X8" s="3436"/>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2" t="s">
        <v>3245</v>
      </c>
      <c r="B20" s="159" t="s">
        <v>1993</v>
      </c>
      <c r="C20" s="3032" t="e">
        <f>ROUND(IF(F21="与级别开发程度一致",0,(G21-E21)/C21),0)</f>
        <v>#DIV/0!</v>
      </c>
      <c r="D20" s="3047" t="s">
        <v>1997</v>
      </c>
      <c r="E20" s="3048"/>
      <c r="F20" s="3448" t="s">
        <v>1994</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3"/>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2001</v>
      </c>
      <c r="E23" s="717">
        <v>44197</v>
      </c>
      <c r="F23" s="1896" t="s">
        <v>2002</v>
      </c>
      <c r="G23" s="718">
        <f>'数据-取费表'!B2</f>
        <v>45628</v>
      </c>
      <c r="H23" s="3049" t="s">
        <v>3247</v>
      </c>
      <c r="I23" s="3050" t="str">
        <f>IF(H23="季度增幅（自定义）",SUMIF(N25:N28,E2,O25:O28),"")</f>
        <v/>
      </c>
      <c r="J23" s="3142" t="s">
        <v>3246</v>
      </c>
      <c r="K23" s="1061"/>
      <c r="L23" s="1897" t="s">
        <v>2003</v>
      </c>
      <c r="M23" s="1241">
        <f>ROUND(SUMIF(地价!B2:G2,E2,地价!B16:G16),0)</f>
        <v>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存贷款利率!E27/100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3252</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38.25">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3285</v>
      </c>
      <c r="B103" s="3444"/>
      <c r="C103" s="3444"/>
      <c r="D103" s="3444"/>
      <c r="E103" s="3444"/>
      <c r="F103" s="3444"/>
      <c r="G103" s="3444"/>
      <c r="H103" s="3444"/>
      <c r="I103" s="3444"/>
      <c r="J103" s="3444"/>
      <c r="K103" s="1667"/>
      <c r="L103" s="1667"/>
      <c r="M103" s="1667"/>
      <c r="N103" s="1667"/>
    </row>
    <row r="104" spans="1:14">
      <c r="A104" s="3445" t="s">
        <v>3286</v>
      </c>
      <c r="B104" s="3445" t="s">
        <v>3287</v>
      </c>
      <c r="C104" s="3091" t="s">
        <v>3288</v>
      </c>
      <c r="D104" s="3092"/>
      <c r="E104" s="3092"/>
      <c r="F104" s="3092"/>
      <c r="G104" s="3092"/>
      <c r="H104" s="3092"/>
      <c r="I104" s="3092"/>
      <c r="J104" s="3093"/>
      <c r="K104" s="3094"/>
      <c r="L104" s="3094"/>
      <c r="M104" s="3094"/>
      <c r="N104" s="3094"/>
    </row>
    <row r="105" spans="1:14">
      <c r="A105" s="3445"/>
      <c r="B105" s="344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3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3302</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1662</v>
      </c>
    </row>
    <row r="6" spans="1:5" ht="15.75">
      <c r="B6" s="3147"/>
      <c r="C6" s="1392" t="s">
        <v>911</v>
      </c>
      <c r="D6" s="797" t="str">
        <f ca="1">NUMBERSTRING(INT(D5*10000),2)&amp;"元整"</f>
        <v>壹仟陆佰陆拾贰万元整</v>
      </c>
    </row>
    <row r="7" spans="1:5" ht="15.75">
      <c r="B7" s="3152"/>
      <c r="C7" s="1393" t="s">
        <v>912</v>
      </c>
      <c r="D7" s="798">
        <f ca="1">结果表!H102</f>
        <v>8795</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1662</v>
      </c>
    </row>
    <row r="14" spans="1:5" ht="15.75">
      <c r="B14" s="3147"/>
      <c r="C14" s="1392" t="s">
        <v>911</v>
      </c>
      <c r="D14" s="797" t="str">
        <f ca="1">NUMBERSTRING(INT(D13*10000),2)&amp;"元整"</f>
        <v>壹仟陆佰陆拾贰万元整</v>
      </c>
    </row>
    <row r="15" spans="1:5" ht="15">
      <c r="B15" s="3152"/>
      <c r="C15" s="1393" t="s">
        <v>921</v>
      </c>
      <c r="D15" s="806">
        <f ca="1">结果表!H108</f>
        <v>8795</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59" t="s">
        <v>2598</v>
      </c>
      <c r="B20" s="3454" t="s">
        <v>2619</v>
      </c>
      <c r="C20" s="2843" t="s">
        <v>2430</v>
      </c>
      <c r="D20" s="2844"/>
      <c r="E20" s="2845">
        <v>1</v>
      </c>
      <c r="F20" s="2846" t="s">
        <v>2431</v>
      </c>
      <c r="G20" s="2846"/>
    </row>
    <row r="21" spans="1:13" ht="19.5" customHeight="1">
      <c r="A21" s="3460"/>
      <c r="B21" s="3453"/>
      <c r="C21" s="2847" t="s">
        <v>2432</v>
      </c>
      <c r="D21" s="2848"/>
      <c r="E21" s="2849">
        <v>1</v>
      </c>
      <c r="F21" s="2846" t="s">
        <v>2433</v>
      </c>
      <c r="G21" s="2846"/>
    </row>
    <row r="22" spans="1:13" ht="19.5" customHeight="1">
      <c r="A22" s="3460"/>
      <c r="B22" s="3453"/>
      <c r="C22" s="2847" t="s">
        <v>2434</v>
      </c>
      <c r="D22" s="2848"/>
      <c r="E22" s="2849">
        <v>0.9</v>
      </c>
      <c r="F22" s="2846" t="s">
        <v>2435</v>
      </c>
      <c r="G22" s="2846"/>
    </row>
    <row r="23" spans="1:13" ht="19.5" customHeight="1">
      <c r="A23" s="3460"/>
      <c r="B23" s="3453"/>
      <c r="C23" s="2847" t="s">
        <v>2436</v>
      </c>
      <c r="D23" s="2848"/>
      <c r="E23" s="2849">
        <v>0.9</v>
      </c>
      <c r="F23" s="2846" t="s">
        <v>2437</v>
      </c>
      <c r="G23" s="2846"/>
    </row>
    <row r="24" spans="1:13" ht="19.5" customHeight="1">
      <c r="A24" s="3460"/>
      <c r="B24" s="3453"/>
      <c r="C24" s="2847" t="s">
        <v>2438</v>
      </c>
      <c r="D24" s="2848"/>
      <c r="E24" s="2849">
        <v>0.8</v>
      </c>
      <c r="F24" s="2846" t="s">
        <v>2439</v>
      </c>
      <c r="G24" s="2846"/>
    </row>
    <row r="25" spans="1:13" ht="19.5" customHeight="1" thickBot="1">
      <c r="A25" s="3461"/>
      <c r="B25" s="345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56" t="s">
        <v>2622</v>
      </c>
      <c r="B27" s="3454" t="s">
        <v>2603</v>
      </c>
      <c r="C27" s="2843" t="s">
        <v>2443</v>
      </c>
      <c r="D27" s="2844"/>
      <c r="E27" s="2845">
        <v>1</v>
      </c>
      <c r="F27" s="2846" t="s">
        <v>2444</v>
      </c>
      <c r="G27" s="2846"/>
    </row>
    <row r="28" spans="1:13" ht="19.5" customHeight="1">
      <c r="A28" s="3457"/>
      <c r="B28" s="3453"/>
      <c r="C28" s="2847" t="s">
        <v>2445</v>
      </c>
      <c r="D28" s="2848"/>
      <c r="E28" s="2849">
        <v>1</v>
      </c>
      <c r="F28" s="2846" t="s">
        <v>2446</v>
      </c>
      <c r="G28" s="2846"/>
    </row>
    <row r="29" spans="1:13" ht="19.5" customHeight="1">
      <c r="A29" s="3457"/>
      <c r="B29" s="3453"/>
      <c r="C29" s="2847" t="s">
        <v>2447</v>
      </c>
      <c r="D29" s="2848"/>
      <c r="E29" s="2849">
        <v>0.8</v>
      </c>
      <c r="F29" s="2846" t="s">
        <v>2448</v>
      </c>
      <c r="G29" s="2846"/>
    </row>
    <row r="30" spans="1:13" ht="19.5" customHeight="1">
      <c r="A30" s="3457"/>
      <c r="B30" s="3453"/>
      <c r="C30" s="2847" t="s">
        <v>2449</v>
      </c>
      <c r="D30" s="2848"/>
      <c r="E30" s="2849">
        <v>0.8</v>
      </c>
      <c r="F30" s="2846" t="s">
        <v>2450</v>
      </c>
      <c r="G30" s="2846"/>
    </row>
    <row r="31" spans="1:13" ht="19.5" customHeight="1">
      <c r="A31" s="3457"/>
      <c r="B31" s="3453"/>
      <c r="C31" s="2847" t="s">
        <v>2451</v>
      </c>
      <c r="D31" s="2848"/>
      <c r="E31" s="2849">
        <v>0.8</v>
      </c>
      <c r="F31" s="2846" t="s">
        <v>2452</v>
      </c>
      <c r="G31" s="2846"/>
    </row>
    <row r="32" spans="1:13" ht="19.5" customHeight="1">
      <c r="A32" s="3457"/>
      <c r="B32" s="3453"/>
      <c r="C32" s="2847" t="s">
        <v>2453</v>
      </c>
      <c r="D32" s="2848"/>
      <c r="E32" s="2849">
        <v>0.7</v>
      </c>
      <c r="F32" s="2846" t="s">
        <v>2454</v>
      </c>
      <c r="G32" s="2846"/>
    </row>
    <row r="33" spans="1:7" ht="19.5" customHeight="1">
      <c r="A33" s="3457"/>
      <c r="B33" s="3453"/>
      <c r="C33" s="2847" t="s">
        <v>2455</v>
      </c>
      <c r="D33" s="2848"/>
      <c r="E33" s="2849">
        <v>0.8</v>
      </c>
      <c r="F33" s="2846" t="s">
        <v>2456</v>
      </c>
      <c r="G33" s="2846"/>
    </row>
    <row r="34" spans="1:7" ht="19.5" customHeight="1">
      <c r="A34" s="3457"/>
      <c r="B34" s="3453"/>
      <c r="C34" s="2847" t="s">
        <v>2457</v>
      </c>
      <c r="D34" s="2848"/>
      <c r="E34" s="2849">
        <v>0.6</v>
      </c>
      <c r="F34" s="2846" t="s">
        <v>2458</v>
      </c>
      <c r="G34" s="2846"/>
    </row>
    <row r="35" spans="1:7" ht="19.5" customHeight="1">
      <c r="A35" s="3457"/>
      <c r="B35" s="3453"/>
      <c r="C35" s="2847" t="s">
        <v>2459</v>
      </c>
      <c r="D35" s="2848"/>
      <c r="E35" s="2849">
        <v>0.2</v>
      </c>
      <c r="F35" s="2846" t="s">
        <v>2460</v>
      </c>
      <c r="G35" s="2846"/>
    </row>
    <row r="36" spans="1:7" ht="19.5" customHeight="1">
      <c r="A36" s="3457"/>
      <c r="B36" s="3453"/>
      <c r="C36" s="2847" t="s">
        <v>2461</v>
      </c>
      <c r="D36" s="2848"/>
      <c r="E36" s="2849">
        <v>0.2</v>
      </c>
      <c r="F36" s="2846" t="s">
        <v>2462</v>
      </c>
      <c r="G36" s="2846"/>
    </row>
    <row r="37" spans="1:7" ht="19.5" customHeight="1">
      <c r="A37" s="3457"/>
      <c r="B37" s="3451" t="s">
        <v>2623</v>
      </c>
      <c r="C37" s="2847" t="s">
        <v>2463</v>
      </c>
      <c r="D37" s="2848"/>
      <c r="E37" s="2849">
        <v>0.6</v>
      </c>
      <c r="F37" s="2846" t="s">
        <v>2464</v>
      </c>
      <c r="G37" s="2846"/>
    </row>
    <row r="38" spans="1:7" ht="19.5" customHeight="1">
      <c r="A38" s="3457"/>
      <c r="B38" s="3453"/>
      <c r="C38" s="2847" t="s">
        <v>2465</v>
      </c>
      <c r="D38" s="2848"/>
      <c r="E38" s="2849">
        <v>0.6</v>
      </c>
      <c r="F38" s="2846" t="s">
        <v>2466</v>
      </c>
      <c r="G38" s="2846"/>
    </row>
    <row r="39" spans="1:7" ht="19.5" customHeight="1" thickBot="1">
      <c r="A39" s="3458"/>
      <c r="B39" s="345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59" t="s">
        <v>2601</v>
      </c>
      <c r="B41" s="3454" t="s">
        <v>2625</v>
      </c>
      <c r="C41" s="2843" t="s">
        <v>2470</v>
      </c>
      <c r="D41" s="2844"/>
      <c r="E41" s="2845">
        <v>1</v>
      </c>
      <c r="F41" s="2846" t="s">
        <v>2471</v>
      </c>
      <c r="G41" s="2846"/>
    </row>
    <row r="42" spans="1:7" ht="19.5" customHeight="1">
      <c r="A42" s="3460"/>
      <c r="B42" s="3453"/>
      <c r="C42" s="2847" t="s">
        <v>2472</v>
      </c>
      <c r="D42" s="2848"/>
      <c r="E42" s="2849">
        <v>1</v>
      </c>
      <c r="F42" s="2846" t="s">
        <v>2473</v>
      </c>
      <c r="G42" s="2846"/>
    </row>
    <row r="43" spans="1:7" ht="19.5" customHeight="1">
      <c r="A43" s="3460"/>
      <c r="B43" s="3452"/>
      <c r="C43" s="2847" t="s">
        <v>2474</v>
      </c>
      <c r="D43" s="2848"/>
      <c r="E43" s="2849">
        <v>1.5</v>
      </c>
      <c r="F43" s="2846" t="s">
        <v>2475</v>
      </c>
      <c r="G43" s="2846"/>
    </row>
    <row r="44" spans="1:7" ht="19.5" customHeight="1">
      <c r="A44" s="3460"/>
      <c r="B44" s="2858" t="s">
        <v>2626</v>
      </c>
      <c r="C44" s="2847" t="s">
        <v>2627</v>
      </c>
      <c r="D44" s="2848"/>
      <c r="E44" s="2849">
        <v>2</v>
      </c>
      <c r="F44" s="2846" t="s">
        <v>2476</v>
      </c>
      <c r="G44" s="2846"/>
    </row>
    <row r="45" spans="1:7" ht="19.5" customHeight="1">
      <c r="A45" s="3460"/>
      <c r="B45" s="3451" t="s">
        <v>2628</v>
      </c>
      <c r="C45" s="2847" t="s">
        <v>2477</v>
      </c>
      <c r="D45" s="2848"/>
      <c r="E45" s="2849">
        <v>1</v>
      </c>
      <c r="F45" s="2846" t="s">
        <v>2478</v>
      </c>
      <c r="G45" s="2846"/>
    </row>
    <row r="46" spans="1:7" ht="19.5" customHeight="1">
      <c r="A46" s="3460"/>
      <c r="B46" s="3453"/>
      <c r="C46" s="2847" t="s">
        <v>2479</v>
      </c>
      <c r="D46" s="2848"/>
      <c r="E46" s="2849">
        <v>1</v>
      </c>
      <c r="F46" s="2846" t="s">
        <v>2480</v>
      </c>
      <c r="G46" s="2846"/>
    </row>
    <row r="47" spans="1:7" ht="19.5" customHeight="1">
      <c r="A47" s="3460"/>
      <c r="B47" s="3453"/>
      <c r="C47" s="2847" t="s">
        <v>2481</v>
      </c>
      <c r="D47" s="2848"/>
      <c r="E47" s="2849">
        <v>1</v>
      </c>
      <c r="F47" s="2846" t="s">
        <v>2482</v>
      </c>
      <c r="G47" s="2846"/>
    </row>
    <row r="48" spans="1:7" ht="19.5" customHeight="1">
      <c r="A48" s="3460"/>
      <c r="B48" s="3453"/>
      <c r="C48" s="2847" t="s">
        <v>2483</v>
      </c>
      <c r="D48" s="2848"/>
      <c r="E48" s="2849">
        <v>1</v>
      </c>
      <c r="F48" s="2846" t="s">
        <v>2484</v>
      </c>
      <c r="G48" s="2846"/>
    </row>
    <row r="49" spans="1:7" ht="19.5" customHeight="1">
      <c r="A49" s="3460"/>
      <c r="B49" s="3453"/>
      <c r="C49" s="2847" t="s">
        <v>2485</v>
      </c>
      <c r="D49" s="2848"/>
      <c r="E49" s="2849">
        <v>1</v>
      </c>
      <c r="F49" s="2846" t="s">
        <v>2486</v>
      </c>
      <c r="G49" s="2846"/>
    </row>
    <row r="50" spans="1:7" ht="19.5" customHeight="1">
      <c r="A50" s="3460"/>
      <c r="B50" s="3453"/>
      <c r="C50" s="2847" t="s">
        <v>2487</v>
      </c>
      <c r="D50" s="2848"/>
      <c r="E50" s="2849">
        <v>1</v>
      </c>
      <c r="F50" s="2846" t="s">
        <v>2488</v>
      </c>
      <c r="G50" s="2846"/>
    </row>
    <row r="51" spans="1:7" ht="19.5" customHeight="1" thickBot="1">
      <c r="A51" s="3461"/>
      <c r="B51" s="345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51" t="s">
        <v>2642</v>
      </c>
      <c r="C73" s="2832" t="s">
        <v>2643</v>
      </c>
      <c r="D73" s="2832" t="s">
        <v>2644</v>
      </c>
      <c r="E73" s="2858">
        <v>0.2</v>
      </c>
      <c r="F73" s="2858">
        <v>25</v>
      </c>
    </row>
    <row r="74" spans="1:7" ht="24">
      <c r="A74" s="2858">
        <v>2</v>
      </c>
      <c r="B74" s="3453"/>
      <c r="C74" s="2832" t="s">
        <v>2645</v>
      </c>
      <c r="D74" s="2832" t="s">
        <v>2646</v>
      </c>
      <c r="E74" s="2858">
        <v>0.2</v>
      </c>
      <c r="F74" s="2858">
        <v>25</v>
      </c>
    </row>
    <row r="75" spans="1:7" ht="24">
      <c r="A75" s="2858">
        <v>3</v>
      </c>
      <c r="B75" s="3453"/>
      <c r="C75" s="2832" t="s">
        <v>2647</v>
      </c>
      <c r="D75" s="2832" t="s">
        <v>2648</v>
      </c>
      <c r="E75" s="2858">
        <v>0.2</v>
      </c>
      <c r="F75" s="2858">
        <v>25</v>
      </c>
    </row>
    <row r="76" spans="1:7" ht="13.5">
      <c r="A76" s="2858">
        <v>4</v>
      </c>
      <c r="B76" s="3453"/>
      <c r="C76" s="2832" t="s">
        <v>2649</v>
      </c>
      <c r="D76" s="2832" t="s">
        <v>2650</v>
      </c>
      <c r="E76" s="2858">
        <v>0.15</v>
      </c>
      <c r="F76" s="2858">
        <v>20</v>
      </c>
    </row>
    <row r="77" spans="1:7" ht="24">
      <c r="A77" s="2858">
        <v>5</v>
      </c>
      <c r="B77" s="3453"/>
      <c r="C77" s="2832" t="s">
        <v>2651</v>
      </c>
      <c r="D77" s="2832" t="s">
        <v>2652</v>
      </c>
      <c r="E77" s="2858">
        <v>0.15</v>
      </c>
      <c r="F77" s="2858">
        <v>20</v>
      </c>
    </row>
    <row r="78" spans="1:7" ht="24">
      <c r="A78" s="2858">
        <v>6</v>
      </c>
      <c r="B78" s="3453"/>
      <c r="C78" s="2832" t="s">
        <v>2653</v>
      </c>
      <c r="D78" s="2832" t="s">
        <v>2654</v>
      </c>
      <c r="E78" s="2858">
        <v>0.15</v>
      </c>
      <c r="F78" s="2858">
        <v>20</v>
      </c>
    </row>
    <row r="79" spans="1:7" ht="24">
      <c r="A79" s="2858">
        <v>7</v>
      </c>
      <c r="B79" s="3453"/>
      <c r="C79" s="2832" t="s">
        <v>2655</v>
      </c>
      <c r="D79" s="2832" t="s">
        <v>2656</v>
      </c>
      <c r="E79" s="2858">
        <v>0.15</v>
      </c>
      <c r="F79" s="2858">
        <v>20</v>
      </c>
    </row>
    <row r="80" spans="1:7" ht="24">
      <c r="A80" s="2858">
        <v>8</v>
      </c>
      <c r="B80" s="3453"/>
      <c r="C80" s="2832" t="s">
        <v>2657</v>
      </c>
      <c r="D80" s="2832" t="s">
        <v>2658</v>
      </c>
      <c r="E80" s="2858">
        <v>0.1</v>
      </c>
      <c r="F80" s="2858">
        <v>15</v>
      </c>
    </row>
    <row r="81" spans="1:6" ht="24">
      <c r="A81" s="2858">
        <v>9</v>
      </c>
      <c r="B81" s="3453"/>
      <c r="C81" s="2832" t="s">
        <v>2659</v>
      </c>
      <c r="D81" s="2832" t="s">
        <v>2660</v>
      </c>
      <c r="E81" s="2858">
        <v>0.1</v>
      </c>
      <c r="F81" s="2858">
        <v>15</v>
      </c>
    </row>
    <row r="82" spans="1:6" ht="24">
      <c r="A82" s="2858">
        <v>10</v>
      </c>
      <c r="B82" s="3453"/>
      <c r="C82" s="2832" t="s">
        <v>2661</v>
      </c>
      <c r="D82" s="2832" t="s">
        <v>2662</v>
      </c>
      <c r="E82" s="2858">
        <v>0.1</v>
      </c>
      <c r="F82" s="2858">
        <v>15</v>
      </c>
    </row>
    <row r="83" spans="1:6" ht="24">
      <c r="A83" s="2858">
        <v>11</v>
      </c>
      <c r="B83" s="3453"/>
      <c r="C83" s="2832" t="s">
        <v>2663</v>
      </c>
      <c r="D83" s="2832" t="s">
        <v>2664</v>
      </c>
      <c r="E83" s="2858">
        <v>0.1</v>
      </c>
      <c r="F83" s="2858">
        <v>15</v>
      </c>
    </row>
    <row r="84" spans="1:6" ht="24">
      <c r="A84" s="2858">
        <v>12</v>
      </c>
      <c r="B84" s="3453"/>
      <c r="C84" s="2832" t="s">
        <v>2665</v>
      </c>
      <c r="D84" s="2832" t="s">
        <v>2666</v>
      </c>
      <c r="E84" s="2858">
        <v>0.1</v>
      </c>
      <c r="F84" s="2858">
        <v>15</v>
      </c>
    </row>
    <row r="85" spans="1:6" ht="13.5">
      <c r="A85" s="2858">
        <v>13</v>
      </c>
      <c r="B85" s="3453"/>
      <c r="C85" s="2832" t="s">
        <v>2667</v>
      </c>
      <c r="D85" s="2832" t="s">
        <v>2668</v>
      </c>
      <c r="E85" s="2858">
        <v>0.1</v>
      </c>
      <c r="F85" s="2858">
        <v>15</v>
      </c>
    </row>
    <row r="86" spans="1:6" ht="13.5">
      <c r="A86" s="2858">
        <v>14</v>
      </c>
      <c r="B86" s="3453"/>
      <c r="C86" s="2832" t="s">
        <v>2669</v>
      </c>
      <c r="D86" s="2832" t="s">
        <v>2670</v>
      </c>
      <c r="E86" s="2858">
        <v>0.1</v>
      </c>
      <c r="F86" s="2858">
        <v>15</v>
      </c>
    </row>
    <row r="87" spans="1:6" ht="13.5">
      <c r="A87" s="2858">
        <v>15</v>
      </c>
      <c r="B87" s="3453"/>
      <c r="C87" s="2832" t="s">
        <v>2671</v>
      </c>
      <c r="D87" s="2832" t="s">
        <v>2672</v>
      </c>
      <c r="E87" s="2858">
        <v>0.1</v>
      </c>
      <c r="F87" s="2858">
        <v>15</v>
      </c>
    </row>
    <row r="88" spans="1:6" ht="24">
      <c r="A88" s="2858">
        <v>16</v>
      </c>
      <c r="B88" s="3453"/>
      <c r="C88" s="2832" t="s">
        <v>2673</v>
      </c>
      <c r="D88" s="2832" t="s">
        <v>2674</v>
      </c>
      <c r="E88" s="2858">
        <v>0.1</v>
      </c>
      <c r="F88" s="2858">
        <v>15</v>
      </c>
    </row>
    <row r="89" spans="1:6" ht="24">
      <c r="A89" s="2858">
        <v>17</v>
      </c>
      <c r="B89" s="3452"/>
      <c r="C89" s="2832" t="s">
        <v>2675</v>
      </c>
      <c r="D89" s="2832" t="s">
        <v>2676</v>
      </c>
      <c r="E89" s="2858">
        <v>0.1</v>
      </c>
      <c r="F89" s="2858">
        <v>15</v>
      </c>
    </row>
    <row r="90" spans="1:6" ht="13.5">
      <c r="A90" s="2858">
        <v>18</v>
      </c>
      <c r="B90" s="3451" t="s">
        <v>2677</v>
      </c>
      <c r="C90" s="2832" t="s">
        <v>2678</v>
      </c>
      <c r="D90" s="2832" t="s">
        <v>2679</v>
      </c>
      <c r="E90" s="2858">
        <v>0.2</v>
      </c>
      <c r="F90" s="2858">
        <v>25</v>
      </c>
    </row>
    <row r="91" spans="1:6" ht="24">
      <c r="A91" s="2858">
        <v>19</v>
      </c>
      <c r="B91" s="3453"/>
      <c r="C91" s="2832" t="s">
        <v>2680</v>
      </c>
      <c r="D91" s="2832" t="s">
        <v>2681</v>
      </c>
      <c r="E91" s="2858">
        <v>0.2</v>
      </c>
      <c r="F91" s="2858">
        <v>25</v>
      </c>
    </row>
    <row r="92" spans="1:6" ht="13.5">
      <c r="A92" s="2858">
        <v>20</v>
      </c>
      <c r="B92" s="3453"/>
      <c r="C92" s="2832" t="s">
        <v>2682</v>
      </c>
      <c r="D92" s="2832" t="s">
        <v>2683</v>
      </c>
      <c r="E92" s="2858">
        <v>0.15</v>
      </c>
      <c r="F92" s="2858">
        <v>20</v>
      </c>
    </row>
    <row r="93" spans="1:6" ht="13.5">
      <c r="A93" s="2858">
        <v>21</v>
      </c>
      <c r="B93" s="3453"/>
      <c r="C93" s="2832" t="s">
        <v>2684</v>
      </c>
      <c r="D93" s="2832" t="s">
        <v>2685</v>
      </c>
      <c r="E93" s="2858">
        <v>0.15</v>
      </c>
      <c r="F93" s="2858">
        <v>20</v>
      </c>
    </row>
    <row r="94" spans="1:6" ht="13.5">
      <c r="A94" s="2858">
        <v>22</v>
      </c>
      <c r="B94" s="3453"/>
      <c r="C94" s="2832" t="s">
        <v>2686</v>
      </c>
      <c r="D94" s="2832" t="s">
        <v>2687</v>
      </c>
      <c r="E94" s="2858">
        <v>0.15</v>
      </c>
      <c r="F94" s="2858">
        <v>20</v>
      </c>
    </row>
    <row r="95" spans="1:6" ht="36">
      <c r="A95" s="2858">
        <v>23</v>
      </c>
      <c r="B95" s="3453"/>
      <c r="C95" s="2832" t="s">
        <v>2688</v>
      </c>
      <c r="D95" s="2832" t="s">
        <v>2689</v>
      </c>
      <c r="E95" s="2858">
        <v>0.15</v>
      </c>
      <c r="F95" s="2858">
        <v>20</v>
      </c>
    </row>
    <row r="96" spans="1:6" ht="13.5">
      <c r="A96" s="2858">
        <v>24</v>
      </c>
      <c r="B96" s="3453"/>
      <c r="C96" s="2832" t="s">
        <v>2690</v>
      </c>
      <c r="D96" s="2832" t="s">
        <v>2691</v>
      </c>
      <c r="E96" s="2858">
        <v>0.1</v>
      </c>
      <c r="F96" s="2858">
        <v>15</v>
      </c>
    </row>
    <row r="97" spans="1:6" ht="13.5">
      <c r="A97" s="2858">
        <v>25</v>
      </c>
      <c r="B97" s="3453"/>
      <c r="C97" s="2832" t="s">
        <v>2692</v>
      </c>
      <c r="D97" s="2832" t="s">
        <v>2693</v>
      </c>
      <c r="E97" s="2858">
        <v>0.1</v>
      </c>
      <c r="F97" s="2858">
        <v>15</v>
      </c>
    </row>
    <row r="98" spans="1:6" ht="24">
      <c r="A98" s="2858">
        <v>26</v>
      </c>
      <c r="B98" s="3453"/>
      <c r="C98" s="2832" t="s">
        <v>2694</v>
      </c>
      <c r="D98" s="2832" t="s">
        <v>2695</v>
      </c>
      <c r="E98" s="2858">
        <v>0.1</v>
      </c>
      <c r="F98" s="2858">
        <v>15</v>
      </c>
    </row>
    <row r="99" spans="1:6" ht="24">
      <c r="A99" s="2858">
        <v>27</v>
      </c>
      <c r="B99" s="3453"/>
      <c r="C99" s="2832" t="s">
        <v>2696</v>
      </c>
      <c r="D99" s="2832" t="s">
        <v>2697</v>
      </c>
      <c r="E99" s="2858">
        <v>0.1</v>
      </c>
      <c r="F99" s="2858">
        <v>15</v>
      </c>
    </row>
    <row r="100" spans="1:6" ht="13.5">
      <c r="A100" s="2858">
        <v>28</v>
      </c>
      <c r="B100" s="3453"/>
      <c r="C100" s="2832" t="s">
        <v>2698</v>
      </c>
      <c r="D100" s="2832" t="s">
        <v>2699</v>
      </c>
      <c r="E100" s="2858">
        <v>0.1</v>
      </c>
      <c r="F100" s="2858">
        <v>15</v>
      </c>
    </row>
    <row r="101" spans="1:6" ht="13.5">
      <c r="A101" s="2858">
        <v>29</v>
      </c>
      <c r="B101" s="3453"/>
      <c r="C101" s="2832" t="s">
        <v>2700</v>
      </c>
      <c r="D101" s="2832" t="s">
        <v>2701</v>
      </c>
      <c r="E101" s="2858">
        <v>0.1</v>
      </c>
      <c r="F101" s="2858">
        <v>15</v>
      </c>
    </row>
    <row r="102" spans="1:6" ht="13.5">
      <c r="A102" s="2858">
        <v>30</v>
      </c>
      <c r="B102" s="3453"/>
      <c r="C102" s="2832" t="s">
        <v>2702</v>
      </c>
      <c r="D102" s="2832" t="s">
        <v>2703</v>
      </c>
      <c r="E102" s="2858">
        <v>0.1</v>
      </c>
      <c r="F102" s="2858">
        <v>15</v>
      </c>
    </row>
    <row r="103" spans="1:6" ht="24">
      <c r="A103" s="2858">
        <v>31</v>
      </c>
      <c r="B103" s="3453"/>
      <c r="C103" s="2832" t="s">
        <v>2704</v>
      </c>
      <c r="D103" s="2832" t="s">
        <v>2705</v>
      </c>
      <c r="E103" s="2858">
        <v>0.1</v>
      </c>
      <c r="F103" s="2858">
        <v>15</v>
      </c>
    </row>
    <row r="104" spans="1:6" ht="24">
      <c r="A104" s="2858">
        <v>32</v>
      </c>
      <c r="B104" s="3453"/>
      <c r="C104" s="2832" t="s">
        <v>2706</v>
      </c>
      <c r="D104" s="2832" t="s">
        <v>2707</v>
      </c>
      <c r="E104" s="2858">
        <v>0.1</v>
      </c>
      <c r="F104" s="2858">
        <v>15</v>
      </c>
    </row>
    <row r="105" spans="1:6" ht="24">
      <c r="A105" s="2858">
        <v>33</v>
      </c>
      <c r="B105" s="3453"/>
      <c r="C105" s="2832" t="s">
        <v>2708</v>
      </c>
      <c r="D105" s="2832" t="s">
        <v>2709</v>
      </c>
      <c r="E105" s="2858">
        <v>0.1</v>
      </c>
      <c r="F105" s="2858">
        <v>15</v>
      </c>
    </row>
    <row r="106" spans="1:6" ht="24">
      <c r="A106" s="2858">
        <v>34</v>
      </c>
      <c r="B106" s="3452"/>
      <c r="C106" s="2832" t="s">
        <v>2710</v>
      </c>
      <c r="D106" s="2832" t="s">
        <v>2711</v>
      </c>
      <c r="E106" s="2858">
        <v>0.1</v>
      </c>
      <c r="F106" s="2858">
        <v>15</v>
      </c>
    </row>
    <row r="107" spans="1:6" ht="24">
      <c r="A107" s="2858">
        <v>35</v>
      </c>
      <c r="B107" s="3451" t="s">
        <v>2712</v>
      </c>
      <c r="C107" s="2858" t="s">
        <v>2713</v>
      </c>
      <c r="D107" s="2832" t="s">
        <v>2714</v>
      </c>
      <c r="E107" s="2858">
        <v>0.15</v>
      </c>
      <c r="F107" s="2858">
        <v>20</v>
      </c>
    </row>
    <row r="108" spans="1:6" ht="13.5">
      <c r="A108" s="2858">
        <v>36</v>
      </c>
      <c r="B108" s="3453"/>
      <c r="C108" s="2858" t="s">
        <v>2715</v>
      </c>
      <c r="D108" s="2832" t="s">
        <v>2716</v>
      </c>
      <c r="E108" s="2858">
        <v>0.15</v>
      </c>
      <c r="F108" s="2858">
        <v>20</v>
      </c>
    </row>
    <row r="109" spans="1:6" ht="13.5">
      <c r="A109" s="2858">
        <v>37</v>
      </c>
      <c r="B109" s="3453"/>
      <c r="C109" s="2858" t="s">
        <v>2717</v>
      </c>
      <c r="D109" s="2832" t="s">
        <v>2718</v>
      </c>
      <c r="E109" s="2858">
        <v>0.15</v>
      </c>
      <c r="F109" s="2858">
        <v>20</v>
      </c>
    </row>
    <row r="110" spans="1:6" ht="13.5">
      <c r="A110" s="2858">
        <v>38</v>
      </c>
      <c r="B110" s="3453"/>
      <c r="C110" s="2858" t="s">
        <v>2719</v>
      </c>
      <c r="D110" s="2832" t="s">
        <v>2720</v>
      </c>
      <c r="E110" s="2858">
        <v>0.1</v>
      </c>
      <c r="F110" s="2858">
        <v>15</v>
      </c>
    </row>
    <row r="111" spans="1:6" ht="24">
      <c r="A111" s="2858">
        <v>39</v>
      </c>
      <c r="B111" s="3453"/>
      <c r="C111" s="2858" t="s">
        <v>2721</v>
      </c>
      <c r="D111" s="2832" t="s">
        <v>2722</v>
      </c>
      <c r="E111" s="2858">
        <v>0.1</v>
      </c>
      <c r="F111" s="2858">
        <v>15</v>
      </c>
    </row>
    <row r="112" spans="1:6" ht="24">
      <c r="A112" s="2858">
        <v>40</v>
      </c>
      <c r="B112" s="3452"/>
      <c r="C112" s="2858" t="s">
        <v>2723</v>
      </c>
      <c r="D112" s="2832" t="s">
        <v>2724</v>
      </c>
      <c r="E112" s="2858">
        <v>0.1</v>
      </c>
      <c r="F112" s="2858">
        <v>15</v>
      </c>
    </row>
    <row r="113" spans="1:6" ht="13.5">
      <c r="A113" s="2858">
        <v>41</v>
      </c>
      <c r="B113" s="3450" t="s">
        <v>2725</v>
      </c>
      <c r="C113" s="2858" t="s">
        <v>2726</v>
      </c>
      <c r="D113" s="2832" t="s">
        <v>2727</v>
      </c>
      <c r="E113" s="2858">
        <v>0.1</v>
      </c>
      <c r="F113" s="2858">
        <v>15</v>
      </c>
    </row>
    <row r="114" spans="1:6" ht="13.5">
      <c r="A114" s="2858">
        <v>42</v>
      </c>
      <c r="B114" s="3450"/>
      <c r="C114" s="2858" t="s">
        <v>2728</v>
      </c>
      <c r="D114" s="2832" t="s">
        <v>2729</v>
      </c>
      <c r="E114" s="2858">
        <v>0.1</v>
      </c>
      <c r="F114" s="2858">
        <v>15</v>
      </c>
    </row>
    <row r="115" spans="1:6" ht="24">
      <c r="A115" s="2858">
        <v>43</v>
      </c>
      <c r="B115" s="3450"/>
      <c r="C115" s="2858" t="s">
        <v>2730</v>
      </c>
      <c r="D115" s="2832" t="s">
        <v>2731</v>
      </c>
      <c r="E115" s="2858">
        <v>0.1</v>
      </c>
      <c r="F115" s="2858">
        <v>15</v>
      </c>
    </row>
    <row r="116" spans="1:6" ht="13.5">
      <c r="A116" s="2858">
        <v>44</v>
      </c>
      <c r="B116" s="3451" t="s">
        <v>2732</v>
      </c>
      <c r="C116" s="2858" t="s">
        <v>2733</v>
      </c>
      <c r="D116" s="2832" t="s">
        <v>2734</v>
      </c>
      <c r="E116" s="2858">
        <v>0.1</v>
      </c>
      <c r="F116" s="2858">
        <v>15</v>
      </c>
    </row>
    <row r="117" spans="1:6" ht="24">
      <c r="A117" s="2858">
        <v>45</v>
      </c>
      <c r="B117" s="3452"/>
      <c r="C117" s="2832" t="s">
        <v>2735</v>
      </c>
      <c r="D117" s="2832" t="s">
        <v>2736</v>
      </c>
      <c r="E117" s="2858">
        <v>0.1</v>
      </c>
      <c r="F117" s="2858">
        <v>15</v>
      </c>
    </row>
    <row r="118" spans="1:6" ht="24">
      <c r="A118" s="2858">
        <v>46</v>
      </c>
      <c r="B118" s="3451" t="s">
        <v>2737</v>
      </c>
      <c r="C118" s="2858" t="s">
        <v>2738</v>
      </c>
      <c r="D118" s="2832" t="s">
        <v>2739</v>
      </c>
      <c r="E118" s="2858">
        <v>0.1</v>
      </c>
      <c r="F118" s="2858">
        <v>15</v>
      </c>
    </row>
    <row r="119" spans="1:6" ht="24">
      <c r="A119" s="2858">
        <v>47</v>
      </c>
      <c r="B119" s="3452"/>
      <c r="C119" s="2858" t="s">
        <v>2740</v>
      </c>
      <c r="D119" s="2832" t="s">
        <v>2741</v>
      </c>
      <c r="E119" s="2858">
        <v>0.1</v>
      </c>
      <c r="F119" s="2858">
        <v>15</v>
      </c>
    </row>
    <row r="120" spans="1:6" ht="13.5">
      <c r="A120" s="2858">
        <v>48</v>
      </c>
      <c r="B120" s="3451" t="s">
        <v>2742</v>
      </c>
      <c r="C120" s="2858" t="s">
        <v>2743</v>
      </c>
      <c r="D120" s="2832" t="s">
        <v>2744</v>
      </c>
      <c r="E120" s="2858">
        <v>0.1</v>
      </c>
      <c r="F120" s="2858">
        <v>15</v>
      </c>
    </row>
    <row r="121" spans="1:6" ht="13.5">
      <c r="A121" s="2858">
        <v>49</v>
      </c>
      <c r="B121" s="3452"/>
      <c r="C121" s="2858" t="s">
        <v>2745</v>
      </c>
      <c r="D121" s="2832" t="s">
        <v>2746</v>
      </c>
      <c r="E121" s="2858">
        <v>0.1</v>
      </c>
      <c r="F121" s="2858">
        <v>15</v>
      </c>
    </row>
    <row r="122" spans="1:6" ht="24">
      <c r="A122" s="2858">
        <v>50</v>
      </c>
      <c r="B122" s="3450" t="s">
        <v>2747</v>
      </c>
      <c r="C122" s="2858" t="s">
        <v>2748</v>
      </c>
      <c r="D122" s="2832" t="s">
        <v>2749</v>
      </c>
      <c r="E122" s="2858">
        <v>0.1</v>
      </c>
      <c r="F122" s="2858">
        <v>15</v>
      </c>
    </row>
    <row r="123" spans="1:6" ht="24">
      <c r="A123" s="2858">
        <v>51</v>
      </c>
      <c r="B123" s="3450"/>
      <c r="C123" s="2858" t="s">
        <v>2750</v>
      </c>
      <c r="D123" s="2832" t="s">
        <v>2751</v>
      </c>
      <c r="E123" s="2858">
        <v>0.1</v>
      </c>
      <c r="F123" s="2858">
        <v>15</v>
      </c>
    </row>
    <row r="124" spans="1:6" ht="24">
      <c r="A124" s="2858">
        <v>52</v>
      </c>
      <c r="B124" s="3450" t="s">
        <v>2752</v>
      </c>
      <c r="C124" s="2858" t="s">
        <v>2753</v>
      </c>
      <c r="D124" s="2832" t="s">
        <v>2754</v>
      </c>
      <c r="E124" s="2858">
        <v>0.1</v>
      </c>
      <c r="F124" s="2858">
        <v>15</v>
      </c>
    </row>
    <row r="125" spans="1:6" ht="24">
      <c r="A125" s="2858">
        <v>53</v>
      </c>
      <c r="B125" s="3450"/>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0" t="s">
        <v>2760</v>
      </c>
      <c r="C127" s="2858" t="s">
        <v>2761</v>
      </c>
      <c r="D127" s="2832" t="s">
        <v>2762</v>
      </c>
      <c r="E127" s="2858">
        <v>0.1</v>
      </c>
      <c r="F127" s="2858">
        <v>15</v>
      </c>
    </row>
    <row r="128" spans="1:6" ht="13.5">
      <c r="A128" s="2858">
        <v>56</v>
      </c>
      <c r="B128" s="3450"/>
      <c r="C128" s="2858" t="s">
        <v>2763</v>
      </c>
      <c r="D128" s="2832" t="s">
        <v>2764</v>
      </c>
      <c r="E128" s="2858">
        <v>0.1</v>
      </c>
      <c r="F128" s="2858">
        <v>15</v>
      </c>
    </row>
    <row r="129" spans="1:6" ht="24">
      <c r="A129" s="2858">
        <v>57</v>
      </c>
      <c r="B129" s="3450"/>
      <c r="C129" s="2858" t="s">
        <v>2765</v>
      </c>
      <c r="D129" s="2832" t="s">
        <v>2766</v>
      </c>
      <c r="E129" s="2858">
        <v>0.1</v>
      </c>
      <c r="F129" s="2858">
        <v>15</v>
      </c>
    </row>
    <row r="130" spans="1:6" ht="24">
      <c r="A130" s="2858">
        <v>58</v>
      </c>
      <c r="B130" s="3450" t="s">
        <v>2767</v>
      </c>
      <c r="C130" s="2858" t="s">
        <v>2768</v>
      </c>
      <c r="D130" s="2832" t="s">
        <v>2769</v>
      </c>
      <c r="E130" s="2858">
        <v>0.1</v>
      </c>
      <c r="F130" s="2858">
        <v>15</v>
      </c>
    </row>
    <row r="131" spans="1:6" ht="13.5">
      <c r="A131" s="2858">
        <v>59</v>
      </c>
      <c r="B131" s="3450"/>
      <c r="C131" s="2858" t="s">
        <v>2770</v>
      </c>
      <c r="D131" s="2832" t="s">
        <v>2771</v>
      </c>
      <c r="E131" s="2858">
        <v>0.1</v>
      </c>
      <c r="F131" s="2858">
        <v>15</v>
      </c>
    </row>
    <row r="132" spans="1:6" ht="13.5">
      <c r="A132" s="2858">
        <v>60</v>
      </c>
      <c r="B132" s="3451" t="s">
        <v>2772</v>
      </c>
      <c r="C132" s="2858" t="s">
        <v>2773</v>
      </c>
      <c r="D132" s="2832" t="s">
        <v>2774</v>
      </c>
      <c r="E132" s="2858">
        <v>0.1</v>
      </c>
      <c r="F132" s="2858">
        <v>15</v>
      </c>
    </row>
    <row r="133" spans="1:6" ht="13.5">
      <c r="A133" s="2858">
        <v>61</v>
      </c>
      <c r="B133" s="345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0" t="s">
        <v>2780</v>
      </c>
      <c r="C135" s="2858" t="s">
        <v>2781</v>
      </c>
      <c r="D135" s="2832" t="s">
        <v>2782</v>
      </c>
      <c r="E135" s="2858">
        <v>0.1</v>
      </c>
      <c r="F135" s="2858">
        <v>15</v>
      </c>
    </row>
    <row r="136" spans="1:6" ht="13.5">
      <c r="A136" s="2858">
        <v>64</v>
      </c>
      <c r="B136" s="3450"/>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34844</v>
      </c>
      <c r="C2" s="2" t="s">
        <v>106</v>
      </c>
      <c r="D2" s="191"/>
      <c r="E2" s="191"/>
      <c r="F2" s="191"/>
      <c r="G2" s="191"/>
    </row>
    <row r="3" spans="1:7" s="192" customFormat="1" ht="18" customHeight="1" thickBot="1">
      <c r="A3" s="195" t="s">
        <v>58</v>
      </c>
      <c r="B3" s="196">
        <f ca="1">ROUND(B2*10000/'数据-汇总表'!E3,0)</f>
        <v>39498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60</v>
      </c>
      <c r="F9" s="213"/>
      <c r="G9" s="218"/>
    </row>
    <row r="10" spans="1:7" s="206" customFormat="1" ht="13.5" customHeight="1">
      <c r="A10" s="733" t="s">
        <v>356</v>
      </c>
      <c r="B10" s="216" t="s">
        <v>67</v>
      </c>
      <c r="C10" s="217">
        <f>ROUND(D10*E10/10000,0)</f>
        <v>71</v>
      </c>
      <c r="D10" s="795">
        <f>'数据-汇总表'!E6</f>
        <v>8821.64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176</v>
      </c>
      <c r="D19" s="204">
        <f>'数据-汇总表'!E3</f>
        <v>8821.64</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1665</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4240</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4240</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29805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3970</v>
      </c>
      <c r="D34" s="209"/>
      <c r="E34" s="212"/>
      <c r="F34" s="249">
        <f>IF('数据-取费表'!B24=0,1,'数据-取费表'!N16)</f>
        <v>1</v>
      </c>
      <c r="G34" s="211" t="s">
        <v>89</v>
      </c>
    </row>
    <row r="35" spans="1:7" ht="13.5" customHeight="1">
      <c r="A35" s="734" t="s">
        <v>351</v>
      </c>
      <c r="B35" s="207" t="s">
        <v>33</v>
      </c>
      <c r="C35" s="212">
        <f>ROUND(C34*F35,0)</f>
        <v>199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176</v>
      </c>
      <c r="D37" s="209">
        <f>'数据-汇总表'!E3</f>
        <v>8821.64</v>
      </c>
      <c r="E37" s="241">
        <f>'数据-取费表'!B35</f>
        <v>200</v>
      </c>
      <c r="F37" s="251"/>
      <c r="G37" s="253" t="s">
        <v>92</v>
      </c>
    </row>
    <row r="38" spans="1:7" ht="13.5" customHeight="1">
      <c r="A38" s="734" t="s">
        <v>354</v>
      </c>
      <c r="B38" s="207" t="s">
        <v>36</v>
      </c>
      <c r="C38" s="212">
        <f>ROUND(C34*F38,0)</f>
        <v>79</v>
      </c>
      <c r="D38" s="212"/>
      <c r="E38" s="212"/>
      <c r="F38" s="251">
        <f>'数据-取费表'!B36</f>
        <v>0.02</v>
      </c>
      <c r="G38" s="211" t="s">
        <v>90</v>
      </c>
    </row>
    <row r="39" spans="1:7" s="206" customFormat="1" ht="13.5" customHeight="1">
      <c r="A39" s="731" t="s">
        <v>338</v>
      </c>
      <c r="B39" s="202" t="s">
        <v>77</v>
      </c>
      <c r="C39" s="224">
        <f>ROUND(C33*F20,0)</f>
        <v>88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175</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172</v>
      </c>
      <c r="D42" s="230"/>
      <c r="E42" s="230"/>
      <c r="F42" s="231"/>
      <c r="G42" s="3327" t="s">
        <v>94</v>
      </c>
    </row>
    <row r="43" spans="1:7" ht="13.5" customHeight="1">
      <c r="A43" s="734" t="s">
        <v>347</v>
      </c>
      <c r="B43" s="207" t="s">
        <v>426</v>
      </c>
      <c r="C43" s="230">
        <f ca="1">ROUND(IF('数据-取费表'!B22&lt;=1,C39*F22*'数据-取费表'!B21/2,C39*(POWER((1+F22),'数据-取费表'!B21/2)-1)),0)</f>
        <v>3</v>
      </c>
      <c r="D43" s="230"/>
      <c r="E43" s="230"/>
      <c r="F43" s="231"/>
      <c r="G43" s="3328"/>
    </row>
    <row r="44" spans="1:7" ht="13.5" customHeight="1">
      <c r="A44" s="734" t="s">
        <v>348</v>
      </c>
      <c r="B44" s="207" t="s">
        <v>428</v>
      </c>
      <c r="C44" s="230">
        <f ca="1">ROUND(IF('数据-取费表'!B22&lt;=1,C40*F22*'数据-取费表'!B21/2,C40*(POWER((1+F22),'数据-取费表'!B21/2)-1)),4)</f>
        <v>1.1999999999999999E-3</v>
      </c>
      <c r="D44" s="230"/>
      <c r="E44" s="230"/>
      <c r="F44" s="231"/>
      <c r="G44" s="3329"/>
    </row>
    <row r="45" spans="1:7" s="206" customFormat="1" ht="13.5" customHeight="1">
      <c r="A45" s="731" t="s">
        <v>341</v>
      </c>
      <c r="B45" s="236" t="s">
        <v>85</v>
      </c>
      <c r="C45" s="237">
        <f>C46</f>
        <v>902</v>
      </c>
      <c r="D45" s="227">
        <f>C47</f>
        <v>6.0000000000000001E-3</v>
      </c>
      <c r="E45" s="228" t="s">
        <v>102</v>
      </c>
      <c r="F45" s="238"/>
      <c r="G45" s="239" t="s">
        <v>434</v>
      </c>
    </row>
    <row r="46" spans="1:7" s="206" customFormat="1" ht="13.5" customHeight="1">
      <c r="A46" s="734" t="s">
        <v>349</v>
      </c>
      <c r="B46" s="240" t="s">
        <v>427</v>
      </c>
      <c r="C46" s="241">
        <f>ROUND((C33+C39)*F27,0)</f>
        <v>902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6145</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5039</v>
      </c>
      <c r="D51" s="224"/>
      <c r="E51" s="224"/>
      <c r="F51" s="256"/>
      <c r="G51" s="226" t="s">
        <v>37</v>
      </c>
    </row>
    <row r="52" spans="1:7" s="200" customFormat="1" ht="16.5" thickBot="1">
      <c r="A52" s="257" t="s">
        <v>38</v>
      </c>
      <c r="B52" s="258"/>
      <c r="C52" s="259">
        <f ca="1">C31+C51</f>
        <v>34844</v>
      </c>
      <c r="D52" s="258"/>
      <c r="E52" s="258"/>
      <c r="F52" s="258"/>
      <c r="G52" s="260"/>
    </row>
    <row r="55" spans="1:7" ht="15">
      <c r="B55" s="262" t="s">
        <v>39</v>
      </c>
      <c r="C55" s="263"/>
    </row>
    <row r="56" spans="1:7">
      <c r="B56" s="265" t="s">
        <v>40</v>
      </c>
      <c r="C56" s="266">
        <f ca="1">ROUND(C51/C52,3)</f>
        <v>0.14499999999999999</v>
      </c>
    </row>
    <row r="57" spans="1:7">
      <c r="B57" s="265" t="s">
        <v>41</v>
      </c>
      <c r="C57" s="267">
        <f ca="1">1-C56</f>
        <v>0.85499999999999998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Q80" sqref="Q8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2830</v>
      </c>
      <c r="B1" s="3464"/>
      <c r="C1" s="3464"/>
      <c r="D1" s="3464"/>
      <c r="E1" s="3464"/>
      <c r="F1" s="3464"/>
      <c r="G1" s="3465"/>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62"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63"/>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3172</v>
      </c>
      <c r="B1" s="3466"/>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3223</v>
      </c>
      <c r="B1" s="3467"/>
      <c r="C1" s="3467"/>
      <c r="D1" s="3467"/>
      <c r="E1" s="3467"/>
      <c r="F1" s="3468"/>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30">
      <c r="A1" s="2938">
        <f>基准地价修正!G23</f>
        <v>45628</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3376</v>
      </c>
    </row>
    <row r="24" spans="1:30">
      <c r="I24" s="1405" t="s">
        <v>2816</v>
      </c>
    </row>
    <row r="26" spans="1:30" s="2009" customFormat="1" ht="12.75">
      <c r="B26" s="2930" t="s">
        <v>3374</v>
      </c>
      <c r="C26" s="2931"/>
      <c r="D26" s="2931"/>
      <c r="E26" s="2931"/>
      <c r="F26" s="2931"/>
      <c r="G26" s="2931"/>
      <c r="H26" s="2931"/>
      <c r="I26" s="2931"/>
      <c r="J26" s="2897"/>
      <c r="K26" s="2931" t="s">
        <v>2817</v>
      </c>
      <c r="L26" s="2931"/>
      <c r="M26" s="2931"/>
      <c r="N26" s="2931"/>
      <c r="O26" s="2931"/>
      <c r="P26" s="2931"/>
      <c r="Q26" s="2897"/>
      <c r="R26" s="3469" t="s">
        <v>2818</v>
      </c>
      <c r="S26" s="3470"/>
      <c r="T26" s="3470"/>
      <c r="U26" s="3470"/>
      <c r="V26" s="3470"/>
      <c r="W26" s="3470"/>
      <c r="X26" s="2897"/>
      <c r="Y26" s="3469" t="s">
        <v>2819</v>
      </c>
      <c r="Z26" s="3470"/>
      <c r="AA26" s="3470"/>
      <c r="AB26" s="3470"/>
      <c r="AC26" s="3470"/>
      <c r="AD26" s="3470"/>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Q80" sqref="Q8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Q80" sqref="Q8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45628</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房地产</v>
      </c>
      <c r="B4" s="801">
        <f>项目基本情况!C17</f>
        <v>8821.64</v>
      </c>
      <c r="C4" s="801">
        <f>项目基本情况!C18</f>
        <v>881.68</v>
      </c>
      <c r="D4" s="801">
        <f ca="1">结果表!D118</f>
        <v>405</v>
      </c>
      <c r="E4" s="801">
        <f ca="1">结果表!E118</f>
        <v>2146</v>
      </c>
      <c r="F4" s="801">
        <f ca="1">结果表!F118</f>
        <v>1256</v>
      </c>
      <c r="G4" s="801">
        <f ca="1">结果表!G118</f>
        <v>6649</v>
      </c>
      <c r="H4" s="801">
        <f ca="1">结果表!H118</f>
        <v>1662</v>
      </c>
      <c r="I4" s="801">
        <f ca="1">结果表!I118</f>
        <v>8795</v>
      </c>
    </row>
    <row r="5" spans="1:9" ht="30" customHeight="1">
      <c r="A5" s="3159" t="s">
        <v>927</v>
      </c>
      <c r="B5" s="3159"/>
      <c r="C5" s="3159"/>
      <c r="D5" s="3159" t="str">
        <f ca="1">结果表!D119</f>
        <v>肆佰零伍万元整</v>
      </c>
      <c r="E5" s="3159"/>
      <c r="F5" s="3159" t="str">
        <f ca="1">结果表!F119</f>
        <v>壹仟贰佰伍拾陆万元整</v>
      </c>
      <c r="G5" s="3159"/>
      <c r="H5" s="3159" t="str">
        <f ca="1">结果表!H119</f>
        <v>壹仟陆佰陆拾贰万元整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1662</v>
      </c>
      <c r="E8" s="3158"/>
      <c r="F8" s="3158"/>
      <c r="G8" s="3158"/>
      <c r="H8" s="3158"/>
      <c r="I8" s="3158"/>
    </row>
    <row r="9" spans="1:9" ht="15">
      <c r="A9" s="3159" t="s">
        <v>927</v>
      </c>
      <c r="B9" s="3159"/>
      <c r="C9" s="3159"/>
      <c r="D9" s="3159" t="str">
        <f ca="1">结果表!D123</f>
        <v>壹仟陆佰陆拾贰万元整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45628</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2158</v>
      </c>
      <c r="B17" s="3182"/>
      <c r="C17" s="3182"/>
      <c r="D17" s="3182"/>
      <c r="E17" s="3182"/>
      <c r="F17" s="3182"/>
      <c r="G17" s="3182"/>
      <c r="H17" s="3182"/>
    </row>
    <row r="18" spans="1:8" ht="24" customHeight="1">
      <c r="A18" s="3183" t="s">
        <v>2159</v>
      </c>
      <c r="B18" s="3183"/>
      <c r="C18" s="3183"/>
      <c r="D18" s="2160"/>
      <c r="E18" s="3184" t="s">
        <v>2160</v>
      </c>
      <c r="F18" s="3183"/>
      <c r="G18" s="318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案例</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2024-12-02T06:41:06Z</dcterms:modified>
</cp:coreProperties>
</file>