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7172" windowHeight="13032"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4" i="21" l="1"/>
  <c r="G44" i="21"/>
  <c r="E44" i="21"/>
  <c r="O62" i="95" l="1"/>
  <c r="M62" i="95"/>
  <c r="O41" i="95"/>
  <c r="M41" i="95"/>
  <c r="O24" i="95"/>
  <c r="M24" i="95"/>
  <c r="O6" i="95"/>
  <c r="M6" i="95"/>
  <c r="R6" i="95" l="1"/>
  <c r="R24" i="95"/>
  <c r="R62" i="95"/>
  <c r="R41" i="95"/>
  <c r="F90" i="21"/>
  <c r="E90" i="21"/>
  <c r="D90" i="21"/>
  <c r="I33" i="21"/>
  <c r="G33" i="21"/>
  <c r="E33" i="21"/>
  <c r="I47" i="21"/>
  <c r="G47" i="21"/>
  <c r="E47" i="21"/>
  <c r="I7" i="21"/>
  <c r="G7" i="21"/>
  <c r="E7" i="21"/>
  <c r="I5" i="21"/>
  <c r="G5" i="21"/>
  <c r="N19" i="1"/>
  <c r="F15" i="94"/>
  <c r="F16" i="94"/>
  <c r="F17" i="94"/>
  <c r="F13" i="94"/>
  <c r="F14" i="94"/>
  <c r="F12" i="94"/>
  <c r="D3" i="4"/>
  <c r="C126" i="21" l="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F43" i="67"/>
  <c r="F16" i="67"/>
  <c r="B13" i="76"/>
  <c r="M8" i="15"/>
  <c r="F9" i="67"/>
  <c r="L48" i="15"/>
  <c r="M23" i="67"/>
  <c r="E8" i="76"/>
  <c r="AO13" i="1"/>
  <c r="F26" i="67"/>
  <c r="E13" i="76"/>
  <c r="D34" i="9"/>
  <c r="F8" i="67"/>
  <c r="M6" i="67"/>
  <c r="M24" i="15"/>
  <c r="E2" i="68"/>
  <c r="C76" i="15"/>
  <c r="B9" i="76"/>
  <c r="M29" i="67"/>
  <c r="F13" i="67"/>
  <c r="J15" i="15"/>
  <c r="F13" i="15"/>
  <c r="M8" i="67"/>
  <c r="L47" i="15"/>
  <c r="F20" i="31"/>
  <c r="J15" i="67"/>
  <c r="F36" i="67"/>
  <c r="F6" i="73"/>
  <c r="F42" i="15"/>
  <c r="F5" i="73"/>
  <c r="F37" i="15"/>
  <c r="M9" i="67"/>
  <c r="B11" i="76"/>
  <c r="F40" i="15"/>
  <c r="E12" i="76"/>
  <c r="F7" i="73"/>
  <c r="B12" i="76"/>
  <c r="M29" i="15"/>
  <c r="E7" i="76"/>
  <c r="M26" i="67"/>
  <c r="F16" i="15"/>
  <c r="M9" i="15"/>
  <c r="F8" i="15"/>
  <c r="M22" i="67"/>
  <c r="F3" i="73"/>
  <c r="B8" i="76"/>
  <c r="F7" i="67"/>
  <c r="F40" i="67"/>
  <c r="M6" i="15"/>
  <c r="B10" i="76"/>
  <c r="M22" i="15"/>
  <c r="E2" i="69"/>
  <c r="F38" i="15"/>
  <c r="F6" i="15"/>
  <c r="M23" i="15"/>
  <c r="F7" i="15"/>
  <c r="E10" i="76"/>
  <c r="E9" i="76"/>
  <c r="F26" i="15"/>
  <c r="D35" i="9"/>
  <c r="F36" i="15"/>
  <c r="F9" i="15"/>
  <c r="M26" i="15"/>
  <c r="D7" i="73"/>
  <c r="B7" i="76"/>
  <c r="M28" i="67"/>
  <c r="F42" i="67"/>
  <c r="F4" i="73"/>
  <c r="E11" i="76"/>
  <c r="F43" i="88"/>
  <c r="M24" i="67"/>
  <c r="L47" i="67"/>
  <c r="M28" i="15"/>
  <c r="M29" i="88"/>
  <c r="C76" i="67"/>
  <c r="F38" i="67"/>
  <c r="F43" i="15"/>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D3" i="73"/>
  <c r="J15" i="88"/>
  <c r="F36" i="88"/>
  <c r="F40" i="88"/>
  <c r="F6" i="67"/>
  <c r="D4" i="73"/>
  <c r="C16" i="15"/>
  <c r="C16" i="67"/>
  <c r="L48" i="67"/>
  <c r="F16" i="88"/>
  <c r="F26" i="88"/>
  <c r="M22" i="88"/>
  <c r="F7" i="88"/>
  <c r="L47" i="88"/>
  <c r="C76" i="88"/>
  <c r="M24" i="88"/>
  <c r="M9" i="88"/>
  <c r="F8" i="88"/>
  <c r="F13" i="88"/>
  <c r="D6" i="73"/>
  <c r="F37" i="88"/>
  <c r="F9" i="88"/>
  <c r="L48" i="88"/>
  <c r="M6" i="88"/>
  <c r="M28" i="88"/>
  <c r="F38" i="88"/>
  <c r="F42" i="88"/>
  <c r="D5" i="73"/>
  <c r="M8" i="88"/>
  <c r="M26" i="88"/>
  <c r="M23" i="88"/>
  <c r="F31" i="67" l="1"/>
  <c r="F6" i="88"/>
  <c r="C6" i="88" s="1"/>
  <c r="C6" i="67"/>
  <c r="L56" i="88"/>
  <c r="J60" i="88"/>
  <c r="Q48" i="88" s="1"/>
  <c r="J59" i="88"/>
  <c r="J53" i="88"/>
  <c r="Q52" i="88" s="1"/>
  <c r="L60" i="88"/>
  <c r="Q57" i="88" s="1"/>
  <c r="J57" i="88"/>
  <c r="J55" i="88" s="1"/>
  <c r="J58" i="88" s="1"/>
  <c r="Q50" i="88" s="1"/>
  <c r="L56" i="67"/>
  <c r="L58" i="67"/>
  <c r="Q73" i="67" s="1"/>
  <c r="J53" i="67"/>
  <c r="F1" i="67" s="1"/>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U32" i="21"/>
  <c r="C30" i="69"/>
  <c r="AA36" i="21"/>
  <c r="W36" i="21"/>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C16" i="88"/>
  <c r="G1" i="73"/>
  <c r="Q60" i="67" l="1"/>
  <c r="Q52" i="67"/>
  <c r="Q66" i="88"/>
  <c r="E69" i="39"/>
  <c r="N66" i="71"/>
  <c r="N65" i="71"/>
  <c r="F28" i="12"/>
  <c r="C29" i="12" s="1"/>
  <c r="D28" i="12" s="1"/>
  <c r="F27" i="68"/>
  <c r="C47" i="68" s="1"/>
  <c r="D45" i="68" s="1"/>
  <c r="F59" i="88"/>
  <c r="Q60" i="88"/>
  <c r="Q74" i="88"/>
  <c r="L36" i="43"/>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88"/>
  <c r="M27" i="15"/>
  <c r="C14" i="88"/>
  <c r="C17" i="88"/>
  <c r="F41" i="88"/>
  <c r="F41" i="15"/>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88"/>
  <c r="F35" i="15"/>
  <c r="M21" i="67"/>
  <c r="M21" i="88"/>
  <c r="F35" i="67"/>
  <c r="M21" i="15"/>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D2" i="37"/>
  <c r="C20" i="9"/>
  <c r="D19" i="9"/>
  <c r="D2" i="34"/>
  <c r="D2" i="36"/>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6" i="1"/>
  <c r="AO7" i="1"/>
  <c r="AO8" i="1"/>
  <c r="AO10" i="1"/>
  <c r="AO9" i="1"/>
  <c r="AO11"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E97" i="9"/>
  <c r="B53" i="72"/>
  <c r="C5" i="74"/>
  <c r="P57" i="9"/>
  <c r="N58" i="9"/>
  <c r="B31" i="72"/>
  <c r="N60" i="9"/>
  <c r="N59" i="9"/>
  <c r="N61" i="9"/>
  <c r="C86" i="9"/>
  <c r="B48" i="72"/>
  <c r="C105" i="9"/>
  <c r="I4" i="52"/>
  <c r="D53" i="9"/>
  <c r="C93" i="9"/>
  <c r="D52" i="9"/>
  <c r="D54" i="9"/>
  <c r="F119" i="9"/>
  <c r="F5" i="52"/>
  <c r="M48" i="9"/>
  <c r="E81" i="9"/>
  <c r="F4" i="52"/>
  <c r="B51" i="72"/>
  <c r="N57" i="9"/>
  <c r="D9" i="52"/>
  <c r="B20" i="72"/>
  <c r="C6" i="74"/>
  <c r="D15" i="53"/>
  <c r="H108" i="9"/>
  <c r="B49" i="72"/>
  <c r="M55" i="9"/>
  <c r="B30" i="72"/>
  <c r="C81" i="9"/>
  <c r="E96" i="9"/>
  <c r="H119" i="9"/>
  <c r="H5" i="52"/>
  <c r="F118" i="9"/>
  <c r="G118" i="9"/>
  <c r="G4" i="52"/>
  <c r="B52" i="72"/>
  <c r="D5" i="53"/>
  <c r="D6" i="53"/>
  <c r="B22" i="72"/>
  <c r="C78" i="9"/>
  <c r="C73" i="9"/>
  <c r="E4" i="52"/>
  <c r="D8" i="52"/>
  <c r="D122" i="9"/>
  <c r="D123" i="9"/>
  <c r="D4" i="52"/>
  <c r="B47" i="72"/>
  <c r="D58" i="9"/>
  <c r="D56" i="9"/>
  <c r="M54" i="9"/>
  <c r="C68" i="9"/>
  <c r="C67" i="9"/>
  <c r="D59" i="9"/>
  <c r="H102" i="9"/>
  <c r="D7" i="53"/>
  <c r="B21" i="72"/>
  <c r="H107" i="9"/>
  <c r="D13" i="53"/>
  <c r="D14" i="53"/>
  <c r="B32" i="72"/>
  <c r="C80" i="9"/>
  <c r="E80" i="9"/>
  <c r="C97" i="9"/>
  <c r="C85" i="9"/>
  <c r="C95" i="9"/>
  <c r="C96" i="9"/>
  <c r="E118" i="9"/>
  <c r="D118" i="9"/>
  <c r="D119" i="9"/>
  <c r="D5" i="52"/>
  <c r="D55" i="9"/>
  <c r="M53" i="9"/>
  <c r="C64" i="9"/>
  <c r="C63"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<sst xmlns="http://schemas.openxmlformats.org/spreadsheetml/2006/main" count="11264" uniqueCount="4379">
  <si>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</si>
  <si>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</si>
  <si>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</si>
  <si>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</si>
  <si>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</si>
  <si>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</si>
  <si>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</si>
  <si>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</si>
  <si>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</si>
  <si>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</si>
  <si>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</si>
  <si>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</si>
  <si>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</si>
  <si>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</si>
  <si>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</si>
  <si>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</si>
  <si>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</si>
  <si>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</si>
  <si>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</si>
  <si>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</si>
  <si>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</si>
  <si>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</si>
  <si>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</si>
  <si>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</si>
  <si>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</si>
  <si>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</si>
  <si>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</si>
  <si>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</si>
  <si>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</si>
  <si>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</si>
  <si>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</si>
  <si>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</si>
  <si>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</si>
  <si>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</si>
  <si>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</si>
  <si>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</si>
  <si>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</si>
  <si>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</si>
  <si>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</si>
  <si>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</si>
  <si>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</si>
  <si>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</si>
  <si>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</si>
  <si>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</si>
  <si>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</si>
  <si>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</si>
  <si>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</si>
  <si>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</si>
  <si>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</si>
  <si>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</si>
  <si>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</si>
  <si>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</si>
  <si>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</si>
  <si>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</si>
  <si>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</si>
  <si>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</si>
  <si>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</si>
  <si>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</si>
  <si>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</si>
  <si>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</si>
  <si>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</si>
  <si>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</si>
  <si>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</si>
  <si>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</si>
  <si>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</si>
  <si>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</si>
  <si>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</si>
  <si>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</si>
  <si>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</si>
  <si>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</si>
  <si>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</si>
  <si>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</si>
  <si>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</si>
  <si>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</si>
  <si>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</si>
  <si>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</si>
  <si>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</si>
  <si>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</si>
  <si>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</si>
  <si>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</si>
  <si>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</si>
  <si>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</si>
  <si>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</si>
  <si>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</si>
  <si>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</si>
  <si>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</si>
  <si>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</si>
  <si>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</si>
  <si>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</si>
  <si>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</si>
  <si>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</si>
  <si>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</si>
  <si>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</si>
  <si>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</si>
  <si>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</si>
  <si>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</si>
  <si>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</si>
  <si>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</si>
  <si>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</si>
  <si>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</si>
  <si>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</si>
  <si>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</si>
  <si>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</si>
  <si>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</si>
  <si>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</si>
  <si>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</si>
  <si>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</si>
  <si>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</si>
  <si>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</si>
  <si>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</si>
  <si>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</si>
  <si>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</si>
  <si>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</si>
  <si>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</si>
  <si>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</si>
  <si>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</si>
  <si>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</si>
  <si>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</si>
  <si>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</si>
  <si>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</si>
  <si>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</si>
  <si>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</si>
  <si>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</si>
  <si>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</si>
  <si>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</si>
  <si>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</si>
  <si>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</si>
  <si>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</si>
  <si>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</si>
  <si>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</si>
  <si>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</si>
  <si>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</si>
  <si>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</si>
  <si>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</si>
  <si>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</si>
  <si>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</si>
  <si>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</si>
  <si>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</si>
  <si>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</si>
  <si>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</si>
  <si>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</si>
  <si>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</si>
  <si>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</si>
  <si>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</si>
  <si>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</si>
  <si>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</si>
  <si>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</si>
  <si>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</si>
  <si>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</si>
  <si>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</si>
  <si>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</si>
  <si>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</si>
  <si>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</si>
  <si>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</si>
  <si>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</si>
  <si>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</si>
  <si>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</si>
  <si>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</si>
  <si>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</si>
  <si>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</si>
  <si>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</si>
  <si>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</si>
  <si>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</si>
  <si>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</si>
  <si>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</si>
  <si>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</si>
  <si>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</si>
  <si>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</si>
  <si>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</si>
  <si>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</si>
  <si>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</si>
  <si>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</si>
  <si>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</si>
  <si>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</si>
  <si>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</si>
  <si>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</si>
  <si>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</si>
  <si>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</si>
  <si>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</si>
  <si>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</si>
  <si>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</si>
  <si>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</si>
  <si>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</si>
  <si>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</si>
  <si>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</si>
  <si>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</si>
  <si>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</si>
  <si>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</si>
  <si>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</si>
  <si>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</si>
  <si>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</si>
  <si>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</si>
  <si>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</si>
  <si>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</si>
  <si>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</si>
  <si>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</si>
  <si>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</si>
  <si>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</si>
  <si>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</si>
  <si>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</si>
  <si>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</si>
  <si>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</si>
  <si>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</si>
  <si>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</si>
  <si>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</si>
  <si>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</si>
  <si>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</si>
  <si>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</si>
  <si>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</si>
  <si>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</si>
  <si>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</si>
  <si>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</si>
  <si>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</si>
  <si>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</si>
  <si>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</si>
  <si>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</si>
  <si>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</si>
  <si>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</si>
  <si>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</si>
  <si>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</si>
  <si>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</si>
  <si>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</si>
  <si>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</si>
  <si>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</si>
  <si>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</si>
  <si>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</si>
  <si>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</si>
  <si>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</si>
  <si>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</si>
  <si>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</si>
  <si>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</si>
  <si>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</si>
  <si>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</si>
  <si>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</si>
  <si>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</si>
  <si>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</si>
  <si>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</si>
  <si>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</si>
  <si>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</si>
  <si>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</si>
  <si>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</si>
  <si>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</si>
  <si>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</si>
  <si>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</si>
  <si>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</si>
  <si>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</si>
  <si>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</si>
  <si>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</si>
  <si>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</si>
  <si>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</si>
  <si>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</si>
  <si>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</si>
  <si>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</si>
  <si>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</si>
  <si>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</si>
  <si>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</si>
  <si>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</si>
  <si>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</si>
  <si>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</si>
  <si>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</si>
  <si>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</si>
  <si>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</si>
  <si>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</si>
  <si>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</si>
  <si>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</si>
  <si>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</si>
  <si>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</si>
  <si>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</si>
  <si>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</si>
  <si>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</si>
  <si>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</si>
  <si>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</si>
  <si>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</si>
  <si>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</si>
  <si>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</si>
  <si>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</si>
  <si>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</si>
  <si>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</si>
  <si>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</si>
  <si>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</si>
  <si>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</si>
  <si>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</si>
  <si>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</si>
  <si>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</si>
  <si>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</si>
  <si>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</si>
  <si>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</si>
  <si>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</si>
  <si>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</si>
  <si>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</si>
  <si>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</si>
  <si>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</si>
  <si>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</si>
  <si>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</si>
  <si>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</si>
  <si>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</si>
  <si>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</si>
  <si>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</si>
  <si>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</si>
  <si>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</si>
  <si>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</si>
  <si>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</si>
  <si>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</si>
  <si>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</si>
  <si>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</si>
  <si>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</si>
  <si>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</si>
  <si>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</si>
  <si>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</si>
  <si>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</si>
  <si>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</si>
  <si>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</si>
  <si>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</si>
  <si>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</si>
  <si>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</si>
  <si>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</si>
  <si>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</si>
  <si>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</si>
  <si>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</si>
  <si>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</si>
  <si>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</si>
  <si>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</si>
  <si>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</si>
  <si>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</si>
  <si>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</si>
  <si>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</si>
  <si>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</si>
  <si>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</si>
  <si>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</si>
  <si>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</si>
  <si>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</si>
  <si>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</si>
  <si>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</si>
  <si>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</si>
  <si>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</si>
  <si>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</si>
  <si>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</si>
  <si>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</si>
  <si>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</si>
  <si>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</si>
  <si>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</si>
  <si>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</si>
  <si>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</si>
  <si>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</si>
  <si>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</si>
  <si>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</si>
  <si>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</si>
  <si>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</si>
  <si>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</si>
  <si>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</si>
  <si>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</si>
  <si>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</si>
  <si>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</si>
  <si>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</si>
  <si>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</si>
  <si>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</si>
  <si>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</si>
  <si>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</si>
  <si>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</si>
  <si>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</si>
  <si>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</si>
  <si>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</si>
  <si>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</si>
  <si>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</si>
  <si>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</si>
  <si>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</si>
  <si>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</si>
  <si>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</si>
  <si>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</si>
  <si>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</si>
  <si>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</si>
  <si>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</si>
  <si>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</si>
  <si>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</si>
  <si>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</si>
  <si>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</si>
  <si>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</si>
  <si>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</si>
  <si>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</si>
  <si>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</si>
  <si>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</si>
  <si>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</si>
  <si>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</si>
  <si>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</si>
  <si>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</si>
  <si>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</si>
  <si>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</si>
  <si>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</si>
  <si>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</si>
  <si>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</si>
  <si>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</si>
  <si>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</si>
  <si>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</si>
  <si>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</si>
  <si>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</si>
  <si>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</si>
  <si>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</si>
  <si>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</si>
  <si>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</si>
  <si>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</si>
  <si>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</si>
  <si>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</si>
  <si>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</si>
  <si>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</si>
  <si>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</si>
  <si>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</si>
  <si>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</si>
  <si>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</si>
  <si>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</si>
  <si>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</si>
  <si>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</si>
  <si>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</si>
  <si>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</si>
  <si>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</si>
  <si>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</si>
  <si>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</si>
  <si>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</si>
  <si>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</si>
  <si>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</si>
  <si>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</si>
  <si>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</si>
  <si>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</si>
  <si>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</si>
  <si>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</si>
  <si>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</si>
  <si>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</si>
  <si>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</si>
  <si>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</si>
  <si>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</si>
  <si>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</si>
  <si>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</si>
  <si>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</si>
  <si>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</si>
  <si>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</si>
  <si>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</si>
  <si>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</si>
  <si>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</si>
  <si>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</si>
  <si>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</si>
  <si>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</si>
  <si>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</si>
  <si>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</si>
  <si>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</si>
  <si>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</si>
  <si>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</si>
  <si>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</si>
  <si>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</si>
  <si>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</si>
  <si>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</si>
  <si>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</si>
  <si>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</si>
  <si>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</si>
  <si>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</si>
  <si>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</si>
  <si>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</si>
  <si>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</si>
  <si>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</si>
  <si>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</si>
  <si>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</si>
  <si>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</si>
  <si>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</si>
  <si>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</si>
  <si>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</si>
  <si>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</si>
  <si>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</si>
  <si>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</si>
  <si>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</si>
  <si>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</si>
  <si>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</si>
  <si>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</si>
  <si>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</si>
  <si>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</si>
  <si>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</si>
  <si>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</si>
  <si>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</si>
  <si>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</si>
  <si>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</si>
  <si>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</si>
  <si>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</si>
  <si>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</si>
  <si>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</si>
  <si>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</si>
  <si>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</si>
  <si>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</si>
  <si>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</si>
  <si>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</si>
  <si>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</si>
  <si>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</si>
  <si>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</si>
  <si>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</si>
  <si>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</si>
  <si>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</si>
  <si>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</si>
  <si>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</si>
  <si>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</si>
  <si>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</si>
  <si>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</si>
  <si>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</si>
  <si>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</si>
  <si>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</si>
  <si>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</si>
  <si>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</si>
  <si>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</si>
  <si>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</si>
  <si>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</si>
  <si>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</si>
  <si>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</si>
  <si>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</si>
  <si>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</si>
  <si>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</si>
  <si>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</si>
  <si>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</si>
  <si>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</si>
  <si>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</si>
  <si>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</si>
  <si>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</si>
  <si>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</si>
  <si>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</si>
  <si>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</si>
  <si>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</si>
  <si>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</si>
  <si>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</si>
  <si>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</si>
  <si>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</si>
  <si>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</si>
  <si>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</si>
  <si>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</si>
  <si>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</si>
  <si>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</si>
  <si>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</si>
  <si>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</si>
  <si>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</si>
  <si>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</si>
  <si>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</si>
  <si>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</si>
  <si>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</si>
  <si>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</si>
  <si>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</si>
  <si>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</si>
  <si>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</si>
  <si>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</si>
  <si>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</si>
  <si>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</si>
  <si>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</si>
  <si>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</si>
  <si>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</si>
  <si>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</si>
  <si>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</si>
  <si>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</si>
  <si>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</si>
  <si>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</si>
  <si>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</si>
  <si>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</si>
  <si>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</si>
  <si>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</si>
  <si>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</si>
  <si>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</si>
  <si>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</si>
  <si>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</si>
  <si>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</si>
  <si>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</si>
  <si>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</si>
  <si>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</si>
  <si>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</si>
  <si>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</si>
  <si>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</si>
  <si>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</si>
  <si>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</si>
  <si>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</si>
  <si>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</si>
  <si>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</si>
  <si>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</si>
  <si>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</si>
  <si>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</si>
  <si>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</si>
  <si>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</si>
  <si>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</si>
  <si>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</si>
  <si>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</si>
  <si>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</si>
  <si>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</si>
  <si>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</si>
  <si>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</si>
  <si>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</si>
  <si>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</si>
  <si>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</si>
  <si>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</si>
  <si>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</si>
  <si>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</si>
  <si>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</si>
  <si>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</si>
  <si>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</si>
  <si>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</si>
  <si>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</si>
  <si>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</si>
  <si>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</si>
  <si>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</si>
  <si>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</si>
  <si>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</si>
  <si>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</si>
  <si>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</si>
  <si>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</si>
  <si>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</si>
  <si>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</si>
  <si>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</si>
  <si>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</si>
  <si>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</si>
  <si>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</si>
  <si>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</si>
  <si>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</si>
  <si>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</si>
  <si>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</si>
  <si>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</si>
  <si>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</si>
  <si>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</si>
  <si>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</si>
  <si>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</si>
  <si>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</si>
  <si>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</si>
  <si>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</si>
  <si>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</si>
  <si>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</si>
  <si>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</si>
  <si>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</si>
  <si>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</si>
  <si>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</si>
  <si>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</si>
  <si>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</si>
  <si>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</si>
  <si>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</si>
  <si>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</si>
  <si>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</si>
  <si>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</si>
  <si>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</si>
  <si>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</si>
  <si>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</si>
  <si>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</si>
  <si>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</si>
  <si>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</si>
  <si>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</si>
  <si>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</si>
  <si>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</si>
  <si>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</si>
  <si>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</si>
  <si>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</si>
  <si>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</si>
  <si>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</si>
  <si>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</si>
  <si>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</si>
  <si>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</si>
  <si>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</si>
  <si>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</si>
  <si>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</si>
  <si>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</si>
  <si>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</si>
  <si>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</si>
  <si>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</si>
  <si>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</si>
  <si>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</si>
  <si>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</si>
  <si>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</si>
  <si>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</si>
  <si>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</si>
  <si>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</si>
  <si>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</si>
  <si>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</si>
  <si>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</si>
  <si>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</si>
  <si>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</si>
  <si>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</si>
  <si>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</si>
  <si>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</si>
  <si>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</si>
  <si>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</si>
  <si>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</si>
  <si>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</si>
  <si>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</si>
  <si>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</si>
  <si>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</si>
  <si>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</si>
  <si>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</si>
  <si>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</si>
  <si>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</si>
  <si>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</si>
  <si>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</si>
  <si>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</si>
  <si>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</si>
  <si>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</si>
  <si>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</si>
  <si>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</si>
  <si>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</si>
  <si>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</si>
  <si>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</si>
  <si>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</si>
  <si>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</si>
  <si>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</si>
  <si>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</si>
  <si>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</si>
  <si>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</si>
  <si>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</si>
  <si>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</si>
  <si>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</si>
  <si>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</si>
  <si>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</si>
  <si>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</si>
  <si>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</si>
  <si>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</si>
  <si>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</si>
  <si>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</si>
  <si>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</si>
  <si>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</si>
  <si>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</si>
  <si>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</si>
  <si>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</si>
  <si>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</si>
  <si>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</si>
  <si>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</si>
  <si>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</si>
  <si>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</si>
  <si>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</si>
  <si>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</si>
  <si>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</si>
  <si>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</si>
  <si>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</si>
  <si>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</si>
  <si>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</si>
  <si>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</si>
  <si>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</si>
  <si>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</si>
  <si>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</si>
  <si>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</si>
  <si>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</si>
  <si>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</si>
  <si>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</si>
  <si>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</si>
  <si>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</si>
  <si>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</si>
  <si>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</si>
  <si>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</si>
  <si>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</si>
  <si>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</si>
  <si>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</si>
  <si>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</si>
  <si>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</si>
  <si>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</si>
  <si>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</si>
  <si>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</si>
  <si>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</si>
  <si>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</si>
  <si>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</si>
  <si>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</si>
  <si>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</si>
  <si>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</si>
  <si>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</si>
  <si>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</si>
  <si>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</si>
  <si>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</si>
  <si>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</si>
  <si>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</si>
  <si>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</si>
  <si>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</si>
  <si>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</si>
  <si>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</si>
  <si>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</si>
  <si>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</si>
  <si>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</si>
  <si>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</si>
  <si>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</si>
  <si>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</si>
  <si>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</si>
  <si>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</si>
  <si>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</si>
  <si>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</si>
  <si>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</si>
  <si>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</si>
  <si>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</si>
  <si>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</si>
  <si>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</si>
  <si>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</si>
  <si>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</si>
  <si>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</si>
  <si>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</si>
  <si>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</si>
  <si>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</si>
  <si>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</si>
  <si>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</si>
  <si>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</si>
  <si>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</si>
  <si>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</si>
  <si>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</si>
  <si>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</si>
  <si>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</si>
  <si>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</si>
  <si>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</si>
  <si>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</si>
  <si>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</si>
  <si>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</si>
  <si>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</si>
  <si>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</si>
  <si>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</si>
  <si>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</si>
  <si>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</si>
  <si>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</si>
  <si>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</si>
  <si>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</si>
  <si>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</si>
  <si>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</si>
  <si>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</si>
  <si>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</si>
  <si>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</si>
  <si>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</si>
  <si>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</si>
  <si>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</si>
  <si>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</si>
  <si>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</si>
  <si>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</si>
  <si>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</si>
  <si>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</si>
  <si>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</si>
  <si>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</si>
  <si>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</si>
  <si>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</si>
  <si>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</si>
  <si>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</si>
  <si>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</si>
  <si>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</si>
  <si>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</si>
  <si>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</si>
  <si>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</si>
  <si>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</si>
  <si>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</si>
  <si>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</si>
  <si>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</si>
  <si>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</si>
  <si>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</si>
  <si>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</si>
  <si>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</si>
  <si>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</si>
  <si>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</si>
  <si>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</si>
  <si>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</si>
  <si>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</si>
  <si>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</si>
  <si>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</si>
  <si>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</si>
  <si>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</si>
  <si>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</si>
  <si>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</si>
  <si>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</si>
  <si>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</si>
  <si>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</si>
  <si>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</si>
  <si>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</si>
  <si>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</si>
  <si>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</si>
  <si>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</si>
  <si>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</si>
  <si>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</si>
  <si>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</si>
  <si>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</si>
  <si>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</si>
  <si>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</si>
  <si>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</si>
  <si>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</si>
  <si>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</si>
  <si>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</si>
  <si>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</si>
  <si>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</si>
  <si>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</si>
  <si>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</si>
  <si>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</si>
  <si>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</si>
  <si>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</si>
  <si>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</si>
  <si>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</si>
  <si>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</si>
  <si>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</si>
  <si>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</si>
  <si>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</si>
  <si>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</si>
  <si>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</si>
  <si>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</si>
  <si>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</si>
  <si>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</si>
  <si>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</si>
  <si>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</si>
  <si>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</si>
  <si>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</si>
  <si>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</si>
  <si>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</si>
  <si>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</si>
  <si>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</si>
  <si>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</si>
  <si>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</si>
  <si>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</si>
  <si>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</si>
  <si>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</si>
  <si>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</si>
  <si>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</si>
  <si>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</si>
  <si>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</si>
  <si>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</si>
  <si>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</si>
  <si>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</si>
  <si>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</si>
  <si>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</si>
  <si>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</si>
  <si>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</si>
  <si>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</si>
  <si>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</si>
  <si>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</si>
  <si>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</si>
  <si>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</si>
  <si>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</si>
  <si>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</si>
  <si>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</si>
  <si>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</si>
  <si>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</si>
  <si>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</si>
  <si>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</si>
  <si>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</si>
  <si>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</si>
  <si>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</si>
  <si>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</si>
  <si>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</si>
  <si>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</si>
  <si>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</si>
  <si>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</si>
  <si>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</si>
  <si>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</si>
  <si>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</si>
  <si>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</si>
  <si>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</si>
  <si>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</si>
  <si>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</si>
  <si>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</si>
  <si>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</si>
  <si>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</si>
  <si>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</si>
  <si>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</si>
  <si>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</si>
  <si>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</si>
  <si>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</si>
  <si>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</si>
  <si>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</si>
  <si>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</si>
  <si>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</si>
  <si>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</si>
  <si>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</si>
  <si>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</si>
  <si>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</si>
  <si>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</si>
  <si>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</si>
  <si>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</si>
  <si>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</si>
  <si>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</si>
  <si>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</si>
  <si>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</si>
  <si>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</si>
  <si>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</si>
  <si>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</si>
  <si>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</si>
  <si>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</si>
  <si>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</si>
  <si>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</si>
  <si>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</si>
  <si>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</si>
  <si>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</si>
  <si>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</si>
  <si>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</si>
  <si>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</si>
  <si>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</si>
  <si>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</si>
  <si>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</si>
  <si>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</si>
  <si>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</si>
  <si>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</si>
  <si>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</si>
  <si>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</si>
  <si>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</si>
  <si>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</si>
  <si>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</si>
  <si>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</si>
  <si>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</si>
  <si>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</si>
  <si>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</si>
  <si>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</si>
  <si>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</si>
  <si>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</si>
  <si>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</si>
  <si>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</si>
  <si>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</si>
  <si>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</si>
  <si>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</si>
  <si>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</si>
  <si>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</si>
  <si>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</si>
  <si>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</si>
  <si>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</si>
  <si>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</si>
  <si>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</si>
  <si>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</si>
  <si>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</si>
  <si>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</si>
  <si>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</si>
  <si>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</si>
  <si>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</si>
  <si>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</si>
  <si>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</si>
  <si>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</si>
  <si>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</si>
  <si>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</si>
  <si>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</si>
  <si>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</si>
  <si>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</si>
  <si>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</si>
  <si>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</si>
  <si>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</si>
  <si>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</si>
  <si>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</si>
  <si>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</si>
  <si>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</si>
  <si>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</si>
  <si>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</si>
  <si>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</si>
  <si>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</si>
  <si>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</si>
  <si>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</si>
  <si>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</si>
  <si>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</si>
  <si>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</si>
  <si>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</si>
  <si>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</si>
  <si>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</si>
  <si>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</si>
  <si>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</si>
  <si>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</si>
  <si>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</si>
  <si>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</si>
  <si>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</si>
  <si>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</si>
  <si>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</si>
  <si>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</si>
  <si>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</si>
  <si>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</si>
  <si>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</si>
  <si>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</si>
  <si>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</si>
  <si>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</si>
  <si>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</si>
  <si>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</si>
  <si>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</si>
  <si>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</si>
  <si>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</si>
  <si>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</si>
  <si>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</si>
  <si>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</si>
  <si>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</si>
  <si>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</si>
  <si>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</si>
  <si>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</si>
  <si>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</si>
  <si>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</si>
  <si>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</si>
  <si>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</si>
  <si>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</si>
  <si>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</si>
  <si>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</si>
  <si>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</si>
  <si>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</si>
  <si>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</si>
  <si>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</si>
  <si>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</si>
  <si>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</si>
  <si>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</si>
  <si>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</si>
  <si>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</si>
  <si>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</si>
  <si>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</si>
  <si>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</si>
  <si>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</si>
  <si>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</si>
  <si>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</si>
  <si>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</si>
  <si>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</si>
  <si>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</si>
  <si>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</si>
  <si>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</si>
  <si>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</si>
  <si>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</si>
  <si>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</si>
  <si>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</si>
  <si>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</si>
  <si>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</si>
  <si>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</si>
  <si>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</si>
  <si>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</si>
  <si>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</si>
  <si>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</si>
  <si>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</si>
  <si>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</si>
  <si>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</si>
  <si>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</si>
  <si>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</si>
  <si>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</si>
  <si>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</si>
  <si>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</si>
  <si>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</si>
  <si>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</si>
  <si>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</si>
  <si>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</si>
  <si>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</si>
  <si>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</si>
  <si>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</si>
  <si>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</si>
  <si>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</si>
  <si>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</si>
  <si>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</si>
  <si>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</si>
  <si>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</si>
  <si>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</si>
  <si>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</si>
  <si>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</si>
  <si>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</si>
  <si>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</si>
  <si>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</si>
  <si>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</si>
  <si>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</si>
  <si>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</si>
  <si>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</si>
  <si>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</si>
  <si>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</si>
  <si>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</si>
  <si>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</si>
  <si>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</si>
  <si>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</si>
  <si>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</si>
  <si>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</si>
  <si>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</si>
  <si>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</si>
  <si>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</si>
  <si>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</si>
  <si>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</si>
  <si>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</si>
  <si>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</si>
  <si>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</si>
  <si>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</si>
  <si>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</si>
  <si>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</si>
  <si>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</si>
  <si>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</si>
  <si>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</si>
  <si>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</si>
  <si>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</si>
  <si>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</si>
  <si>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</si>
  <si>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</si>
  <si>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</si>
  <si>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</si>
  <si>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</si>
  <si>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</si>
  <si>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</si>
  <si>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</si>
  <si>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</si>
  <si>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</si>
  <si>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</si>
  <si>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</si>
  <si>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</si>
  <si>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</si>
  <si>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</si>
  <si>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</si>
  <si>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</si>
  <si>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</si>
  <si>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</si>
  <si>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</si>
  <si>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</si>
  <si>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</si>
  <si>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</si>
  <si>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</si>
  <si>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</si>
  <si>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</si>
  <si>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</si>
  <si>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</si>
  <si>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</si>
  <si>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</si>
  <si>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</si>
  <si>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</si>
  <si>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</si>
  <si>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</si>
  <si>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</si>
  <si>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</si>
  <si>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</si>
  <si>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</si>
  <si>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</si>
  <si>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</si>
  <si>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</si>
  <si>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</si>
  <si>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</si>
  <si>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</si>
  <si>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</si>
  <si>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</si>
  <si>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</si>
  <si>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</si>
  <si>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</si>
  <si>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</si>
  <si>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</si>
  <si>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</si>
  <si>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</si>
  <si>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</si>
  <si>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</si>
  <si>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</si>
  <si>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</si>
  <si>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</si>
  <si>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</si>
  <si>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</si>
  <si>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</si>
  <si>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</si>
  <si>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</si>
  <si>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</si>
  <si>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</si>
  <si>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</si>
  <si>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</si>
  <si>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</si>
  <si>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</si>
  <si>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</si>
  <si>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</si>
  <si>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</si>
  <si>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</si>
  <si>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</si>
  <si>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</si>
  <si>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</si>
  <si>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</si>
  <si>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</si>
  <si>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</si>
  <si>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</si>
  <si>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</si>
  <si>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</si>
  <si>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</si>
  <si>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</si>
  <si>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</si>
  <si>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</si>
  <si>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</si>
  <si>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</si>
  <si>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</si>
  <si>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</si>
  <si>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</si>
  <si>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</si>
  <si>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</si>
  <si>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</si>
  <si>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</si>
  <si>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</si>
  <si>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</si>
  <si>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</si>
  <si>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</si>
  <si>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</si>
  <si>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</si>
  <si>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</si>
  <si>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</si>
  <si>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</si>
  <si>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</si>
  <si>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</si>
  <si>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</si>
  <si>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</si>
  <si>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</si>
  <si>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</si>
  <si>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</si>
  <si>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</si>
  <si>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</si>
  <si>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</si>
  <si>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</si>
  <si>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</si>
  <si>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</si>
  <si>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</si>
  <si>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</si>
  <si>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</si>
  <si>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</si>
  <si>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</si>
  <si>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</si>
  <si>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</si>
  <si>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</si>
  <si>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</si>
  <si>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</si>
  <si>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</si>
  <si>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</si>
  <si>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</si>
  <si>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</si>
  <si>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</si>
  <si>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</si>
  <si>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</si>
  <si>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</si>
  <si>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</si>
  <si>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</si>
  <si>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</si>
  <si>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</si>
  <si>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</si>
  <si>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</si>
  <si>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</si>
  <si>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</si>
  <si>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</si>
  <si>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</si>
  <si>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</si>
  <si>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</si>
  <si>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</si>
  <si>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</si>
  <si>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</si>
  <si>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</si>
  <si>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</si>
  <si>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</si>
  <si>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</si>
  <si>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</si>
  <si>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</si>
  <si>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</si>
  <si>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</si>
  <si>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</si>
  <si>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</si>
  <si>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</si>
  <si>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</si>
  <si>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</si>
  <si>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</si>
  <si>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</si>
  <si>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</si>
  <si>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</si>
  <si>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</si>
  <si>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</si>
  <si>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</si>
  <si>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</si>
  <si>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</si>
  <si>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</si>
  <si>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</si>
  <si>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</si>
  <si>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</si>
  <si>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</si>
  <si>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</si>
  <si>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</si>
  <si>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</si>
  <si>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</si>
  <si>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</si>
  <si>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</si>
  <si>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</si>
  <si>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</si>
  <si>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</si>
  <si>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</si>
  <si>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</si>
  <si>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</si>
  <si>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</si>
  <si>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</si>
  <si>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</si>
  <si>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</si>
  <si>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</si>
  <si>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</si>
  <si>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</si>
  <si>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</si>
  <si>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</si>
  <si>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</si>
  <si>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</si>
  <si>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</si>
  <si>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</si>
  <si>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</si>
  <si>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</si>
  <si>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</si>
  <si>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</si>
  <si>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</si>
  <si>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</si>
  <si>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</si>
  <si>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</si>
  <si>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</si>
  <si>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</si>
  <si>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</si>
  <si>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</si>
  <si>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</si>
  <si>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</si>
  <si>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</si>
  <si>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</si>
  <si>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</si>
  <si>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</si>
  <si>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</si>
  <si>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</si>
  <si>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</si>
  <si>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</si>
  <si>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</si>
  <si>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</si>
  <si>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</si>
  <si>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</si>
  <si>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</si>
  <si>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</si>
  <si>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</si>
  <si>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</si>
  <si>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</si>
  <si>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</si>
  <si>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</si>
  <si>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</si>
  <si>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</si>
  <si>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</si>
  <si>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</si>
  <si>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</si>
  <si>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</si>
  <si>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</si>
  <si>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</si>
  <si>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</si>
  <si>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</si>
  <si>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</si>
  <si>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</si>
  <si>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</si>
  <si>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</si>
  <si>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</si>
  <si>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</si>
  <si>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</si>
  <si>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</si>
  <si>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</si>
  <si>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</si>
  <si>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</si>
  <si>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</si>
  <si>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</si>
  <si>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</si>
  <si>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</si>
  <si>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</si>
  <si>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</si>
  <si>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</si>
  <si>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</si>
  <si>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</si>
  <si>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</si>
  <si>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</si>
  <si>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</si>
  <si>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</si>
  <si>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</si>
  <si>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</si>
  <si>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</si>
  <si>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</si>
  <si>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</si>
  <si>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</si>
  <si>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</si>
  <si>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</si>
  <si>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</si>
  <si>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</si>
  <si>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</si>
  <si>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</si>
  <si>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</si>
  <si>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</si>
  <si>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</si>
  <si>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</si>
  <si>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</si>
  <si>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</si>
  <si>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</si>
  <si>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</si>
  <si>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</si>
  <si>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</si>
  <si>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</si>
  <si>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</si>
  <si>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</si>
  <si>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</si>
  <si>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</si>
  <si>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</si>
  <si>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</si>
  <si>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</si>
  <si>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</si>
  <si>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</si>
  <si>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</si>
  <si>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</si>
  <si>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</si>
  <si>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</si>
  <si>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</si>
  <si>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</si>
  <si>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</si>
  <si>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</si>
  <si>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</si>
  <si>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</si>
  <si>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</si>
  <si>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</si>
  <si>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</si>
  <si>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</si>
  <si>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</si>
  <si>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</si>
  <si>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</si>
  <si>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</si>
  <si>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</si>
  <si>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</si>
  <si>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</si>
  <si>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</si>
  <si>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</si>
  <si>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</si>
  <si>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</si>
  <si>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</si>
  <si>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</si>
  <si>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</si>
  <si>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</si>
  <si>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</si>
  <si>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</si>
  <si>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</si>
  <si>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</si>
  <si>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</si>
  <si>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</si>
  <si>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</si>
  <si>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</si>
  <si>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</si>
  <si>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</si>
  <si>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</si>
  <si>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</si>
  <si>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</si>
  <si>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</si>
  <si>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</si>
  <si>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</si>
  <si>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</si>
  <si>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</si>
  <si>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</si>
  <si>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</si>
  <si>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</si>
  <si>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</si>
  <si>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</si>
  <si>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</si>
  <si>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</si>
  <si>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</si>
  <si>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</si>
  <si>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</si>
  <si>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</si>
  <si>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</si>
  <si>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</si>
  <si>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</si>
  <si>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</si>
  <si>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</si>
  <si>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</si>
  <si>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</si>
  <si>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</si>
  <si>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</si>
  <si>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</si>
  <si>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</si>
  <si>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</si>
  <si>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</si>
  <si>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</si>
  <si>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</si>
  <si>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</si>
  <si>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</si>
  <si>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</si>
  <si>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</si>
  <si>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</si>
  <si>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</si>
  <si>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</si>
  <si>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</si>
  <si>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</si>
  <si>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</si>
  <si>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</si>
  <si>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</si>
  <si>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</si>
  <si>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</si>
  <si>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</si>
  <si>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</si>
  <si>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</si>
  <si>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</si>
  <si>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</si>
  <si>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</si>
  <si>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</si>
  <si>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</si>
  <si>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</si>
  <si>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</si>
  <si>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</si>
  <si>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</si>
  <si>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</si>
  <si>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</si>
  <si>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</si>
  <si>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</si>
  <si>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</si>
  <si>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</si>
  <si>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</si>
  <si>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</si>
  <si>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</si>
  <si>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</si>
  <si>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</si>
  <si>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</si>
  <si>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</si>
  <si>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</si>
  <si>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</si>
  <si>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</si>
  <si>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</si>
  <si>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</si>
  <si>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</si>
  <si>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</si>
  <si>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</si>
  <si>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</si>
  <si>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</si>
  <si>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</si>
  <si>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</si>
  <si>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</si>
  <si>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</si>
  <si>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</si>
  <si>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</si>
  <si>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</si>
  <si>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</si>
  <si>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</si>
  <si>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</si>
  <si>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</si>
  <si>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</si>
  <si>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</si>
  <si>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</si>
  <si>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</si>
  <si>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</si>
  <si>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</si>
  <si>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</si>
  <si>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</si>
  <si>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</si>
  <si>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</si>
  <si>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</si>
  <si>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</si>
  <si>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</si>
  <si>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</si>
  <si>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</si>
  <si>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</si>
  <si>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</si>
  <si>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</si>
  <si>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</si>
  <si>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</si>
  <si>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</si>
  <si>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</si>
  <si>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</si>
  <si>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</si>
  <si>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</si>
  <si>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</si>
  <si>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</si>
  <si>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</si>
  <si>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</si>
  <si>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</si>
  <si>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</si>
  <si>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</si>
  <si>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</si>
  <si>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</si>
  <si>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</si>
  <si>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</si>
  <si>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</si>
  <si>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</si>
  <si>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</si>
  <si>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</si>
  <si>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</si>
  <si>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</si>
  <si>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</si>
  <si>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</si>
  <si>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</si>
  <si>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</si>
  <si>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</si>
  <si>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</si>
  <si>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</si>
  <si>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</si>
  <si>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</si>
  <si>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</si>
  <si>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</si>
  <si>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</si>
  <si>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</si>
  <si>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</si>
  <si>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</si>
  <si>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</si>
  <si>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</si>
  <si>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</si>
  <si>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</si>
  <si>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</si>
  <si>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</si>
  <si>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</si>
  <si>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</si>
  <si>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</si>
  <si>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</si>
  <si>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</si>
  <si>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</si>
  <si>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</si>
  <si>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</si>
  <si>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</si>
  <si>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</si>
  <si>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</si>
  <si>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</si>
  <si>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</si>
  <si>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</si>
  <si>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</si>
  <si>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</si>
  <si>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</si>
  <si>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</si>
  <si>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</si>
  <si>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</si>
  <si>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</si>
  <si>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</si>
  <si>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</si>
  <si>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</si>
  <si>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</si>
  <si>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</si>
  <si>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</si>
  <si>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</si>
  <si>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</si>
  <si>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</si>
  <si>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</si>
  <si>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</si>
  <si>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</si>
  <si>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</si>
  <si>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</si>
  <si>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</si>
  <si>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</si>
  <si>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</si>
  <si>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</si>
  <si>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</si>
  <si>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</si>
  <si>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</si>
  <si>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</si>
  <si>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</si>
  <si>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</si>
  <si>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</si>
  <si>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</si>
  <si>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</si>
  <si>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</si>
  <si>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</si>
  <si>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</si>
  <si>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</si>
  <si>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</si>
  <si>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</si>
  <si>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</si>
  <si>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</si>
  <si>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</si>
  <si>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</si>
  <si>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</si>
  <si>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</si>
  <si>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</si>
  <si>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</si>
  <si>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</si>
  <si>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</si>
  <si>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</si>
  <si>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</si>
  <si>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</si>
  <si>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</si>
  <si>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</si>
  <si>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</si>
  <si>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</si>
  <si>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</si>
  <si>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</si>
  <si>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</si>
  <si>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</si>
  <si>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</si>
  <si>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</si>
  <si>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</si>
  <si>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</si>
  <si>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</si>
  <si>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</si>
  <si>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</si>
  <si>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</si>
  <si>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</si>
  <si>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</si>
  <si>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</si>
  <si>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</si>
  <si>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</si>
  <si>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</si>
  <si>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</si>
  <si>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</si>
  <si>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</si>
  <si>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</si>
  <si>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</si>
  <si>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</si>
  <si>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</si>
  <si>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</si>
  <si>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</si>
  <si>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</si>
  <si>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</si>
  <si>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</si>
  <si>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</si>
  <si>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</si>
  <si>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</si>
  <si>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</si>
  <si>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</si>
  <si>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</si>
  <si>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</si>
  <si>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</si>
  <si>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</si>
  <si>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</si>
  <si>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</si>
  <si>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</si>
  <si>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</si>
  <si>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</si>
  <si>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</si>
  <si>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</si>
  <si>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</si>
  <si>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</si>
  <si>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</si>
  <si>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</si>
  <si>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</si>
  <si>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</si>
  <si>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</si>
  <si>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</si>
  <si>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</si>
  <si>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</si>
  <si>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</si>
  <si>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</si>
  <si>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</si>
  <si>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</si>
  <si>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</si>
  <si>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</si>
  <si>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</si>
  <si>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</si>
  <si>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</si>
  <si>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</si>
  <si>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</si>
  <si>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</si>
  <si>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</si>
  <si>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</si>
  <si>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</si>
  <si>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</si>
  <si>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</si>
  <si>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</si>
  <si>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</si>
  <si>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</si>
  <si>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</si>
  <si>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</si>
  <si>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</si>
  <si>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</si>
  <si>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</si>
  <si>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</si>
  <si>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</si>
  <si>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</si>
  <si>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</si>
  <si>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</si>
  <si>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</si>
  <si>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</si>
  <si>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</si>
  <si>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</si>
  <si>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</si>
  <si>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</si>
  <si>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</si>
  <si>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</si>
  <si>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</si>
  <si>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</si>
  <si>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</si>
  <si>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</si>
  <si>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</si>
  <si>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</si>
  <si>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</si>
  <si>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</si>
  <si>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</si>
  <si>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</si>
  <si>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</si>
  <si>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</si>
  <si>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</si>
  <si>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</si>
  <si>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</si>
  <si>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</si>
  <si>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</si>
  <si>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</si>
  <si>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</si>
  <si>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</si>
  <si>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</si>
  <si>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</si>
  <si>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</si>
  <si>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</si>
  <si>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</si>
  <si>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</si>
  <si>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</si>
  <si>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</si>
  <si>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</si>
  <si>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</si>
  <si>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</si>
  <si>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</si>
  <si>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</si>
  <si>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</si>
  <si>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</si>
  <si>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</si>
  <si>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</si>
  <si>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</si>
  <si>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</si>
  <si>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</si>
  <si>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</si>
  <si>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</si>
  <si>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</si>
  <si>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</si>
  <si>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</si>
  <si>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</si>
  <si>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</si>
  <si>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</si>
  <si>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</si>
  <si>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</si>
  <si>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</si>
  <si>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</si>
  <si>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</si>
  <si>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</si>
  <si>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</si>
  <si>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</si>
  <si>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</si>
  <si>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</si>
  <si>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</si>
  <si>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</si>
  <si>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</si>
  <si>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</si>
  <si>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</si>
  <si>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</si>
  <si>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</si>
  <si>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</si>
  <si>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</si>
  <si>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</si>
  <si>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</si>
  <si>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</si>
  <si>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</si>
  <si>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</si>
  <si>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</si>
  <si>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</si>
  <si>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</si>
  <si>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</si>
  <si>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</si>
  <si>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</si>
  <si>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</si>
  <si>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</si>
  <si>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</si>
  <si>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</si>
  <si>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</si>
  <si>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</si>
  <si>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</si>
  <si>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</si>
  <si>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</si>
  <si>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</si>
  <si>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</si>
  <si>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</si>
  <si>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</si>
  <si>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</si>
  <si>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</si>
  <si>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</si>
  <si>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</si>
  <si>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</si>
  <si>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</si>
  <si>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</si>
  <si>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</si>
  <si>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</si>
  <si>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</si>
  <si>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</si>
  <si>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</si>
  <si>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</si>
  <si>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</si>
  <si>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</si>
  <si>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</si>
  <si>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</si>
  <si>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</si>
  <si>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</si>
  <si>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</si>
  <si>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</si>
  <si>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</si>
  <si>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</si>
  <si>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</si>
  <si>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</si>
  <si>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</si>
  <si>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</si>
  <si>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</si>
  <si>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</si>
  <si>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</si>
  <si>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</si>
  <si>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</si>
  <si>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</si>
  <si>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</si>
  <si>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</si>
  <si>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</si>
  <si>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</si>
  <si>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</si>
  <si>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</si>
  <si>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</si>
  <si>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</si>
  <si>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</si>
  <si>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</si>
  <si>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</si>
  <si>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</si>
  <si>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</si>
  <si>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</si>
  <si>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</si>
  <si>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</si>
  <si>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</si>
  <si>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</si>
  <si>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</si>
  <si>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</si>
  <si>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</si>
  <si>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</si>
  <si>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</si>
  <si>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</si>
  <si>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</si>
  <si>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</si>
  <si>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</si>
  <si>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</si>
  <si>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</si>
  <si>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</si>
  <si>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</si>
  <si>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</si>
  <si>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</si>
  <si>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</si>
  <si>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</si>
  <si>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</si>
  <si>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</si>
  <si>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</si>
  <si>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</si>
  <si>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</si>
  <si>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</si>
  <si>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</si>
  <si>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</si>
  <si>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</si>
  <si>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</si>
  <si>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</si>
  <si>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</si>
  <si>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</si>
  <si>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</si>
  <si>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</si>
  <si>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</si>
  <si>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</si>
  <si>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</si>
  <si>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</si>
  <si>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</si>
  <si>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</si>
  <si>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</si>
  <si>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</si>
  <si>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</si>
  <si>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</si>
  <si>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</si>
  <si>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</si>
  <si>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</si>
  <si>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</si>
  <si>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</si>
  <si>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</si>
  <si>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</si>
  <si>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</si>
  <si>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</si>
  <si>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</si>
  <si>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</si>
  <si>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</si>
  <si>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</si>
  <si>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</si>
  <si>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</si>
  <si>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</si>
  <si>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</si>
  <si>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</si>
  <si>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</si>
  <si>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</si>
  <si>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</si>
  <si>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</si>
  <si>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</si>
  <si>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</si>
  <si>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</si>
  <si>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</si>
  <si>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</si>
  <si>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</si>
  <si>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</si>
  <si>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</si>
  <si>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</si>
  <si>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</si>
  <si>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</si>
  <si>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</si>
  <si>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</si>
  <si>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</si>
  <si>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</si>
  <si>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</si>
  <si>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</si>
  <si>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</si>
  <si>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</si>
  <si>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</si>
  <si>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</si>
  <si>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</si>
  <si>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</si>
  <si>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</si>
  <si>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</si>
  <si>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</si>
  <si>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</si>
  <si>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</si>
  <si>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</si>
  <si>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</si>
  <si>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</si>
  <si>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</si>
  <si>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</si>
  <si>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</si>
  <si>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</si>
  <si>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</si>
  <si>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</si>
  <si>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</si>
  <si>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</si>
  <si>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</si>
  <si>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</si>
  <si>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</si>
  <si>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</si>
  <si>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</si>
  <si>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</si>
  <si>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</si>
  <si>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</si>
  <si>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</si>
  <si>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</si>
  <si>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</si>
  <si>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</si>
  <si>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</si>
  <si>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</si>
  <si>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</si>
  <si>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</si>
  <si>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</si>
  <si>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</si>
  <si>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</si>
  <si>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</si>
  <si>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</si>
  <si>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</si>
  <si>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</si>
  <si>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</si>
  <si>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</si>
  <si>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</si>
  <si>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</si>
  <si>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</si>
  <si>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</si>
  <si>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</si>
  <si>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</si>
  <si>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</si>
  <si>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</si>
  <si>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</si>
  <si>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</si>
  <si>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</si>
  <si>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</si>
  <si>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</si>
  <si>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</si>
  <si>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</si>
  <si>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</si>
  <si>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</si>
  <si>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</si>
  <si>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</si>
  <si>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</si>
  <si>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</si>
  <si>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</si>
  <si>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</si>
  <si>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</si>
  <si>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</si>
  <si>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</si>
  <si>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</si>
  <si>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</si>
  <si>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</si>
  <si>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</si>
  <si>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</si>
  <si>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</si>
  <si>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</si>
  <si>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</si>
  <si>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</si>
  <si>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</si>
  <si>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</si>
  <si>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</si>
  <si>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</si>
  <si>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</si>
  <si>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</si>
  <si>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</si>
  <si>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</si>
  <si>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</si>
  <si>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</si>
  <si>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</si>
  <si>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</si>
  <si>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</si>
  <si>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</si>
  <si>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</si>
  <si>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</si>
  <si>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</si>
  <si>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</si>
  <si>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</si>
  <si>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</si>
  <si>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</si>
  <si>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</si>
  <si>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</si>
  <si>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</si>
  <si>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</si>
  <si>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</si>
  <si>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</si>
  <si>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</si>
  <si>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</si>
  <si>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</si>
  <si>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</si>
  <si>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</si>
  <si>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</si>
  <si>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</si>
  <si>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</si>
  <si>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</si>
  <si>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</si>
  <si>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</si>
  <si>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</si>
  <si>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</si>
  <si>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</si>
  <si>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</si>
  <si>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</si>
  <si>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</si>
  <si>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</si>
  <si>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</si>
  <si>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</si>
  <si>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</si>
  <si>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</si>
  <si>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</si>
  <si>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</si>
  <si>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</si>
  <si>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</si>
  <si>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</si>
  <si>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</si>
  <si>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</si>
  <si>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</si>
  <si>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</si>
  <si>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</si>
  <si>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</si>
  <si>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</si>
  <si>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</si>
  <si>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</si>
  <si>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</si>
  <si>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</si>
  <si>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</si>
  <si>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</si>
  <si>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</si>
  <si>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</si>
  <si>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</si>
  <si>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</si>
  <si>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</si>
  <si>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</si>
  <si>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</si>
  <si>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</si>
  <si>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</si>
  <si>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</si>
  <si>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</si>
  <si>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</si>
  <si>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</si>
  <si>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</si>
  <si>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</si>
  <si>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</si>
  <si>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</si>
  <si>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</si>
  <si>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</si>
  <si>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</si>
  <si>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</si>
  <si>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</si>
  <si>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</si>
  <si>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</si>
  <si>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</si>
  <si>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</si>
  <si>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</si>
  <si>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</si>
  <si>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</si>
  <si>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</si>
  <si>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</si>
  <si>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</si>
  <si>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</si>
  <si>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</si>
  <si>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</si>
  <si>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</si>
  <si>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</si>
  <si>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</si>
  <si>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</si>
  <si>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</si>
  <si>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</si>
  <si>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</si>
  <si>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</si>
  <si>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</si>
  <si>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</si>
  <si>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</si>
  <si>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</si>
  <si>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</si>
  <si>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</si>
  <si>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</si>
  <si>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</si>
  <si>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</si>
  <si>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</si>
  <si>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</si>
  <si>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</si>
  <si>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</si>
  <si>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</si>
  <si>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</si>
  <si>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</si>
  <si>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</si>
  <si>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</si>
  <si>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</si>
  <si>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</si>
  <si>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</si>
  <si>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</si>
  <si>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</si>
  <si>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</si>
  <si>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</si>
  <si>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</si>
  <si>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</si>
  <si>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</si>
  <si>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</si>
  <si>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</si>
  <si>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</si>
  <si>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</si>
  <si>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</si>
  <si>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</si>
  <si>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</si>
  <si>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</si>
  <si>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</si>
  <si>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</si>
  <si>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</si>
  <si>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</si>
  <si>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</si>
  <si>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</si>
  <si>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</si>
  <si>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</si>
  <si>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</si>
  <si>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</si>
  <si>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</si>
  <si>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</si>
  <si>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</si>
  <si>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</si>
  <si>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</si>
  <si>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</si>
  <si>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</si>
  <si>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</si>
  <si>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</si>
  <si>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</si>
  <si>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</si>
  <si>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</si>
  <si>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</si>
  <si>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</si>
  <si>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</si>
  <si>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</si>
  <si>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</si>
  <si>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</si>
  <si>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</si>
  <si>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</si>
  <si>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</si>
  <si>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</si>
  <si>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</si>
  <si>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</si>
  <si>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</si>
  <si>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</si>
  <si>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</si>
  <si>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</si>
  <si>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</si>
  <si>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</si>
  <si>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</si>
  <si>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</si>
  <si>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</si>
  <si>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</si>
  <si>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</si>
  <si>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</si>
  <si>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</si>
  <si>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</si>
  <si>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</si>
  <si>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</si>
  <si>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</si>
  <si>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</si>
  <si>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</si>
  <si>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</si>
  <si>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</si>
  <si>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</si>
  <si>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</si>
  <si>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</si>
  <si>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</si>
  <si>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</si>
  <si>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</si>
  <si>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</si>
  <si>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</si>
  <si>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</si>
  <si>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</si>
  <si>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</si>
  <si>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</si>
  <si>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</si>
  <si>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</si>
  <si>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</si>
  <si>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</si>
  <si>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</si>
  <si>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</si>
  <si>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</si>
  <si>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</si>
  <si>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</si>
  <si>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</si>
  <si>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</si>
  <si>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</si>
  <si>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</si>
  <si>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</si>
  <si>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</si>
  <si>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</si>
  <si>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</si>
  <si>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</si>
  <si>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</si>
  <si>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</si>
  <si>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</si>
  <si>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</si>
  <si>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</si>
  <si>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</si>
  <si>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</si>
  <si>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</si>
  <si>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</si>
  <si>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</si>
  <si>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</si>
  <si>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</si>
  <si>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</si>
  <si>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</si>
  <si>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</si>
  <si>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</si>
  <si>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</si>
  <si>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</si>
  <si>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</si>
  <si>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</si>
  <si>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</si>
  <si>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</si>
  <si>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</si>
  <si>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</si>
  <si>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</si>
  <si>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</si>
  <si>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</si>
  <si>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</si>
  <si>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</si>
  <si>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</si>
  <si>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</si>
  <si>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</si>
  <si>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</si>
  <si>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</si>
  <si>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</si>
  <si>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</si>
  <si>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</si>
  <si>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</si>
  <si>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</si>
  <si>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</si>
  <si>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</si>
  <si>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</si>
  <si>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</si>
  <si>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</si>
  <si>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</si>
  <si>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</si>
  <si>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</si>
  <si>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</si>
  <si>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</si>
  <si>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</si>
  <si>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</si>
  <si>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</si>
  <si>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</si>
  <si>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</si>
  <si>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</si>
  <si>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</si>
  <si>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</si>
  <si>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</si>
  <si>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</si>
  <si>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</si>
  <si>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</si>
  <si>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</si>
  <si>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</si>
  <si>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</si>
  <si>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</si>
  <si>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</si>
  <si>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</si>
  <si>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</si>
  <si>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</si>
  <si>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</si>
  <si>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</si>
  <si>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</si>
  <si>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</si>
  <si>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</si>
  <si>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</si>
  <si>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</si>
  <si>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</si>
  <si>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</si>
  <si>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</si>
  <si>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</si>
  <si>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</si>
  <si>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</si>
  <si>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</si>
  <si>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</si>
  <si>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</si>
  <si>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</si>
  <si>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</si>
  <si>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</si>
  <si>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</si>
  <si>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</si>
  <si>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</si>
  <si>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</si>
  <si>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</si>
  <si>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</si>
  <si>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</si>
  <si>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</si>
  <si>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</si>
  <si>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</si>
  <si>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</si>
  <si>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</si>
  <si>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</si>
  <si>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</si>
  <si>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</si>
  <si>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</si>
  <si>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</si>
  <si>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</si>
  <si>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</si>
  <si>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</si>
  <si>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</si>
  <si>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</si>
  <si>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</si>
  <si>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</si>
  <si>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</si>
  <si>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</si>
  <si>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</si>
  <si>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</si>
  <si>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</si>
  <si>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</si>
  <si>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</si>
  <si>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</si>
  <si>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</si>
  <si>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</si>
  <si>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</si>
  <si>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</si>
  <si>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</si>
  <si>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</si>
  <si>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</si>
  <si>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</si>
  <si>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</si>
  <si>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</si>
  <si>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</si>
  <si>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</si>
  <si>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</si>
  <si>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</si>
  <si>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</si>
  <si>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</si>
  <si>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</si>
  <si>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</si>
  <si>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</si>
  <si>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</si>
  <si>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</si>
  <si>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</si>
  <si>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</si>
  <si>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</si>
  <si>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</si>
  <si>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</si>
  <si>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</si>
  <si>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</si>
  <si>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</si>
  <si>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</si>
  <si>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</si>
  <si>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</si>
  <si>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</si>
  <si>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</si>
  <si>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</si>
  <si>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</si>
  <si>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</si>
  <si>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</si>
  <si>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</si>
  <si>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</si>
  <si>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</si>
  <si>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</si>
  <si>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</si>
  <si>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</si>
  <si>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</si>
  <si>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</si>
  <si>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</si>
  <si>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</si>
  <si>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</si>
  <si>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</si>
  <si>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</si>
  <si>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</si>
  <si>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</si>
  <si>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</si>
  <si>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</si>
  <si>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</si>
  <si>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</si>
  <si>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</si>
  <si>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</si>
  <si>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</si>
  <si>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</si>
  <si>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</si>
  <si>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</si>
  <si>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</si>
  <si>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</si>
  <si>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</si>
  <si>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</si>
  <si>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</si>
  <si>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</si>
  <si>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</si>
  <si>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</si>
  <si>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</si>
  <si>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</si>
  <si>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</si>
  <si>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</si>
  <si>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</si>
  <si>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</si>
  <si>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</si>
  <si>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</si>
  <si>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</si>
  <si>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</si>
  <si>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</si>
  <si>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</si>
  <si>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</si>
  <si>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</si>
  <si>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</si>
  <si>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</si>
  <si>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</si>
  <si>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</si>
  <si>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</si>
  <si>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</si>
  <si>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</si>
  <si>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</si>
  <si>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</si>
  <si>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</si>
  <si>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</si>
  <si>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</si>
  <si>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</si>
  <si>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</si>
  <si>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</si>
  <si>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</si>
  <si>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</si>
  <si>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</si>
  <si>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</si>
  <si>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</si>
  <si>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</si>
  <si>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</si>
  <si>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</si>
  <si>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</si>
  <si>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</si>
  <si>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</si>
  <si>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</si>
  <si>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</si>
  <si>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</si>
  <si>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</si>
  <si>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</si>
  <si>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</si>
  <si>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</si>
  <si>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</si>
  <si>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</si>
  <si>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</si>
  <si>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</si>
  <si>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</si>
  <si>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</si>
  <si>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</si>
  <si>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</si>
  <si>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</si>
  <si>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</si>
  <si>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</si>
  <si>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</si>
  <si>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</si>
  <si>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</si>
  <si>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</si>
  <si>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</si>
  <si>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</si>
  <si>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</si>
  <si>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</si>
  <si>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</si>
  <si>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</si>
  <si>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</si>
  <si>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</si>
  <si>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</si>
  <si>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</si>
  <si>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</si>
  <si>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</si>
  <si>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</si>
  <si>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</si>
  <si>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</si>
  <si>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</si>
  <si>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</si>
  <si>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</si>
  <si>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</si>
  <si>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</si>
  <si>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</si>
  <si>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</si>
  <si>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</si>
  <si>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</si>
  <si>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</si>
  <si>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</si>
  <si>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</si>
  <si>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</si>
  <si>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</si>
  <si>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</si>
  <si>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</si>
  <si>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</si>
  <si>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</si>
  <si>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</si>
  <si>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</si>
  <si>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</si>
  <si>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</si>
  <si>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</si>
  <si>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</si>
  <si>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</si>
  <si>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</si>
  <si>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</si>
  <si>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</si>
  <si>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</si>
  <si>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</si>
  <si>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</si>
  <si>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</si>
  <si>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</si>
  <si>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</si>
  <si>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</si>
  <si>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</si>
  <si>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</si>
  <si>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</si>
  <si>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</si>
  <si>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</si>
  <si>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</si>
  <si>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</si>
  <si>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</si>
  <si>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</si>
  <si>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</si>
  <si>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</si>
  <si>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</si>
  <si>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</si>
  <si>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</si>
  <si>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</si>
  <si>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</si>
  <si>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</si>
  <si>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</si>
  <si>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</si>
  <si>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</si>
  <si>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</si>
  <si>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</si>
  <si>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</si>
  <si>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</si>
  <si>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</si>
  <si>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</si>
  <si>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</si>
  <si>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</si>
  <si>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</si>
  <si>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</si>
  <si>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</si>
  <si>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</si>
  <si>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</si>
  <si>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</si>
  <si>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</si>
  <si>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</si>
  <si>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</si>
  <si>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</si>
  <si>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</si>
  <si>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</si>
  <si>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</si>
  <si>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</si>
  <si>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</si>
  <si>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</si>
  <si>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</si>
  <si>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</si>
  <si>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</si>
  <si>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</si>
  <si>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</si>
  <si>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</si>
  <si>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</si>
  <si>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</si>
  <si>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</si>
  <si>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</si>
  <si>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</si>
  <si>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</si>
  <si>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</si>
  <si>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</si>
  <si>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</si>
  <si>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</si>
  <si>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</si>
  <si>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</si>
  <si>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</si>
  <si>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</si>
  <si>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</si>
  <si>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</si>
  <si>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</si>
  <si>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</si>
  <si>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</si>
  <si>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</si>
  <si>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</si>
  <si>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</si>
  <si>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</si>
  <si>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</si>
  <si>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</si>
  <si>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</si>
  <si>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</si>
  <si>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</si>
  <si>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</si>
  <si>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</si>
  <si>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</si>
  <si>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</si>
  <si>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</si>
  <si>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</si>
  <si>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</si>
  <si>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</si>
  <si>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</si>
  <si>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</si>
  <si>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</si>
  <si>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</si>
  <si>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</si>
  <si>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</si>
  <si>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</si>
  <si>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</si>
  <si>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</si>
  <si>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</si>
  <si>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</si>
  <si>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</si>
  <si>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</si>
  <si>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</si>
  <si>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</si>
  <si>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</si>
  <si>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</si>
  <si>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</si>
  <si>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</si>
  <si>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</si>
  <si>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</si>
  <si>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</si>
  <si>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</si>
  <si>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</si>
  <si>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</si>
  <si>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</si>
  <si>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</si>
  <si>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</si>
  <si>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</si>
  <si>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</si>
  <si>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</si>
  <si>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</si>
  <si>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</si>
  <si>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</si>
  <si>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</si>
  <si>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</si>
  <si>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</si>
  <si>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</si>
  <si>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</si>
  <si>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</si>
  <si>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</si>
  <si>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</si>
  <si>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</si>
  <si>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</si>
  <si>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</si>
  <si>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</si>
  <si>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</si>
  <si>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</si>
  <si>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</si>
  <si>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</si>
  <si>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</si>
  <si>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</si>
  <si>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</si>
  <si>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</si>
  <si>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</si>
  <si>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</si>
  <si>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</si>
  <si>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</si>
  <si>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</si>
  <si>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</si>
  <si>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</si>
  <si>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</si>
  <si>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</si>
  <si>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</si>
  <si>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</si>
  <si>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</si>
  <si>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</si>
  <si>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</si>
  <si>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</si>
  <si>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</si>
  <si>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</si>
  <si>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</si>
  <si>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</si>
  <si>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</si>
  <si>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</si>
  <si>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</si>
  <si>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</si>
  <si>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</si>
  <si>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</si>
  <si>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</si>
  <si>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</si>
  <si>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</si>
  <si>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</si>
  <si>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</si>
  <si>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</si>
  <si>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</si>
  <si>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</si>
  <si>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</si>
  <si>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</si>
  <si>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</si>
  <si>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</si>
  <si>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</si>
  <si>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</si>
  <si>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</si>
  <si>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</si>
  <si>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</si>
  <si>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</si>
  <si>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</si>
  <si>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</si>
  <si>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</si>
  <si>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</si>
  <si>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</si>
  <si>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</si>
  <si>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</si>
  <si>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</si>
  <si>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</si>
  <si>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</si>
  <si>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</si>
  <si>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</si>
  <si>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</si>
  <si>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</si>
  <si>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</si>
  <si>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</si>
  <si>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</si>
  <si>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</si>
  <si>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</si>
  <si>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</si>
  <si>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</si>
  <si>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</si>
  <si>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</si>
  <si>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</si>
  <si>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</si>
  <si>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</si>
  <si>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</si>
  <si>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</si>
  <si>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</si>
  <si>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</si>
  <si>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</si>
  <si>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</si>
  <si>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</si>
  <si>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</si>
  <si>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</si>
  <si>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</si>
  <si>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</si>
  <si>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</si>
  <si>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</si>
  <si>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</si>
  <si>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</si>
  <si>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</si>
  <si>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</si>
  <si>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</si>
  <si>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</si>
  <si>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</si>
  <si>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</si>
  <si>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</si>
  <si>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</si>
  <si>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</si>
  <si>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</si>
  <si>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</si>
  <si>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</si>
  <si>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</si>
  <si>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</si>
  <si>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</si>
  <si>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</si>
  <si>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</si>
  <si>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</si>
  <si>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</si>
  <si>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</si>
  <si>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</si>
  <si>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</si>
  <si>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</si>
  <si>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</si>
  <si>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</si>
  <si>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</si>
  <si>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</si>
  <si>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</si>
  <si>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</si>
  <si>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</si>
  <si>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</si>
  <si>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</si>
  <si>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</si>
  <si>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</si>
  <si>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</si>
  <si>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</si>
  <si>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</si>
  <si>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</si>
  <si>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</si>
  <si>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</si>
  <si>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</si>
  <si>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</si>
  <si>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</si>
  <si>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</si>
  <si>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</si>
  <si>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</si>
  <si>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</si>
  <si>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</si>
  <si>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</si>
  <si>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</si>
  <si>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</si>
  <si>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</si>
  <si>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</si>
  <si>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</si>
  <si>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</si>
  <si>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</si>
  <si>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</si>
  <si>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</si>
  <si>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</si>
  <si>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</si>
  <si>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</si>
  <si>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</si>
  <si>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</si>
  <si>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</si>
  <si>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</si>
  <si>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</si>
  <si>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</si>
  <si>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</si>
  <si>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</si>
  <si>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</si>
  <si>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</si>
  <si>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</si>
  <si>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</si>
  <si>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</si>
  <si>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</si>
  <si>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</si>
  <si>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</si>
  <si>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</si>
  <si>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</si>
  <si>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</si>
  <si>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</si>
  <si>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</si>
  <si>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</si>
  <si>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</si>
  <si>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</si>
  <si>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</si>
  <si>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</si>
  <si>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</si>
  <si>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</si>
  <si>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</si>
  <si>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</si>
  <si>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</si>
  <si>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</si>
  <si>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</si>
  <si>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</si>
  <si>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</si>
  <si>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</si>
  <si>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</si>
  <si>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</si>
  <si>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</si>
  <si>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</si>
  <si>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</si>
  <si>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</si>
  <si>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</si>
  <si>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</si>
  <si>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</si>
  <si>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</si>
  <si>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</si>
  <si>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</si>
  <si>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</si>
  <si>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</si>
  <si>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</si>
  <si>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</si>
  <si>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</si>
  <si>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</si>
  <si>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</si>
  <si>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</si>
  <si>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</si>
  <si>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</si>
  <si>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</si>
  <si>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</si>
  <si>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</si>
  <si>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</si>
  <si>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</si>
  <si>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</si>
  <si>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</si>
  <si>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</si>
  <si>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</si>
  <si>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</si>
  <si>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</si>
  <si>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</si>
  <si>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</si>
  <si>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</si>
  <si>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</si>
  <si>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</si>
  <si>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</si>
  <si>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</si>
  <si>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</si>
  <si>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</si>
  <si>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</si>
  <si>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</si>
  <si>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</si>
  <si>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</si>
  <si>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</si>
  <si>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</si>
  <si>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</si>
  <si>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</si>
  <si>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</si>
  <si>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</si>
  <si>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</si>
  <si>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</si>
  <si>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</si>
  <si>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</si>
  <si>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</si>
  <si>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</si>
  <si>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</si>
  <si>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</si>
  <si>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</si>
  <si>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</si>
  <si>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</si>
  <si>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</si>
  <si>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</si>
  <si>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</si>
  <si>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</si>
  <si>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</si>
  <si>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</si>
  <si>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</si>
  <si>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</si>
  <si>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</si>
  <si>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</si>
  <si>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</si>
  <si>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</si>
  <si>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</si>
  <si>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</si>
  <si>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</si>
  <si>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</si>
  <si>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</si>
  <si>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</si>
  <si>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</si>
  <si>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</si>
  <si>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</si>
  <si>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</si>
  <si>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</si>
  <si>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</si>
  <si>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</si>
  <si>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</si>
  <si>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</si>
  <si>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</si>
  <si>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</si>
  <si>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</si>
  <si>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</si>
  <si>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</si>
  <si>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</si>
  <si>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</si>
  <si>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</si>
  <si>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</si>
  <si>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</si>
  <si>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</si>
  <si>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</si>
  <si>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</si>
  <si>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</si>
  <si>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</si>
  <si>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</si>
  <si>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</si>
  <si>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</si>
  <si>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</si>
  <si>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</si>
  <si>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</si>
  <si>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</si>
  <si>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</si>
  <si>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</si>
  <si>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</si>
  <si>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</si>
  <si>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</si>
  <si>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</si>
  <si>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</si>
  <si>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</si>
  <si>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</si>
  <si>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</si>
  <si>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</si>
  <si>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</si>
  <si>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</si>
  <si>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</si>
  <si>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</si>
  <si>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</si>
  <si>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</si>
  <si>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</si>
  <si>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</si>
  <si>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</si>
  <si>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</si>
  <si>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</si>
  <si>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</si>
  <si>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</si>
  <si>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</si>
  <si>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</si>
  <si>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</si>
  <si>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</si>
  <si>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</si>
  <si>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</si>
  <si>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</si>
  <si>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</si>
  <si>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</si>
  <si>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</si>
  <si>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</si>
  <si>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</si>
  <si>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</si>
  <si>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</si>
  <si>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</si>
  <si>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</si>
  <si>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</si>
  <si>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</si>
  <si>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</si>
  <si>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</si>
  <si>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</si>
  <si>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</si>
  <si>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</si>
  <si>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</si>
  <si>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</si>
  <si>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</si>
  <si>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</si>
  <si>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</si>
  <si>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</si>
  <si>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</si>
  <si>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</si>
  <si>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</si>
  <si>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</si>
  <si>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</si>
  <si>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</si>
  <si>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</si>
  <si>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</si>
  <si>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</si>
  <si>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</si>
  <si>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</si>
  <si>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</si>
  <si>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</si>
  <si>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</si>
  <si>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</si>
  <si>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</si>
  <si>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</si>
  <si>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</si>
  <si>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</si>
  <si>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</si>
  <si>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</si>
  <si>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</si>
  <si>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</si>
  <si>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</si>
  <si>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</si>
  <si>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</si>
  <si>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</si>
  <si>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</si>
  <si>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</si>
  <si>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</si>
  <si>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</si>
  <si>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</si>
  <si>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</si>
  <si>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</si>
  <si>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</si>
  <si>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</si>
  <si>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</si>
  <si>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</si>
  <si>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</si>
  <si>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</si>
  <si>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</si>
  <si>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</si>
  <si>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</si>
  <si>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</si>
  <si>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</si>
  <si>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</si>
  <si>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</si>
  <si>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</si>
  <si>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</si>
  <si>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</si>
  <si>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</si>
  <si>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</si>
  <si>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</si>
  <si>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</si>
  <si>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</si>
  <si>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</si>
  <si>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</si>
  <si>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</si>
  <si>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</si>
  <si>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</si>
  <si>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</si>
  <si>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</si>
  <si>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</si>
  <si>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</si>
  <si>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</si>
  <si>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</si>
  <si>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</si>
  <si>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</si>
  <si>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</si>
  <si>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</si>
  <si>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</si>
  <si>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</si>
  <si>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</si>
  <si>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</si>
  <si>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</si>
  <si>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</si>
  <si>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</si>
  <si>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</si>
  <si>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</si>
  <si>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</si>
  <si>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</si>
  <si>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</si>
  <si>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</si>
  <si>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</si>
  <si>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</si>
  <si>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</si>
  <si>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</si>
  <si>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</si>
  <si>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</si>
  <si>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</si>
  <si>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</si>
  <si>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</si>
  <si>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</si>
  <si>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</si>
  <si>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</si>
  <si>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</si>
  <si>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</si>
  <si>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</si>
  <si>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</si>
  <si>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</si>
  <si>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</si>
  <si>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</si>
  <si>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</si>
  <si>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</si>
  <si>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</si>
  <si>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</si>
  <si>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</si>
  <si>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</si>
  <si>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</si>
  <si>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</si>
  <si>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</si>
  <si>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</si>
  <si>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</si>
  <si>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</si>
  <si>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</si>
  <si>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</si>
  <si>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</si>
  <si>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</si>
  <si>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</si>
  <si>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</si>
  <si>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</si>
  <si>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</si>
  <si>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</si>
  <si>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</si>
  <si>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</si>
  <si>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</si>
  <si>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</si>
  <si>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</si>
  <si>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</si>
  <si>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</si>
  <si>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</si>
  <si>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</si>
  <si>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</si>
  <si>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</si>
  <si>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</si>
  <si>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</si>
  <si>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</si>
  <si>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</si>
  <si>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</si>
  <si>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</si>
  <si>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</si>
  <si>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</si>
  <si>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</si>
  <si>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</si>
  <si>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</si>
  <si>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</si>
  <si>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</si>
  <si>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</si>
  <si>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</si>
  <si>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</si>
  <si>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</si>
  <si>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</si>
  <si>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</si>
  <si>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</si>
  <si>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</si>
  <si>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</si>
  <si>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</si>
  <si>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</si>
  <si>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</si>
  <si>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</si>
  <si>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</si>
  <si>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</si>
  <si>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</si>
  <si>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</si>
  <si>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</si>
  <si>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</si>
  <si>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</si>
  <si>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</si>
  <si>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</si>
  <si>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</si>
  <si>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</si>
  <si>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</si>
  <si>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</si>
  <si>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</si>
  <si>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</si>
  <si>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</si>
  <si>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</si>
  <si>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</si>
  <si>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</si>
  <si>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</si>
  <si>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</si>
  <si>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</si>
  <si>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</si>
  <si>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</si>
  <si>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</si>
  <si>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</si>
  <si>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</si>
  <si>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</si>
  <si>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</si>
  <si>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</si>
  <si>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</si>
  <si>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</si>
  <si>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</si>
  <si>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</si>
  <si>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</si>
  <si>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</si>
  <si>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</si>
  <si>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</si>
  <si>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</si>
  <si>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</si>
  <si>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</si>
  <si>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</si>
  <si>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</si>
  <si>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</si>
  <si>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</si>
  <si>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</si>
  <si>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</si>
  <si>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</si>
  <si>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</si>
  <si>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</si>
  <si>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</si>
  <si>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</si>
  <si>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</si>
  <si>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</si>
  <si>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</si>
  <si>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</si>
  <si>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</si>
  <si>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</si>
  <si>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</si>
  <si>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</si>
  <si>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</si>
  <si>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</si>
  <si>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</si>
  <si>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</si>
  <si>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</si>
  <si>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</si>
  <si>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</si>
  <si>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</si>
  <si>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</si>
  <si>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</si>
  <si>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</si>
  <si>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</si>
  <si>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</si>
  <si>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</si>
  <si>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</si>
  <si>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</si>
  <si>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</si>
  <si>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</si>
  <si>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</si>
  <si>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</si>
  <si>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</si>
  <si>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</si>
  <si>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</si>
  <si>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</si>
  <si>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</si>
  <si>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</si>
  <si>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</si>
  <si>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</si>
  <si>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</si>
  <si>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</si>
  <si>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</si>
  <si>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</si>
  <si>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</si>
  <si>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</si>
  <si>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</si>
  <si>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</si>
  <si>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</si>
  <si>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</si>
  <si>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</si>
  <si>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</si>
  <si>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</si>
  <si>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</si>
  <si>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</si>
  <si>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</si>
  <si>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</si>
  <si>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</si>
  <si>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</si>
  <si>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</si>
  <si>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</si>
  <si>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</si>
  <si>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</si>
  <si>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</si>
  <si>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</si>
  <si>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</si>
  <si>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</si>
  <si>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</si>
  <si>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</si>
  <si>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</si>
  <si>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</si>
  <si>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</si>
  <si>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</si>
  <si>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</si>
  <si>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</si>
  <si>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</si>
  <si>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</si>
  <si>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</si>
  <si>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</si>
  <si>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</si>
  <si>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</si>
  <si>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</si>
  <si>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</si>
  <si>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</si>
  <si>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</si>
  <si>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</si>
  <si>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</si>
  <si>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</si>
  <si>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</si>
  <si>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</si>
  <si>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</si>
  <si>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</si>
  <si>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</si>
  <si>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</si>
  <si>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</si>
  <si>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</si>
  <si>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</si>
  <si>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</si>
  <si>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</si>
  <si>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</si>
  <si>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</si>
  <si>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</si>
  <si>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</si>
  <si>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</si>
  <si>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</si>
  <si>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</si>
  <si>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</si>
  <si>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</si>
  <si>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</si>
  <si>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</si>
  <si>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</si>
  <si>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</si>
  <si>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</si>
  <si>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</si>
  <si>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</si>
  <si>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</si>
  <si>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</si>
  <si>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</si>
  <si>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</si>
  <si>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</si>
  <si>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</si>
  <si>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</si>
  <si>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</si>
  <si>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</si>
  <si>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</si>
  <si>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</si>
  <si>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</si>
  <si>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</si>
  <si>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</si>
  <si>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</si>
  <si>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</si>
  <si>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</si>
  <si>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</si>
  <si>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</si>
  <si>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</si>
  <si>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</si>
  <si>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</si>
  <si>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</si>
  <si>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</si>
  <si>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</si>
  <si>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</si>
  <si>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</si>
  <si>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</si>
  <si>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</si>
  <si>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</si>
  <si>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</si>
  <si>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</si>
  <si>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</si>
  <si>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</si>
  <si>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</si>
  <si>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</si>
  <si>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</si>
  <si>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</si>
  <si>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</si>
  <si>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</si>
  <si>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</si>
  <si>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</si>
  <si>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</si>
  <si>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</si>
  <si>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</si>
  <si>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</si>
  <si>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</si>
  <si>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</si>
  <si>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</si>
  <si>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</si>
  <si>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</si>
  <si>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</si>
  <si>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</si>
  <si>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</si>
  <si>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</si>
  <si>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</si>
  <si>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</si>
  <si>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</si>
  <si>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</si>
  <si>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</si>
  <si>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</si>
  <si>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</si>
  <si>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</si>
  <si>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</si>
  <si>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</si>
  <si>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</si>
  <si>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</si>
  <si>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</si>
  <si>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</si>
  <si>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</si>
  <si>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</si>
  <si>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</si>
  <si>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</si>
  <si>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</si>
  <si>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</si>
  <si>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</si>
  <si>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</si>
  <si>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</si>
  <si>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</si>
  <si>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</si>
  <si>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</si>
  <si>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</si>
  <si>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</si>
  <si>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</si>
  <si>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</si>
  <si>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</si>
  <si>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</si>
  <si>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</si>
  <si>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</si>
  <si>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</si>
  <si>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</si>
  <si>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</si>
  <si>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</si>
  <si>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</si>
  <si>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</si>
  <si>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</si>
  <si>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</si>
  <si>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</si>
  <si>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</si>
  <si>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</si>
  <si>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</si>
  <si>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</si>
  <si>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</si>
  <si>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</si>
  <si>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</si>
  <si>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</si>
  <si>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</si>
  <si>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</si>
  <si>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</si>
  <si>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</si>
  <si>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</si>
  <si>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</si>
  <si>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</si>
  <si>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</si>
  <si>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</si>
  <si>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</si>
  <si>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</si>
  <si>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</si>
  <si>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</si>
  <si>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</si>
  <si>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</si>
  <si>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</si>
  <si>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</si>
  <si>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</si>
  <si>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</si>
  <si>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</si>
  <si>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</si>
  <si>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</si>
  <si>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</si>
  <si>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</si>
  <si>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</si>
  <si>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</si>
  <si>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</si>
  <si>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</si>
  <si>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</si>
  <si>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</si>
  <si>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</si>
  <si>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</si>
  <si>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</si>
  <si>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</si>
  <si>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</si>
  <si>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</si>
  <si>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</si>
  <si>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</si>
  <si>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</si>
  <si>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</si>
  <si>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</si>
  <si>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</si>
  <si>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</si>
  <si>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</si>
  <si>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</si>
  <si>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</si>
  <si>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</si>
  <si>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</si>
  <si>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</si>
  <si>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</si>
  <si>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</si>
  <si>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</si>
  <si>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</si>
  <si>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</si>
  <si>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</si>
  <si>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</si>
  <si>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</si>
  <si>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</si>
  <si>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</si>
  <si>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</si>
  <si>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</si>
  <si>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</si>
  <si>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</si>
  <si>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</si>
  <si>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</si>
  <si>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</si>
  <si>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</si>
  <si>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</si>
  <si>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</si>
  <si>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</si>
  <si>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</si>
  <si>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</si>
  <si>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</si>
  <si>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</si>
  <si>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</si>
  <si>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</si>
  <si>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</si>
  <si>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</si>
  <si>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</si>
  <si>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</si>
  <si>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</si>
  <si>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</si>
  <si>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</si>
  <si>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</si>
  <si>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</si>
  <si>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</si>
  <si>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</si>
  <si>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</si>
  <si>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</si>
  <si>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</si>
  <si>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</si>
  <si>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</si>
  <si>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</si>
  <si>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</si>
  <si>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</si>
  <si>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</si>
  <si>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</si>
  <si>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</si>
  <si>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</si>
  <si>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</si>
  <si>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</si>
  <si>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</si>
  <si>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</si>
  <si>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</si>
  <si>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</si>
  <si>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</si>
  <si>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</si>
  <si>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</si>
  <si>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</si>
  <si>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</si>
  <si>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</si>
  <si>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</si>
  <si>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</si>
  <si>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</si>
  <si>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</si>
  <si>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</si>
  <si>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</si>
  <si>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</si>
  <si>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</si>
  <si>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</si>
  <si>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</si>
  <si>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</si>
  <si>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</si>
  <si>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</si>
  <si>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</si>
  <si>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</si>
  <si>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</si>
  <si>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</si>
  <si>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</si>
  <si>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</si>
  <si>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</si>
  <si>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</si>
  <si>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</si>
  <si>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</si>
  <si>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</si>
  <si>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</si>
  <si>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</si>
  <si>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</si>
  <si>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</si>
  <si>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</si>
  <si>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</si>
  <si>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</si>
  <si>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</si>
  <si>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</si>
  <si>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</si>
  <si>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</si>
  <si>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</si>
  <si>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</si>
  <si>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</si>
  <si>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</si>
  <si>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</si>
  <si>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</si>
  <si>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</si>
  <si>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</si>
  <si>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</si>
  <si>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</si>
  <si>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</si>
  <si>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</si>
  <si>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</si>
  <si>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</si>
  <si>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</si>
  <si>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</si>
  <si>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</si>
  <si>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</si>
  <si>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</si>
  <si>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</si>
  <si>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</si>
  <si>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</si>
  <si>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</si>
  <si>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</si>
  <si>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</si>
  <si>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</si>
  <si>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</si>
  <si>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</si>
  <si>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</si>
  <si>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</si>
  <si>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</si>
  <si>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</si>
  <si>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</si>
  <si>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</si>
  <si>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</si>
  <si>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</si>
  <si>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</si>
  <si>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</si>
  <si>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</si>
  <si>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</si>
  <si>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</si>
  <si>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</si>
  <si>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</si>
  <si>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</si>
  <si>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</si>
  <si>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</si>
  <si>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</si>
  <si>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</si>
  <si>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</si>
  <si>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</si>
  <si>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</si>
  <si>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</si>
  <si>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</si>
  <si>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</si>
  <si>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</si>
  <si>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</si>
  <si>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</si>
  <si>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</si>
  <si>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</si>
  <si>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</si>
  <si>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</si>
  <si>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</si>
  <si>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</si>
  <si>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</si>
  <si>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</si>
  <si>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</si>
  <si>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</si>
  <si>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</si>
  <si>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</si>
  <si>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</si>
  <si>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</si>
  <si>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</si>
  <si>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</si>
  <si>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</si>
  <si>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</si>
  <si>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</si>
  <si>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</si>
  <si>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</si>
  <si>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</si>
  <si>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</si>
  <si>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</si>
  <si>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</si>
  <si>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</si>
  <si>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</si>
  <si>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</si>
  <si>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</si>
  <si>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</si>
  <si>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</si>
  <si>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</si>
  <si>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</si>
  <si>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</si>
  <si>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</si>
  <si>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</si>
  <si>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</si>
  <si>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</si>
  <si>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</si>
  <si>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</si>
  <si>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</si>
  <si>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</si>
  <si>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</si>
  <si>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</si>
  <si>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</si>
  <si>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</si>
  <si>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</si>
  <si>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</si>
  <si>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</si>
  <si>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</si>
  <si>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</si>
  <si>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</si>
  <si>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</si>
  <si>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</si>
  <si>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</si>
  <si>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</si>
  <si>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</si>
  <si>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</si>
  <si>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</si>
  <si>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</si>
  <si>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</si>
  <si>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</si>
  <si>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</si>
  <si>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</si>
  <si>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</si>
  <si>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</si>
  <si>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</si>
  <si>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</si>
  <si>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</si>
  <si>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</si>
  <si>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</si>
  <si>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</si>
  <si>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</si>
  <si>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</si>
  <si>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</si>
  <si>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</si>
  <si>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</si>
  <si>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</si>
  <si>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</si>
  <si>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</si>
  <si>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</si>
  <si>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</si>
  <si>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</si>
  <si>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</si>
  <si>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</si>
  <si>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</si>
  <si>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</si>
  <si>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</si>
  <si>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</si>
  <si>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</si>
  <si>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</si>
  <si>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</si>
  <si>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</si>
  <si>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</si>
  <si>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</si>
  <si>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</si>
  <si>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</si>
  <si>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</si>
  <si>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</si>
  <si>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</si>
  <si>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</si>
  <si>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</si>
  <si>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</si>
  <si>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</si>
  <si>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</si>
  <si>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</si>
  <si>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</si>
  <si>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</si>
  <si>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</si>
  <si>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</si>
  <si>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</si>
  <si>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</si>
  <si>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</si>
  <si>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</si>
  <si>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</si>
  <si>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</si>
  <si>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</si>
  <si>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</si>
  <si>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</si>
  <si>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</si>
  <si>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</si>
  <si>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</si>
  <si>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</si>
  <si>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</si>
  <si>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</si>
  <si>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</si>
  <si>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</si>
  <si>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</si>
  <si>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</si>
  <si>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</si>
  <si>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</si>
  <si>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</si>
  <si>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</si>
  <si>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</si>
  <si>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</si>
  <si>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</si>
  <si>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</si>
  <si>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</si>
  <si>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</si>
  <si>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</si>
  <si>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</si>
  <si>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</si>
  <si>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</si>
  <si>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</si>
  <si>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</si>
  <si>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</si>
  <si>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</si>
  <si>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</si>
  <si>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</si>
  <si>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</si>
  <si>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</si>
  <si>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</si>
  <si>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</si>
  <si>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</si>
  <si>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</si>
  <si>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</si>
  <si>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</si>
  <si>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</si>
  <si>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</si>
  <si>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</si>
  <si>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</si>
  <si>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</si>
  <si>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</si>
  <si>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</si>
  <si>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</si>
  <si>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</si>
  <si>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</si>
  <si>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</si>
  <si>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</si>
  <si>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</si>
  <si>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</si>
  <si>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</si>
  <si>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</si>
  <si>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</si>
  <si>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</si>
  <si>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</si>
  <si>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</si>
  <si>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</si>
  <si>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</si>
  <si>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</si>
  <si>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</si>
  <si>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</si>
  <si>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</si>
  <si>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</si>
  <si>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</si>
  <si>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</si>
  <si>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</si>
  <si>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</si>
  <si>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</si>
  <si>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</si>
  <si>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</si>
  <si>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</si>
  <si>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</si>
  <si>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</si>
  <si>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</si>
  <si>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</si>
  <si>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</si>
  <si>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</si>
  <si>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</si>
  <si>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</si>
  <si>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</si>
  <si>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</si>
  <si>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</si>
  <si>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</si>
  <si>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</si>
  <si>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</si>
  <si>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</si>
  <si>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</si>
  <si>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</si>
  <si>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</si>
  <si>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</si>
  <si>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</si>
  <si>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</si>
  <si>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</si>
  <si>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</si>
  <si>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</si>
  <si>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</si>
  <si>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</si>
  <si>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</si>
  <si>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</si>
  <si>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</si>
  <si>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</si>
  <si>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</si>
  <si>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</si>
  <si>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</si>
  <si>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</si>
  <si>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</si>
  <si>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</si>
  <si>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</si>
  <si>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</si>
  <si>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</si>
  <si>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</si>
  <si>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</si>
  <si>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</si>
  <si>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</si>
  <si>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</si>
  <si>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</si>
  <si>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</si>
  <si>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</si>
  <si>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</si>
  <si>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</si>
  <si>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</si>
  <si>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</si>
  <si>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</si>
  <si>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</si>
  <si>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</si>
  <si>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</si>
  <si>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</si>
  <si>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</si>
  <si>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</si>
  <si>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</si>
  <si>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</si>
  <si>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</si>
  <si>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</si>
  <si>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</si>
  <si>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</si>
  <si>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</si>
  <si>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</si>
  <si>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</si>
  <si>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</si>
  <si>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</si>
  <si>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</si>
  <si>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</si>
  <si>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</si>
  <si>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</si>
  <si>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</si>
  <si>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</si>
  <si>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</si>
  <si>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</si>
  <si>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</si>
  <si>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</si>
  <si>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</si>
  <si>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</si>
  <si>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</si>
  <si>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</si>
  <si>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</si>
  <si>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</si>
  <si>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</si>
  <si>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</si>
  <si>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</si>
  <si>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</si>
  <si>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</si>
  <si>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</si>
  <si>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</si>
  <si>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</si>
  <si>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</si>
  <si>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</si>
  <si>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</si>
  <si>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</si>
  <si>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</si>
  <si>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</si>
  <si>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</si>
  <si>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</si>
  <si>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</si>
  <si>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</si>
  <si>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</si>
  <si>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</si>
  <si>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</si>
  <si>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</si>
  <si>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</si>
  <si>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</si>
  <si>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</si>
  <si>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</si>
  <si>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</si>
  <si>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</si>
  <si>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</si>
  <si>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</si>
  <si>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</si>
  <si>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</si>
  <si>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</si>
  <si>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</si>
  <si>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</si>
  <si>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</si>
  <si>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</si>
  <si>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</si>
  <si>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</si>
  <si>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</si>
  <si>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</si>
  <si>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</si>
  <si>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</si>
  <si>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</si>
  <si>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</si>
  <si>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</si>
  <si>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</si>
  <si>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</si>
  <si>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</si>
  <si>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</si>
  <si>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</si>
  <si>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</si>
  <si>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</si>
  <si>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</si>
  <si>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</si>
  <si>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</si>
  <si>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</si>
  <si>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</si>
  <si>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</si>
  <si>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</si>
  <si>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</si>
  <si>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</si>
  <si>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</si>
  <si>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</si>
  <si>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</si>
  <si>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</si>
  <si>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</si>
  <si>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</si>
  <si>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</si>
  <si>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</si>
  <si>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</si>
  <si>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</si>
  <si>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</si>
  <si>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</si>
  <si>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</si>
  <si>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</si>
  <si>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</si>
  <si>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</si>
  <si>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</si>
  <si>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</si>
  <si>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</si>
  <si>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</si>
  <si>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</si>
  <si>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</si>
  <si>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</si>
  <si>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</si>
  <si>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</si>
  <si>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</si>
  <si>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</si>
  <si>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</si>
  <si>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</si>
  <si>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</si>
  <si>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</si>
  <si>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</si>
  <si>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</si>
  <si>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</si>
  <si>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</si>
  <si>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</si>
  <si>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</si>
  <si>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</si>
  <si>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</si>
  <si>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</si>
  <si>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</si>
  <si>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</si>
  <si>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</si>
  <si>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</si>
  <si>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</si>
  <si>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</si>
  <si>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</si>
  <si>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</si>
  <si>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</si>
  <si>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</si>
  <si>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</si>
  <si>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</si>
  <si>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</si>
  <si>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</si>
  <si>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</si>
  <si>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</si>
  <si>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</si>
  <si>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</si>
  <si>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</si>
  <si>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</si>
  <si>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</si>
  <si>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</si>
  <si>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</si>
  <si>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</si>
  <si>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</si>
  <si>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</si>
  <si>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</si>
  <si>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</si>
  <si>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</si>
  <si>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</si>
  <si>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</si>
  <si>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</si>
  <si>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</si>
  <si>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</si>
  <si>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</si>
  <si>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</si>
  <si>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</si>
  <si>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</si>
  <si>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</si>
  <si>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</si>
  <si>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</si>
  <si>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</si>
  <si>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</si>
  <si>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</si>
  <si>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</si>
  <si>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</si>
  <si>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</si>
  <si>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</si>
  <si>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</si>
  <si>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</si>
  <si>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</si>
  <si>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</si>
  <si>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</si>
  <si>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</si>
  <si>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</si>
  <si>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</si>
  <si>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</si>
  <si>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</si>
  <si>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</si>
  <si>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</si>
  <si>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</si>
  <si>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</si>
  <si>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</si>
  <si>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</si>
  <si>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</si>
  <si>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</si>
  <si>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</si>
  <si>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</si>
  <si>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</si>
  <si>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</si>
  <si>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</si>
  <si>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</si>
  <si>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</si>
  <si>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</si>
  <si>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</si>
  <si>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</si>
  <si>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</si>
  <si>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</si>
  <si>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</si>
  <si>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</si>
  <si>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</si>
  <si>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</si>
  <si>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</si>
  <si>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</si>
  <si>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</si>
  <si>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</si>
  <si>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</si>
  <si>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</si>
  <si>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</si>
  <si>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</si>
  <si>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</si>
  <si>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</si>
  <si>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</si>
  <si>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</si>
  <si>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</si>
  <si>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</si>
  <si>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</si>
  <si>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</si>
  <si>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</si>
  <si>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</si>
  <si>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</si>
  <si>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</si>
  <si>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</si>
  <si>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</si>
  <si>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</si>
  <si>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</si>
  <si>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</si>
  <si>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</si>
  <si>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</si>
  <si>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</si>
  <si>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</si>
  <si>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</si>
  <si>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</si>
  <si>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</si>
  <si>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</si>
  <si>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</si>
  <si>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</si>
  <si>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</si>
  <si>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</si>
  <si>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</si>
  <si>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</si>
  <si>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</si>
  <si>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</si>
  <si>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</si>
  <si>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</si>
  <si>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</si>
  <si>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</si>
  <si>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</si>
  <si>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</si>
  <si>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</si>
  <si>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</si>
  <si>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</si>
  <si>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</si>
  <si>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</si>
  <si>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</si>
  <si>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</si>
  <si>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</si>
  <si>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</si>
  <si>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</si>
  <si>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</si>
  <si>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</si>
  <si>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</si>
  <si>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</si>
  <si>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</si>
  <si>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</si>
  <si>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</si>
  <si>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</si>
  <si>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</si>
  <si>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</si>
  <si>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</si>
  <si>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</si>
  <si>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</si>
  <si>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</si>
  <si>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</si>
  <si>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</si>
  <si>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</si>
  <si>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</si>
  <si>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</si>
  <si>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</si>
  <si>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</si>
  <si>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</si>
  <si>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</si>
  <si>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</si>
  <si>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</si>
  <si>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</si>
  <si>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</si>
  <si>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</si>
  <si>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</si>
  <si>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</si>
  <si>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</si>
  <si>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</si>
  <si>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</si>
  <si>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</si>
  <si>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</si>
  <si>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</si>
  <si>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</si>
  <si>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</si>
  <si>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</si>
  <si>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</si>
  <si>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</si>
  <si>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</si>
  <si>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</si>
  <si>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</si>
  <si>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</si>
  <si>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</si>
  <si>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</si>
  <si>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</si>
  <si>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</si>
  <si>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</si>
  <si>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</si>
  <si>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</si>
  <si>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</si>
  <si>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</si>
  <si>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</si>
  <si>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</si>
  <si>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</si>
  <si>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</si>
  <si>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</si>
  <si>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</si>
  <si>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</si>
  <si>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</si>
  <si>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</si>
  <si>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</si>
  <si>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</si>
  <si>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</si>
  <si>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</si>
  <si>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</si>
  <si>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</si>
  <si>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</si>
  <si>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</si>
  <si>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</si>
  <si>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</si>
  <si>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</si>
  <si>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</si>
  <si>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</si>
  <si>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</si>
  <si>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</si>
  <si>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</si>
  <si>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</si>
  <si>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</si>
  <si>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</si>
  <si>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</si>
  <si>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</si>
  <si>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</si>
  <si>
    <t>利息：取LPR</t>
  </si>
  <si>
    <t>成新度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</si>
</sst>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5"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xf numFmtId="10" fontId="49" fillId="29" borderId="61" xfId="0" applyNumberFormat="1" applyFont="1" applyFill="1" applyBorder="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twoCellAnchor editAs="oneCell">
    <xdr:from>
      <xdr:col>9</xdr:col>
      <xdr:colOff>60960</xdr:colOff>
      <xdr:row>0</xdr:row>
      <xdr:rowOff>0</xdr:rowOff>
    </xdr:from>
    <xdr:to>
      <xdr:col>21</xdr:col>
      <xdr:colOff>269569</xdr:colOff>
      <xdr:row>36</xdr:row>
      <xdr:rowOff>73463</xdr:rowOff>
    </xdr:to>
    <xdr:pic>
      <xdr:nvPicPr>
        <xdr:cNvPr id="3" name="图片 2"/>
        <xdr:cNvPicPr>
          <a:picLocks noChangeAspect="1"/>
        </xdr:cNvPicPr>
      </xdr:nvPicPr>
      <xdr:blipFill>
        <a:blip xmlns:r="http://schemas.openxmlformats.org/officeDocument/2006/relationships" r:embed="rId2"/>
        <a:stretch>
          <a:fillRect/>
        </a:stretch>
      </xdr:blipFill>
      <xdr:spPr>
        <a:xfrm>
          <a:off x="5547360" y="0"/>
          <a:ext cx="7523809" cy="6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北京市房地产市场价值预评估</v>
      </c>
    </row>
    <row r="3" spans="1:2">
      <c r="A3" s="1117" t="s">
        <v>523</v>
      </c>
      <c r="B3" s="1118">
        <f>'预评函-封皮'!B40</f>
        <v>0</v>
      </c>
    </row>
    <row r="4" spans="1:2">
      <c r="A4" s="1117" t="s">
        <v>524</v>
      </c>
      <c r="B4" s="1118" t="str">
        <f ca="1">'预评函-封皮'!B46</f>
        <v>陈颖（注册号：0)、（注册号：0)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估价对象为北京市房地产，为所有。根据《国有土地使用证》[]，估价对象（分摊）出让国有建设用地使用权面积为0平方米，建筑面积为77.06平方米。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估价对象为北京市房地产,属开发建设的，该项目尚在开发建设中。根据《国有土地使用证》[]，估价对象（分摊）出让国有建设用地使用权面积为0平方米，规划建筑面积为77.06平方米。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2024年12月20日（评估专业人员实地查勘之日）</v>
      </c>
    </row>
    <row r="13" spans="1:2">
      <c r="A13" s="1117" t="s">
        <v>529</v>
      </c>
      <c r="B13" s="1118"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77.06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陈颖</v>
      </c>
    </row>
    <row r="71" spans="1:2">
      <c r="A71" s="1117" t="s">
        <v>563</v>
      </c>
      <c r="B71" s="1118">
        <f ca="1">'预评函-4'!B4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42" t="s">
        <v>4276</v>
      </c>
      <c r="C8" s="1440" t="s">
        <v>319</v>
      </c>
      <c r="F8" s="1441" t="s">
        <v>1027</v>
      </c>
      <c r="H8" s="1441" t="s">
        <v>2579</v>
      </c>
      <c r="I8" s="1441" t="s">
        <v>3344</v>
      </c>
    </row>
    <row r="9" spans="1:23">
      <c r="A9" s="1439" t="s">
        <v>1028</v>
      </c>
      <c r="B9" s="1439" t="s">
        <v>1029</v>
      </c>
      <c r="C9" s="1440" t="s">
        <v>320</v>
      </c>
      <c r="F9" s="1441" t="s">
        <v>1030</v>
      </c>
      <c r="H9" s="1441"/>
      <c r="I9" s="1443" t="s">
        <v>3345</v>
      </c>
    </row>
    <row r="10" spans="1:23">
      <c r="A10" s="1439" t="s">
        <v>1031</v>
      </c>
      <c r="B10" s="1439" t="s">
        <v>1032</v>
      </c>
      <c r="C10" s="1440" t="s">
        <v>321</v>
      </c>
      <c r="F10" s="1441" t="s">
        <v>2580</v>
      </c>
      <c r="I10" s="1443" t="s">
        <v>3346</v>
      </c>
    </row>
    <row r="11" spans="1:23">
      <c r="A11" s="1439" t="s">
        <v>1033</v>
      </c>
      <c r="B11" s="1439" t="s">
        <v>1034</v>
      </c>
      <c r="C11" s="1440" t="s">
        <v>322</v>
      </c>
      <c r="F11" s="1441" t="s">
        <v>13</v>
      </c>
      <c r="I11" s="1443" t="s">
        <v>3347</v>
      </c>
    </row>
    <row r="12" spans="1:23">
      <c r="A12" s="1439" t="s">
        <v>1035</v>
      </c>
      <c r="B12" s="1439" t="s">
        <v>1036</v>
      </c>
      <c r="C12" s="1440" t="s">
        <v>323</v>
      </c>
      <c r="I12" s="1443" t="s">
        <v>3348</v>
      </c>
    </row>
    <row r="13" spans="1:23">
      <c r="A13" s="1439" t="s">
        <v>1037</v>
      </c>
      <c r="B13" s="1439" t="s">
        <v>1038</v>
      </c>
      <c r="C13" s="1440" t="s">
        <v>324</v>
      </c>
      <c r="I13" s="1443" t="s">
        <v>3349</v>
      </c>
    </row>
    <row r="14" spans="1:23">
      <c r="A14" s="1439" t="s">
        <v>1039</v>
      </c>
      <c r="B14" s="1439" t="s">
        <v>1040</v>
      </c>
      <c r="C14" s="1441" t="s">
        <v>13</v>
      </c>
      <c r="I14" s="1443" t="s">
        <v>3350</v>
      </c>
    </row>
    <row r="15" spans="1:23">
      <c r="A15" s="1439" t="s">
        <v>1041</v>
      </c>
      <c r="B15" s="1439" t="s">
        <v>1042</v>
      </c>
      <c r="C15" s="1440"/>
      <c r="I15" s="1443" t="s">
        <v>3351</v>
      </c>
    </row>
    <row r="16" spans="1:23">
      <c r="A16" s="1439" t="s">
        <v>1043</v>
      </c>
      <c r="B16" s="1439" t="s">
        <v>312</v>
      </c>
      <c r="C16" s="1440"/>
    </row>
    <row r="17" spans="1:3">
      <c r="A17" s="1439" t="s">
        <v>1044</v>
      </c>
      <c r="B17" s="1439" t="s">
        <v>2292</v>
      </c>
      <c r="C17" s="1440"/>
    </row>
    <row r="18" spans="1:3">
      <c r="A18" s="1439" t="s">
        <v>1045</v>
      </c>
      <c r="B18" s="1439" t="s">
        <v>2435</v>
      </c>
      <c r="C18" s="1440"/>
    </row>
    <row r="19" spans="1:3">
      <c r="A19" s="1439" t="s">
        <v>1046</v>
      </c>
      <c r="B19" s="1439" t="s">
        <v>313</v>
      </c>
      <c r="C19" s="1440"/>
    </row>
    <row r="20" spans="1:3">
      <c r="A20" s="1439" t="s">
        <v>1047</v>
      </c>
      <c r="B20" s="1439" t="s">
        <v>4278</v>
      </c>
      <c r="C20" s="1440"/>
    </row>
    <row r="21" spans="1:3">
      <c r="A21" s="1439" t="s">
        <v>1048</v>
      </c>
      <c r="B21" s="1439" t="s">
        <v>4369</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3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445" t="s">
        <v>385</v>
      </c>
      <c r="C54" s="1443" t="s">
        <v>583</v>
      </c>
    </row>
    <row r="55" spans="1:4">
      <c r="A55" s="3337"/>
      <c r="B55" s="1445" t="s">
        <v>386</v>
      </c>
      <c r="C55" s="1443" t="s">
        <v>584</v>
      </c>
    </row>
    <row r="56" spans="1:4">
      <c r="A56" s="3337"/>
      <c r="B56" s="1445" t="s">
        <v>387</v>
      </c>
      <c r="C56" s="1443" t="s">
        <v>588</v>
      </c>
    </row>
    <row r="57" spans="1:4">
      <c r="A57" s="333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338" t="s">
        <v>2582</v>
      </c>
      <c r="J2" s="3338"/>
      <c r="K2" s="3338"/>
      <c r="L2" s="3338"/>
      <c r="M2" s="3338"/>
      <c r="N2" s="3338"/>
      <c r="O2" s="3338"/>
      <c r="P2" s="3338"/>
      <c r="Q2" s="3338"/>
      <c r="R2" s="3338"/>
    </row>
    <row r="3" spans="1:18">
      <c r="A3" s="2760" t="s">
        <v>2503</v>
      </c>
      <c r="B3" s="2761">
        <v>42825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68392</v>
      </c>
      <c r="C5" s="2763">
        <f>ROUNDDOWN(MIN((B5-B3)/365,A5),2)</f>
        <v>40</v>
      </c>
      <c r="D5" s="2765">
        <f>IF(ISERROR(ROUND(POWER(1+E5,A5-C5)*(POWER(1+E5,C5)-1)/(POWER(1+E5,A5)-1),3)),0,ROUND(POWER(1+E5,A5-C5)*(POWER(1+E5,C5)-1)/(POWER(1+E5,A5)-1),4))</f>
        <v>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f>B5</f>
        <v>68392</v>
      </c>
      <c r="C6" s="2763">
        <f>ROUNDDOWN(MIN((B6-B3)/365,A6),2)</f>
        <v>50</v>
      </c>
      <c r="D6" s="2765">
        <f>IF(ISERROR(ROUND(POWER(1+E6,A6-C6)*(POWER(1+E6,C6)-1)/(POWER(1+E6,A6)-1),3)),0,ROUND(POWER(1+E6,A6-C6)*(POWER(1+E6,C6)-1)/(POWER(1+E6,A6)-1),4))</f>
        <v>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f>B5</f>
        <v>68392</v>
      </c>
      <c r="C7" s="2763">
        <f>ROUNDDOWN(MIN((B7-B3)/365,A7),2)</f>
        <v>70</v>
      </c>
      <c r="D7" s="2765">
        <f>IF(ISERROR(ROUND(POWER(1+E7,A7-C7)*(POWER(1+E7,C7)-1)/(POWER(1+E7,A7)-1),3)),0,ROUND(POWER(1+E7,A7-C7)*(POWER(1+E7,C7)-1)/(POWER(1+E7,A7)-1),4))</f>
        <v>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346" t="str">
        <f>IF(B10="北京市","北京市",C10)&amp;F10&amp;IF(结果表!G1="在建","出让国有建设用地使用权及在建建筑物",IF(结果表!G1="土地","出让国有建设用地使用权",))&amp;B9&amp;"预评估"</f>
        <v>北京市房地产市场价值预评估</v>
      </c>
      <c r="C1" s="3347"/>
      <c r="D1" s="3347"/>
      <c r="E1" s="3347"/>
      <c r="F1" s="3347"/>
      <c r="G1" s="3347"/>
      <c r="H1" s="3347"/>
      <c r="I1" s="3348"/>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79" t="s">
        <v>2168</v>
      </c>
      <c r="B2" s="121"/>
      <c r="D2" s="2445"/>
      <c r="E2" s="2438"/>
      <c r="F2" s="2438"/>
      <c r="G2" s="2439"/>
      <c r="H2" s="2439"/>
      <c r="I2" s="2439"/>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2169</v>
      </c>
      <c r="B3" s="2182">
        <v>45646</v>
      </c>
      <c r="C3" s="2183" t="s">
        <v>2170</v>
      </c>
      <c r="D3" s="2182">
        <f>B3</f>
        <v>45646</v>
      </c>
      <c r="E3" s="2439"/>
      <c r="F3" s="2439"/>
      <c r="G3" s="2439"/>
      <c r="H3" s="2439"/>
      <c r="I3" s="2439"/>
      <c r="J3" s="2242"/>
      <c r="K3" s="2180"/>
      <c r="L3" s="2181"/>
      <c r="M3" s="2181"/>
      <c r="N3" s="2179"/>
      <c r="O3" s="1464"/>
      <c r="P3" s="2179"/>
      <c r="Q3" s="2179"/>
      <c r="R3" s="2179"/>
      <c r="S3" s="1559"/>
      <c r="T3" s="1616"/>
      <c r="U3" s="1616"/>
      <c r="V3" s="1616"/>
      <c r="W3" s="1616"/>
      <c r="X3" s="1616"/>
      <c r="Y3" s="1616"/>
      <c r="Z3" s="1616"/>
      <c r="AA3" s="1616"/>
      <c r="AB3" s="1616"/>
    </row>
    <row r="4" spans="1:30" ht="13.8" thickBot="1">
      <c r="A4" s="1025" t="s">
        <v>2171</v>
      </c>
      <c r="B4" s="2184" t="s">
        <v>3381</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2173</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2174</v>
      </c>
      <c r="B7" s="2195"/>
      <c r="C7" s="2193"/>
      <c r="D7" s="2194"/>
      <c r="E7" s="2438"/>
      <c r="F7" s="2439"/>
      <c r="G7" s="2439"/>
      <c r="H7" s="2439"/>
      <c r="I7" s="2439"/>
      <c r="J7" s="2242"/>
      <c r="K7" s="2399"/>
      <c r="L7" s="2396"/>
      <c r="M7" s="2396"/>
      <c r="N7" s="2242"/>
      <c r="O7" s="1668"/>
      <c r="P7" s="2242"/>
      <c r="Q7" s="2242"/>
      <c r="R7" s="2242"/>
    </row>
    <row r="8" spans="1:30">
      <c r="A8" s="2196" t="s">
        <v>2175</v>
      </c>
      <c r="B8" s="2197" t="s">
        <v>3377</v>
      </c>
      <c r="C8" s="2198"/>
      <c r="D8" s="3349" t="s">
        <v>2176</v>
      </c>
      <c r="E8" s="2199"/>
      <c r="F8" s="2200"/>
      <c r="G8" s="2439"/>
      <c r="H8" s="2439"/>
      <c r="I8" s="2439"/>
      <c r="J8" s="2242"/>
      <c r="K8" s="2397"/>
      <c r="L8" s="2396"/>
      <c r="M8" s="2396"/>
      <c r="N8" s="2242"/>
      <c r="O8" s="1668"/>
      <c r="P8" s="2242"/>
      <c r="Q8" s="2242"/>
      <c r="R8" s="2242"/>
    </row>
    <row r="9" spans="1:30" ht="13.8" thickBot="1">
      <c r="A9" s="2201" t="s">
        <v>2177</v>
      </c>
      <c r="B9" s="2202" t="s">
        <v>3382</v>
      </c>
      <c r="C9" s="2203"/>
      <c r="D9" s="3350"/>
      <c r="E9" s="2202"/>
      <c r="F9" s="2204"/>
      <c r="G9" s="2440"/>
      <c r="H9" s="2440"/>
      <c r="I9" s="2440"/>
      <c r="J9" s="2242"/>
      <c r="K9" s="2399"/>
      <c r="L9" s="2396"/>
      <c r="M9" s="2396"/>
      <c r="N9" s="2242"/>
      <c r="O9" s="1668"/>
      <c r="P9" s="2242"/>
      <c r="Q9" s="2242"/>
      <c r="R9" s="2242"/>
    </row>
    <row r="10" spans="1:30" ht="13.8" thickTop="1">
      <c r="A10" s="2205" t="s">
        <v>2178</v>
      </c>
      <c r="B10" s="2206" t="s">
        <v>3383</v>
      </c>
      <c r="C10" s="2207"/>
      <c r="D10" s="2190"/>
      <c r="E10" s="2208" t="s">
        <v>2179</v>
      </c>
      <c r="F10" s="2441"/>
      <c r="G10" s="2442"/>
      <c r="H10" s="2443"/>
      <c r="I10" s="2444"/>
      <c r="J10" s="2242"/>
      <c r="K10" s="2399"/>
      <c r="L10" s="2396"/>
      <c r="M10" s="2396"/>
      <c r="N10" s="2242"/>
      <c r="O10" s="1668"/>
      <c r="P10" s="2242"/>
      <c r="Q10" s="2242"/>
      <c r="R10" s="2242"/>
    </row>
    <row r="11" spans="1:30">
      <c r="A11" s="2209" t="s">
        <v>2180</v>
      </c>
      <c r="B11" s="2210" t="s">
        <v>3384</v>
      </c>
      <c r="C11" s="2211"/>
      <c r="D11" s="2212"/>
      <c r="E11" s="2179"/>
      <c r="F11" s="2179"/>
      <c r="G11" s="2179"/>
      <c r="H11" s="2179"/>
      <c r="I11" s="2179"/>
      <c r="J11" s="2799"/>
      <c r="K11" s="2396"/>
      <c r="L11" s="2396"/>
      <c r="M11" s="2396"/>
      <c r="N11" s="2242"/>
      <c r="O11" s="1668"/>
      <c r="P11" s="2242"/>
      <c r="Q11" s="2242"/>
      <c r="R11" s="2242"/>
    </row>
    <row r="12" spans="1:30">
      <c r="A12" s="2213" t="s">
        <v>2181</v>
      </c>
      <c r="B12" s="314" t="s">
        <v>2182</v>
      </c>
      <c r="C12" s="2214" t="s">
        <v>2183</v>
      </c>
      <c r="D12" s="2214" t="s">
        <v>2184</v>
      </c>
      <c r="E12" s="2214" t="s">
        <v>2185</v>
      </c>
      <c r="F12" s="2214" t="s">
        <v>2186</v>
      </c>
      <c r="G12" s="2214" t="s">
        <v>2187</v>
      </c>
      <c r="H12" s="2214" t="s">
        <v>2188</v>
      </c>
      <c r="I12" s="2798" t="s">
        <v>2578</v>
      </c>
      <c r="J12" s="2800"/>
      <c r="K12" s="2396"/>
      <c r="L12" s="2396"/>
      <c r="M12" s="2242"/>
      <c r="N12" s="1668"/>
      <c r="O12" s="2242"/>
      <c r="P12" s="2242"/>
      <c r="Q12" s="2242"/>
      <c r="AD12" s="1616"/>
    </row>
    <row r="13" spans="1:30">
      <c r="A13" s="3119" t="s">
        <v>4348</v>
      </c>
      <c r="B13" s="2215" t="s">
        <v>2189</v>
      </c>
      <c r="C13" s="802">
        <v>62437</v>
      </c>
      <c r="D13" s="802"/>
      <c r="E13" s="802"/>
      <c r="F13" s="802"/>
      <c r="G13" s="802"/>
      <c r="H13" s="802"/>
      <c r="I13" s="802"/>
      <c r="J13" s="2800"/>
      <c r="K13" s="2396"/>
      <c r="L13" s="2396"/>
      <c r="M13" s="2242"/>
      <c r="N13" s="1668"/>
      <c r="O13" s="2242"/>
      <c r="P13" s="2242"/>
      <c r="Q13" s="2242"/>
      <c r="AD13" s="1616"/>
    </row>
    <row r="14" spans="1:30">
      <c r="A14" s="1016"/>
      <c r="B14" s="2215" t="s">
        <v>2190</v>
      </c>
      <c r="C14" s="2216">
        <v>70</v>
      </c>
      <c r="D14" s="2216"/>
      <c r="E14" s="2216"/>
      <c r="F14" s="2216"/>
      <c r="G14" s="2216"/>
      <c r="H14" s="2216"/>
      <c r="I14" s="2216"/>
      <c r="J14" s="2801"/>
      <c r="K14" s="2396"/>
      <c r="L14" s="2396"/>
      <c r="M14" s="2242"/>
      <c r="N14" s="1668"/>
      <c r="O14" s="2242"/>
      <c r="P14" s="2242"/>
      <c r="Q14" s="2242"/>
      <c r="AD14" s="1616"/>
    </row>
    <row r="15" spans="1:30">
      <c r="A15" s="311"/>
      <c r="B15" s="2217" t="s">
        <v>2191</v>
      </c>
      <c r="C15" s="2218">
        <f>IF(A13="出让",IF(C13="","",ROUNDDOWN(MIN((C13-$D$3)/365,C14),2)),C14)</f>
        <v>46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2192</v>
      </c>
      <c r="B16" s="3356"/>
      <c r="C16" s="3357"/>
      <c r="D16" s="3358"/>
      <c r="E16" s="2219" t="s">
        <v>2193</v>
      </c>
      <c r="F16" s="3359"/>
      <c r="G16" s="3360"/>
      <c r="H16" s="3360"/>
      <c r="I16" s="3361"/>
      <c r="J16" s="2242"/>
      <c r="K16" s="2400"/>
      <c r="L16" s="1668"/>
      <c r="M16" s="1668"/>
      <c r="N16" s="2242"/>
      <c r="O16" s="1668"/>
      <c r="P16" s="2242"/>
      <c r="Q16" s="2242"/>
      <c r="R16" s="2242"/>
    </row>
    <row r="17" spans="1:28">
      <c r="A17" s="304" t="s">
        <v>2194</v>
      </c>
      <c r="B17" s="293" t="s">
        <v>2195</v>
      </c>
      <c r="C17" s="8">
        <f>'数据-汇总表'!E3</f>
        <v>77.06</v>
      </c>
      <c r="D17" s="1254" t="s">
        <v>2196</v>
      </c>
      <c r="E17" s="3362" t="s">
        <v>2197</v>
      </c>
      <c r="F17" s="3363"/>
      <c r="G17" s="3363"/>
      <c r="H17" s="3363"/>
      <c r="I17" s="3364"/>
      <c r="J17" s="2242"/>
      <c r="K17" s="2401"/>
      <c r="L17" s="1668"/>
      <c r="M17" s="1668"/>
      <c r="N17" s="2242"/>
      <c r="O17" s="1668"/>
      <c r="P17" s="2242"/>
      <c r="Q17" s="2242"/>
      <c r="R17" s="2242"/>
      <c r="S17" s="2242"/>
      <c r="T17" s="2242"/>
      <c r="U17" s="2242"/>
      <c r="V17" s="2242"/>
    </row>
    <row r="18" spans="1:28" ht="24.6" thickBot="1">
      <c r="A18" s="2220" t="s">
        <v>2198</v>
      </c>
      <c r="B18" s="1025" t="s">
        <v>2199</v>
      </c>
      <c r="C18" s="2221">
        <f>'数据-汇总表'!D3</f>
        <v>0</v>
      </c>
      <c r="D18" s="1027" t="s">
        <v>2200</v>
      </c>
      <c r="E18" s="3365" t="s">
        <v>2201</v>
      </c>
      <c r="F18" s="3366"/>
      <c r="G18" s="3366"/>
      <c r="H18" s="3366"/>
      <c r="I18" s="3367"/>
      <c r="J18" s="2242"/>
      <c r="K18" s="2401"/>
      <c r="L18" s="1668"/>
      <c r="M18" s="1668"/>
      <c r="N18" s="2242"/>
      <c r="O18" s="1668"/>
      <c r="P18" s="2242"/>
      <c r="Q18" s="2242"/>
      <c r="R18" s="2242"/>
      <c r="S18" s="2242"/>
      <c r="T18" s="2242"/>
      <c r="U18" s="2242"/>
      <c r="V18" s="2242"/>
    </row>
    <row r="19" spans="1:28" ht="37.200000000000003" thickTop="1" thickBot="1">
      <c r="A19" s="318" t="s">
        <v>1054</v>
      </c>
      <c r="B19" s="298" t="s">
        <v>2202</v>
      </c>
      <c r="C19" s="1453"/>
      <c r="D19" s="1454" t="s">
        <v>2203</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2204</v>
      </c>
      <c r="B20" s="3352" t="s">
        <v>2205</v>
      </c>
      <c r="C20" s="3353"/>
      <c r="D20" s="3354" t="s">
        <v>2206</v>
      </c>
      <c r="E20" s="3355"/>
      <c r="F20" s="2427" t="s">
        <v>1055</v>
      </c>
      <c r="G20" s="2439"/>
      <c r="H20" s="2439"/>
      <c r="I20" s="2439"/>
      <c r="J20" s="2242"/>
      <c r="K20" s="335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36.6" thickBot="1">
      <c r="A21" s="2414"/>
      <c r="B21" s="2415" t="s">
        <v>2208</v>
      </c>
      <c r="C21" s="2293" t="s">
        <v>1056</v>
      </c>
      <c r="D21" s="1458" t="s">
        <v>2209</v>
      </c>
      <c r="E21" s="2416" t="s">
        <v>1056</v>
      </c>
      <c r="F21" s="2428"/>
      <c r="G21" s="2439"/>
      <c r="H21" s="2439"/>
      <c r="I21" s="2439"/>
      <c r="J21" s="2242"/>
      <c r="K21" s="335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4"/>
      <c r="B22" s="2417" t="s">
        <v>2210</v>
      </c>
      <c r="C22" s="2293" t="s">
        <v>1057</v>
      </c>
      <c r="D22" s="2439"/>
      <c r="E22" s="2439"/>
      <c r="F22" s="2439"/>
      <c r="G22" s="2439"/>
      <c r="H22" s="2439"/>
      <c r="I22" s="2439"/>
      <c r="J22" s="2242"/>
      <c r="K22" s="335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8" t="s">
        <v>2211</v>
      </c>
      <c r="B23" s="2290" t="s">
        <v>2212</v>
      </c>
      <c r="C23" s="2419"/>
      <c r="D23" s="2420" t="s">
        <v>2212</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1060</v>
      </c>
      <c r="C26" s="2425"/>
      <c r="D26" s="2423" t="s">
        <v>1060</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340" t="s">
        <v>2213</v>
      </c>
      <c r="B27" s="311" t="s">
        <v>2214</v>
      </c>
      <c r="C27" s="2222"/>
      <c r="D27" s="2223"/>
      <c r="E27" s="2439"/>
      <c r="F27" s="2439"/>
      <c r="G27" s="2439"/>
      <c r="H27" s="2439"/>
      <c r="I27" s="2439"/>
      <c r="J27" s="2242"/>
      <c r="K27" s="2400"/>
      <c r="L27" s="1668"/>
      <c r="M27" s="1668"/>
      <c r="N27" s="2242"/>
      <c r="O27" s="1668"/>
      <c r="P27" s="2242"/>
      <c r="Q27" s="2242"/>
      <c r="R27" s="2242"/>
      <c r="S27" s="2242"/>
      <c r="T27" s="2242"/>
      <c r="U27" s="2242"/>
      <c r="V27" s="2242"/>
    </row>
    <row r="28" spans="1:28">
      <c r="A28" s="3340"/>
      <c r="B28" s="293" t="s">
        <v>2215</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340"/>
      <c r="B29" s="293" t="s">
        <v>2216</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341"/>
      <c r="B30" s="293" t="s">
        <v>2217</v>
      </c>
      <c r="C30" s="3342"/>
      <c r="D30" s="3343"/>
      <c r="E30" s="2439"/>
      <c r="F30" s="2439"/>
      <c r="G30" s="2439"/>
      <c r="H30" s="2439"/>
      <c r="I30" s="2439"/>
      <c r="J30" s="2242"/>
      <c r="K30" s="2399"/>
      <c r="L30" s="2396"/>
      <c r="M30" s="2396"/>
      <c r="N30" s="2242"/>
      <c r="O30" s="1668"/>
      <c r="P30" s="2242"/>
      <c r="Q30" s="2242"/>
      <c r="R30" s="2242"/>
      <c r="S30" s="2242"/>
      <c r="T30" s="2242"/>
      <c r="U30" s="2242"/>
      <c r="V30" s="2242"/>
    </row>
    <row r="31" spans="1:28">
      <c r="A31" s="3344" t="s">
        <v>2218</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45"/>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45"/>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2219</v>
      </c>
      <c r="B34" s="1867"/>
      <c r="C34" s="1867"/>
      <c r="D34" s="1867"/>
      <c r="E34" s="1867"/>
      <c r="F34" s="1867"/>
      <c r="G34" s="1867"/>
      <c r="H34" s="1867"/>
      <c r="I34" s="2439"/>
      <c r="J34" s="2242"/>
      <c r="K34" s="8">
        <f>COUNTIF(B34:H34,"——")</f>
        <v>0</v>
      </c>
      <c r="L34" s="314" t="s">
        <v>2220</v>
      </c>
      <c r="M34" s="314" t="s">
        <v>2221</v>
      </c>
      <c r="N34" s="314" t="s">
        <v>2222</v>
      </c>
      <c r="O34" s="314" t="s">
        <v>2223</v>
      </c>
      <c r="P34" s="314" t="s">
        <v>2224</v>
      </c>
      <c r="Q34" s="314" t="s">
        <v>2225</v>
      </c>
      <c r="R34" s="314" t="s">
        <v>2226</v>
      </c>
      <c r="S34" s="3339" t="s">
        <v>2227</v>
      </c>
      <c r="T34" s="314" t="str">
        <f>NUMBERSTRING(7-K34,1)&amp;"通"</f>
        <v>七通</v>
      </c>
      <c r="U34" s="2242"/>
      <c r="V34" s="2242"/>
    </row>
    <row r="35" spans="1:30">
      <c r="A35" s="2233"/>
      <c r="B35" s="3339" t="s">
        <v>2228</v>
      </c>
      <c r="C35" s="3339"/>
      <c r="D35" s="3339"/>
      <c r="E35" s="3339"/>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39"/>
      <c r="T35" s="137"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8"/>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2230</v>
      </c>
      <c r="B38" s="2235"/>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4"/>
      <c r="J40" s="2242"/>
      <c r="K40" s="2398"/>
      <c r="L40" s="1668"/>
      <c r="M40" s="1668"/>
      <c r="N40" s="2242"/>
      <c r="O40" s="1668"/>
      <c r="P40" s="2242"/>
      <c r="Q40" s="2242"/>
      <c r="R40" s="2242"/>
      <c r="S40" s="2242"/>
      <c r="T40" s="2242"/>
      <c r="U40" s="2242"/>
      <c r="V40" s="2242"/>
    </row>
    <row r="41" spans="1:30">
      <c r="A41" s="2239" t="s">
        <v>2232</v>
      </c>
      <c r="B41" s="1625"/>
      <c r="C41" s="1279"/>
      <c r="D41" s="2179"/>
      <c r="E41" s="2179"/>
      <c r="F41" s="2179"/>
      <c r="G41" s="2179"/>
      <c r="H41" s="2179"/>
      <c r="I41" s="1464"/>
      <c r="J41" s="2242"/>
      <c r="K41" s="2399"/>
      <c r="L41" s="2396"/>
      <c r="M41" s="2396"/>
      <c r="N41" s="2242"/>
      <c r="O41" s="1668"/>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77.06</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1070</v>
      </c>
      <c r="B5" s="1257"/>
      <c r="C5" s="1257"/>
      <c r="D5" s="1258"/>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1090</v>
      </c>
      <c r="I9" s="1489" t="s">
        <v>3385</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3"/>
      <c r="BD9" s="1023"/>
      <c r="BE9" s="1023"/>
      <c r="BF9" s="1023"/>
      <c r="BG9" s="1023"/>
      <c r="BH9" s="1023"/>
      <c r="BI9" s="1023"/>
      <c r="BJ9" s="1023"/>
      <c r="BK9" s="1494"/>
      <c r="BL9" s="12" t="s">
        <v>1095</v>
      </c>
      <c r="BM9" s="1267"/>
      <c r="BN9" s="1483"/>
      <c r="BO9" s="1267"/>
      <c r="BP9" s="1267"/>
      <c r="BQ9" s="1267"/>
      <c r="BR9" s="1267"/>
      <c r="BS9" s="1267"/>
      <c r="BT9" s="23"/>
    </row>
    <row r="10" spans="1:72" s="1487" customFormat="1" ht="13.2">
      <c r="A10" s="1480"/>
      <c r="B10" s="1480"/>
      <c r="C10" s="1480"/>
      <c r="D10" s="1480"/>
      <c r="E10" s="1480"/>
      <c r="F10" s="1480"/>
      <c r="G10" s="1006"/>
      <c r="H10" s="25"/>
      <c r="I10" s="1489" t="s">
        <v>3386</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3387</v>
      </c>
      <c r="E13" s="13">
        <f>IF($C$3="是",ROUND($A$3*G13/$B$3,2),ROUND($A$3*(G13-AT13)/$B$3,2))</f>
        <v>0</v>
      </c>
      <c r="F13" s="29"/>
      <c r="G13" s="30">
        <f>H13+AC13+AT13</f>
        <v>77.06</v>
      </c>
      <c r="H13" s="17">
        <f>SUMIF(I$12:AB$12,"总值",I13:AB13)</f>
        <v>77.06</v>
      </c>
      <c r="I13" s="1512">
        <v>77.06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62" sqref="E6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1129</v>
      </c>
      <c r="B1" s="1069"/>
      <c r="C1" s="1069"/>
      <c r="D1" s="1069"/>
      <c r="E1" s="1069"/>
      <c r="F1" s="1069"/>
      <c r="G1" s="1069"/>
      <c r="H1" s="1069"/>
      <c r="I1" s="1069"/>
      <c r="J1" s="1069"/>
      <c r="K1" s="1069"/>
      <c r="L1" s="1069"/>
      <c r="M1" s="1069"/>
      <c r="N1" s="1069"/>
      <c r="O1" s="1069"/>
      <c r="P1" s="1069"/>
    </row>
    <row r="2" spans="1:16" ht="14.4">
      <c r="A2" s="3377" t="s">
        <v>1130</v>
      </c>
      <c r="B2" s="3377"/>
      <c r="C2" s="3377"/>
      <c r="D2" s="747" t="s">
        <v>1106</v>
      </c>
      <c r="E2" s="1521" t="s">
        <v>1107</v>
      </c>
      <c r="F2" s="2436"/>
      <c r="G2" s="2429"/>
      <c r="H2" s="2430"/>
      <c r="I2" s="2143" t="s">
        <v>1131</v>
      </c>
      <c r="J2" s="2436"/>
      <c r="K2" s="2436"/>
      <c r="L2" s="2436"/>
      <c r="M2" s="2436"/>
      <c r="N2" s="2437"/>
      <c r="O2" s="2436"/>
      <c r="P2" s="2436"/>
    </row>
    <row r="3" spans="1:16" ht="15" thickBot="1">
      <c r="A3" s="3378" t="s">
        <v>1104</v>
      </c>
      <c r="B3" s="3378"/>
      <c r="C3" s="3378"/>
      <c r="D3" s="41">
        <f>'数据-基础表'!AY6</f>
        <v>0</v>
      </c>
      <c r="E3" s="41">
        <f>'数据-基础表'!AZ5</f>
        <v>77.06</v>
      </c>
      <c r="F3" s="2436"/>
      <c r="G3" s="42"/>
      <c r="H3" s="43" t="s">
        <v>1105</v>
      </c>
      <c r="I3" s="801" t="e">
        <f>ROUND('数据-基础表'!B3/'数据-基础表'!A3,2)</f>
        <v>#DIV/0!</v>
      </c>
      <c r="J3" s="2436"/>
      <c r="K3" s="2436"/>
      <c r="L3" s="2436"/>
      <c r="M3" s="2436"/>
      <c r="N3" s="2437"/>
      <c r="O3" s="2436"/>
      <c r="P3" s="2436"/>
    </row>
    <row r="4" spans="1:16" ht="14.4">
      <c r="A4" s="3379"/>
      <c r="B4" s="3380"/>
      <c r="C4" s="3381"/>
      <c r="D4" s="1522" t="s">
        <v>1106</v>
      </c>
      <c r="E4" s="1523" t="s">
        <v>1107</v>
      </c>
      <c r="F4" s="2436"/>
      <c r="G4" s="2431" t="s">
        <v>1132</v>
      </c>
      <c r="H4" s="43" t="s">
        <v>1112</v>
      </c>
      <c r="I4" s="801" t="e">
        <f>ROUND(SUMIF('数据-基础表'!I9:AS9,"地上",'数据-基础表'!I5:AS5)/'数据-基础表'!A3,2)</f>
        <v>#DIV/0!</v>
      </c>
      <c r="J4" s="2436"/>
      <c r="K4" s="2436"/>
      <c r="L4" s="2436"/>
      <c r="M4" s="2436"/>
      <c r="N4" s="2437"/>
      <c r="O4" s="2436"/>
      <c r="P4" s="2436"/>
    </row>
    <row r="5" spans="1:16" ht="14.4">
      <c r="A5" s="42" t="s">
        <v>1108</v>
      </c>
      <c r="B5" s="3382" t="s">
        <v>1109</v>
      </c>
      <c r="C5" s="3382"/>
      <c r="D5" s="43">
        <f>ROUND($D$3*E5/$E$3,2)</f>
        <v>0</v>
      </c>
      <c r="E5" s="44">
        <f>SUMIF('数据-基础表'!$11:$11,"住宅",'数据-基础表'!$5:$5)</f>
        <v>77.06</v>
      </c>
      <c r="F5" s="2436"/>
      <c r="G5" s="42"/>
      <c r="H5" s="43" t="s">
        <v>1105</v>
      </c>
      <c r="I5" s="801" t="e">
        <f>ROUND(E31/D31,2)</f>
        <v>#DIV/0!</v>
      </c>
      <c r="J5" s="2436"/>
      <c r="K5" s="2436"/>
      <c r="L5" s="2436"/>
      <c r="M5" s="2436"/>
      <c r="N5" s="2436"/>
      <c r="O5" s="2436"/>
      <c r="P5" s="2436"/>
    </row>
    <row r="6" spans="1:16" ht="15" thickBot="1">
      <c r="A6" s="1525"/>
      <c r="B6" s="3382" t="s">
        <v>1110</v>
      </c>
      <c r="C6" s="3382"/>
      <c r="D6" s="43">
        <f>ROUND($D$3*E6/$E$3,2)</f>
        <v>0</v>
      </c>
      <c r="E6" s="44">
        <f>E3-E5</f>
        <v>0</v>
      </c>
      <c r="F6" s="2436"/>
      <c r="G6" s="1527" t="s">
        <v>1111</v>
      </c>
      <c r="H6" s="45" t="s">
        <v>1112</v>
      </c>
      <c r="I6" s="2432" t="e">
        <f>ROUND(F31/D31,2)</f>
        <v>#DIV/0!</v>
      </c>
      <c r="J6" s="2436"/>
      <c r="K6" s="2436"/>
      <c r="L6" s="2436"/>
      <c r="M6" s="2436"/>
      <c r="N6" s="2436"/>
      <c r="O6" s="2436"/>
      <c r="P6" s="2436"/>
    </row>
    <row r="7" spans="1:16" ht="15" thickBot="1">
      <c r="A7" s="3374"/>
      <c r="B7" s="3375"/>
      <c r="C7" s="3376"/>
      <c r="D7" s="1522" t="s">
        <v>1106</v>
      </c>
      <c r="E7" s="1526" t="s">
        <v>1113</v>
      </c>
      <c r="F7" s="2436"/>
      <c r="G7" s="2433" t="s">
        <v>1114</v>
      </c>
      <c r="H7" s="95"/>
      <c r="I7" s="2434"/>
      <c r="J7" s="2436"/>
      <c r="K7" s="2436"/>
      <c r="L7" s="2436"/>
      <c r="M7" s="2436"/>
      <c r="N7" s="2436"/>
      <c r="O7" s="2436"/>
      <c r="P7" s="2436"/>
    </row>
    <row r="8" spans="1:16" ht="14.4">
      <c r="A8" s="42" t="s">
        <v>1115</v>
      </c>
      <c r="B8" s="45" t="s">
        <v>1116</v>
      </c>
      <c r="C8" s="43" t="s">
        <v>1117</v>
      </c>
      <c r="D8" s="43">
        <f t="shared" ref="D8:D15" si="0">ROUND($D$3*E8/$E$3,2)</f>
        <v>0</v>
      </c>
      <c r="E8" s="46">
        <f>SUMIF('数据-基础表'!BB10:BK10,"地上",'数据-基础表'!BB5:BK5)</f>
        <v>77.06</v>
      </c>
      <c r="F8" s="2436"/>
      <c r="G8" s="2436"/>
      <c r="H8" s="2436"/>
      <c r="I8" s="2436"/>
      <c r="J8" s="2436"/>
      <c r="K8" s="2436"/>
      <c r="L8" s="2436"/>
      <c r="M8" s="2436"/>
      <c r="N8" s="2436"/>
      <c r="O8" s="2436"/>
      <c r="P8" s="2436"/>
    </row>
    <row r="9" spans="1:16" ht="14.4">
      <c r="A9" s="1527"/>
      <c r="B9" s="1528"/>
      <c r="C9" s="43" t="s">
        <v>1118</v>
      </c>
      <c r="D9" s="43">
        <f t="shared" si="0"/>
        <v>0</v>
      </c>
      <c r="E9" s="47">
        <v>0</v>
      </c>
      <c r="F9" s="2436"/>
      <c r="G9" s="2436"/>
      <c r="H9" s="2436"/>
      <c r="I9" s="2436"/>
      <c r="J9" s="2436"/>
      <c r="K9" s="2436"/>
      <c r="L9" s="2436"/>
      <c r="M9" s="2436"/>
      <c r="N9" s="2436"/>
      <c r="O9" s="2436"/>
      <c r="P9" s="2436"/>
    </row>
    <row r="10" spans="1:16" ht="14.4">
      <c r="A10" s="1527"/>
      <c r="B10" s="1528"/>
      <c r="C10" s="43" t="s">
        <v>1127</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1122</v>
      </c>
      <c r="D16" s="45">
        <f>SUM(D8:D15)</f>
        <v>0</v>
      </c>
      <c r="E16" s="48">
        <f>SUM(E8:E15)</f>
        <v>77.06</v>
      </c>
      <c r="F16" s="2436"/>
      <c r="G16" s="2436"/>
      <c r="H16" s="1529" t="s">
        <v>1134</v>
      </c>
      <c r="I16" s="1530"/>
      <c r="J16" s="1069"/>
      <c r="K16" s="3371" t="s">
        <v>1134</v>
      </c>
      <c r="L16" s="3372"/>
      <c r="M16" s="3372"/>
      <c r="N16" s="3372"/>
      <c r="O16" s="3372"/>
      <c r="P16" s="3373"/>
    </row>
    <row r="17" spans="1:19" ht="14.4">
      <c r="A17" s="1531" t="s">
        <v>1135</v>
      </c>
      <c r="B17" s="1532" t="s">
        <v>1136</v>
      </c>
      <c r="C17" s="1533" t="s">
        <v>1137</v>
      </c>
      <c r="D17" s="1534" t="s">
        <v>1125</v>
      </c>
      <c r="E17" s="1535" t="s">
        <v>1126</v>
      </c>
      <c r="F17" s="1536"/>
      <c r="G17" s="1537"/>
      <c r="H17" s="1538" t="s">
        <v>1138</v>
      </c>
      <c r="I17" s="1539" t="s">
        <v>1123</v>
      </c>
      <c r="J17" s="1069"/>
      <c r="K17" s="3368" t="s">
        <v>1139</v>
      </c>
      <c r="L17" s="3369"/>
      <c r="M17" s="3370"/>
      <c r="N17" s="3368" t="s">
        <v>1140</v>
      </c>
      <c r="O17" s="3369"/>
      <c r="P17" s="3370"/>
      <c r="R17" s="768" t="s">
        <v>1141</v>
      </c>
      <c r="S17" s="54"/>
    </row>
    <row r="18" spans="1:19" ht="14.4">
      <c r="A18" s="1527"/>
      <c r="B18" s="1524"/>
      <c r="C18" s="1540"/>
      <c r="D18" s="1541"/>
      <c r="E18" s="1542" t="s">
        <v>1142</v>
      </c>
      <c r="F18" s="1543" t="s">
        <v>1143</v>
      </c>
      <c r="G18" s="1544" t="s">
        <v>1144</v>
      </c>
      <c r="H18" s="979" t="s">
        <v>1145</v>
      </c>
      <c r="I18" s="1545" t="s">
        <v>1146</v>
      </c>
      <c r="J18" s="1069"/>
      <c r="K18" s="979" t="s">
        <v>1147</v>
      </c>
      <c r="L18" s="1546" t="s">
        <v>1148</v>
      </c>
      <c r="M18" s="801" t="s">
        <v>1149</v>
      </c>
      <c r="N18" s="979" t="s">
        <v>1147</v>
      </c>
      <c r="O18" s="1546" t="s">
        <v>1148</v>
      </c>
      <c r="P18" s="801" t="s">
        <v>1149</v>
      </c>
      <c r="R18" s="43" t="s">
        <v>1150</v>
      </c>
      <c r="S18" s="43" t="s">
        <v>1151</v>
      </c>
    </row>
    <row r="19" spans="1:19" ht="14.4">
      <c r="A19" s="1547"/>
      <c r="B19" s="45" t="s">
        <v>1124</v>
      </c>
      <c r="C19" s="3113" t="s">
        <v>3388</v>
      </c>
      <c r="D19" s="43">
        <f>ROUND($D$3*E19/$E$3,2)</f>
        <v>0</v>
      </c>
      <c r="E19" s="51">
        <f t="shared" ref="E19:E26" si="1">SUM(F19:G19)</f>
        <v>77.06</v>
      </c>
      <c r="F19" s="2555">
        <f>'数据-基础表'!I13</f>
        <v>77.06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77.06</v>
      </c>
    </row>
    <row r="20" spans="1:19" ht="14.4">
      <c r="A20" s="1547"/>
      <c r="B20" s="45" t="s">
        <v>1152</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1152</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1152</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1152</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1152</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1152</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1153</v>
      </c>
      <c r="D27" s="1070">
        <f>SUM(D19:D26)</f>
        <v>0</v>
      </c>
      <c r="E27" s="1071">
        <f>IF(SUM(E19:E26)='数据-基础表'!BA5,SUM(E19:E26),IF(F27="地上面积有误","面积有误","地下面积有误"))</f>
        <v>77.06</v>
      </c>
      <c r="F27" s="1070">
        <f>IF(SUM(F19:F26)=E8,SUM(F19:F26),"地上面积有误")</f>
        <v>77.06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ht="14.4">
      <c r="A28" s="1547"/>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1154</v>
      </c>
      <c r="C29" s="1553"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1153</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1157</v>
      </c>
      <c r="D31" s="642">
        <f>D27+D30</f>
        <v>0</v>
      </c>
      <c r="E31" s="642">
        <f>E27+E30</f>
        <v>77.06</v>
      </c>
      <c r="F31" s="643">
        <f>F27+F30</f>
        <v>77.06</v>
      </c>
      <c r="G31" s="644">
        <f>G27+G30</f>
        <v>0</v>
      </c>
      <c r="H31" s="2436"/>
      <c r="I31" s="2436"/>
      <c r="J31" s="2436"/>
      <c r="K31" s="2436"/>
      <c r="L31" s="2436"/>
      <c r="M31" s="2436"/>
      <c r="N31" s="2436"/>
      <c r="O31" s="2436"/>
      <c r="P31" s="2436"/>
    </row>
    <row r="32" spans="1:19" ht="14.4">
      <c r="A32" s="1524"/>
      <c r="B32" s="1524" t="s">
        <v>1158</v>
      </c>
      <c r="C32" s="1524"/>
      <c r="D32" s="1524"/>
      <c r="E32" s="989">
        <f>SUMIF(C19:C26,"*住宅*",E19:E26)</f>
        <v>77.06</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F29" sqref="F29"/>
    </sheetView>
  </sheetViews>
  <sheetFormatPr defaultColWidth="12.6640625" defaultRowHeight="21.75" customHeight="1"/>
  <cols>
    <col min="1" max="2" width="12.6640625" style="1559"/>
    <col min="3" max="4" width="12.6640625" style="1559" customWidth="1"/>
    <col min="5" max="5" width="12.6640625" style="1559"/>
    <col min="6" max="6" width="20.44140625" style="1559" customWidth="1"/>
    <col min="7" max="7" width="13.6640625" style="1559" customWidth="1"/>
    <col min="8"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1261</v>
      </c>
      <c r="B1" s="645"/>
      <c r="C1" s="1618" t="s">
        <v>3386</v>
      </c>
      <c r="D1" s="645"/>
      <c r="E1" s="645"/>
      <c r="F1" s="1619" t="s">
        <v>1262</v>
      </c>
      <c r="G1" s="1451" t="s">
        <v>4277</v>
      </c>
      <c r="H1" s="1619" t="str">
        <f>IF(G1="现房","——","估价对象范围")</f>
        <v>——</v>
      </c>
      <c r="I1" s="1620"/>
    </row>
    <row r="2" spans="1:12" ht="21.75" customHeight="1" thickBot="1">
      <c r="A2" s="3417" t="str">
        <f>项目基本情况!S2</f>
        <v>北京市房地产</v>
      </c>
      <c r="B2" s="3418"/>
      <c r="C2" s="3418"/>
      <c r="D2" s="3418"/>
      <c r="E2" s="3418"/>
      <c r="F2" s="3418"/>
      <c r="G2" s="3418"/>
      <c r="H2" s="3418"/>
      <c r="I2" s="3419"/>
    </row>
    <row r="3" spans="1:12" ht="13.2">
      <c r="A3" s="3421" t="s">
        <v>1263</v>
      </c>
      <c r="B3" s="3422"/>
      <c r="C3" s="3422"/>
      <c r="D3" s="3422"/>
      <c r="E3" s="3422"/>
      <c r="F3" s="3422"/>
      <c r="G3" s="3422"/>
      <c r="H3" s="3422"/>
      <c r="I3" s="3422"/>
    </row>
    <row r="4" spans="1:12" ht="14.4">
      <c r="A4" s="1622" t="s">
        <v>1264</v>
      </c>
      <c r="B4" s="1623" t="s">
        <v>1265</v>
      </c>
      <c r="C4" s="1624" t="s">
        <v>4341</v>
      </c>
      <c r="D4" s="1624" t="s">
        <v>4368</v>
      </c>
      <c r="E4" s="3423" t="s">
        <v>1266</v>
      </c>
      <c r="F4" s="3424"/>
      <c r="G4" s="3424"/>
      <c r="H4" s="3424"/>
      <c r="I4" s="342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97" t="s">
        <v>1267</v>
      </c>
      <c r="B5" s="3384">
        <v>25</v>
      </c>
      <c r="C5" s="3400">
        <v>80</v>
      </c>
      <c r="D5" s="3420">
        <f>100-C5</f>
        <v>20</v>
      </c>
      <c r="E5" s="122" t="s">
        <v>1268</v>
      </c>
      <c r="F5" s="1625"/>
      <c r="G5" s="1625"/>
      <c r="H5" s="1625"/>
      <c r="I5" s="1279"/>
    </row>
    <row r="6" spans="1:12" ht="13.2">
      <c r="A6" s="3397"/>
      <c r="B6" s="3384"/>
      <c r="C6" s="3401"/>
      <c r="D6" s="3420"/>
      <c r="E6" s="122" t="s">
        <v>1269</v>
      </c>
      <c r="F6" s="1625"/>
      <c r="G6" s="1625"/>
      <c r="H6" s="1625"/>
      <c r="I6" s="1279"/>
    </row>
    <row r="7" spans="1:12" ht="13.2">
      <c r="A7" s="3397"/>
      <c r="B7" s="3384"/>
      <c r="C7" s="3402"/>
      <c r="D7" s="3420"/>
      <c r="E7" s="122" t="s">
        <v>1270</v>
      </c>
      <c r="F7" s="1625"/>
      <c r="G7" s="1625"/>
      <c r="H7" s="1625"/>
      <c r="I7" s="1279"/>
    </row>
    <row r="8" spans="1:12" ht="13.2">
      <c r="A8" s="3397" t="s">
        <v>1271</v>
      </c>
      <c r="B8" s="3384">
        <v>15</v>
      </c>
      <c r="C8" s="3400"/>
      <c r="D8" s="3420"/>
      <c r="E8" s="122" t="s">
        <v>1272</v>
      </c>
      <c r="F8" s="1625"/>
      <c r="G8" s="1625"/>
      <c r="H8" s="1625"/>
      <c r="I8" s="1279"/>
    </row>
    <row r="9" spans="1:12" ht="13.2">
      <c r="A9" s="3397"/>
      <c r="B9" s="3384"/>
      <c r="C9" s="3402"/>
      <c r="D9" s="3420"/>
      <c r="E9" s="122" t="s">
        <v>1273</v>
      </c>
      <c r="F9" s="1625"/>
      <c r="G9" s="1625"/>
      <c r="H9" s="1625"/>
      <c r="I9" s="1279"/>
    </row>
    <row r="10" spans="1:12" ht="13.2">
      <c r="A10" s="3397" t="s">
        <v>1274</v>
      </c>
      <c r="B10" s="3384">
        <v>15</v>
      </c>
      <c r="C10" s="3400"/>
      <c r="D10" s="3420"/>
      <c r="E10" s="122" t="s">
        <v>1275</v>
      </c>
      <c r="F10" s="1625"/>
      <c r="G10" s="1625"/>
      <c r="H10" s="1625"/>
      <c r="I10" s="1279"/>
    </row>
    <row r="11" spans="1:12" ht="13.2">
      <c r="A11" s="3397"/>
      <c r="B11" s="3384"/>
      <c r="C11" s="3402"/>
      <c r="D11" s="3420"/>
      <c r="E11" s="122" t="s">
        <v>1276</v>
      </c>
      <c r="F11" s="1625"/>
      <c r="G11" s="1625"/>
      <c r="H11" s="1625"/>
      <c r="I11" s="1279"/>
    </row>
    <row r="12" spans="1:12" ht="13.2">
      <c r="A12" s="3397" t="s">
        <v>1277</v>
      </c>
      <c r="B12" s="3384">
        <v>15</v>
      </c>
      <c r="C12" s="3400"/>
      <c r="D12" s="3420"/>
      <c r="E12" s="122" t="s">
        <v>1278</v>
      </c>
      <c r="F12" s="1625"/>
      <c r="G12" s="1625"/>
      <c r="H12" s="1625"/>
      <c r="I12" s="1279"/>
    </row>
    <row r="13" spans="1:12" ht="13.2">
      <c r="A13" s="3397"/>
      <c r="B13" s="3384"/>
      <c r="C13" s="3402"/>
      <c r="D13" s="3420"/>
      <c r="E13" s="122" t="s">
        <v>1279</v>
      </c>
      <c r="F13" s="1625"/>
      <c r="G13" s="1625"/>
      <c r="H13" s="1625"/>
      <c r="I13" s="1279"/>
    </row>
    <row r="14" spans="1:12" ht="13.2">
      <c r="A14" s="3397" t="s">
        <v>1280</v>
      </c>
      <c r="B14" s="3384">
        <v>30</v>
      </c>
      <c r="C14" s="3400"/>
      <c r="D14" s="3420"/>
      <c r="E14" s="122" t="s">
        <v>1281</v>
      </c>
      <c r="F14" s="1625"/>
      <c r="G14" s="1625"/>
      <c r="H14" s="1625"/>
      <c r="I14" s="1279"/>
    </row>
    <row r="15" spans="1:12" ht="13.2">
      <c r="A15" s="3397"/>
      <c r="B15" s="3384"/>
      <c r="C15" s="3401"/>
      <c r="D15" s="3420"/>
      <c r="E15" s="122" t="s">
        <v>1282</v>
      </c>
      <c r="F15" s="1625"/>
      <c r="G15" s="1625"/>
      <c r="H15" s="1625"/>
      <c r="I15" s="1279"/>
    </row>
    <row r="16" spans="1:12" ht="13.2">
      <c r="A16" s="3397"/>
      <c r="B16" s="3384"/>
      <c r="C16" s="3402"/>
      <c r="D16" s="3420"/>
      <c r="E16" s="122" t="s">
        <v>1283</v>
      </c>
      <c r="F16" s="1625"/>
      <c r="G16" s="1625"/>
      <c r="H16" s="1625"/>
      <c r="I16" s="1279"/>
    </row>
    <row r="17" spans="1:36" ht="14.4">
      <c r="A17" s="1626" t="s">
        <v>1284</v>
      </c>
      <c r="B17" s="54"/>
      <c r="C17" s="123">
        <f>SUM(C5:C16)</f>
        <v>80</v>
      </c>
      <c r="D17" s="123">
        <f>SUM(D5:D16)</f>
        <v>20</v>
      </c>
      <c r="E17" s="120"/>
      <c r="F17" s="120"/>
      <c r="G17" s="120"/>
      <c r="H17" s="120"/>
      <c r="I17" s="120"/>
      <c r="K17" s="293"/>
      <c r="L17" s="293" t="s">
        <v>1285</v>
      </c>
      <c r="M17" s="293" t="s">
        <v>1286</v>
      </c>
    </row>
    <row r="18" spans="1:36" ht="31.95" customHeight="1" thickBot="1">
      <c r="A18" s="1627" t="s">
        <v>1287</v>
      </c>
      <c r="B18" s="1540"/>
      <c r="C18" s="124">
        <f>ROUND(C17/SUM(C17:D17),2)</f>
        <v>0.8</v>
      </c>
      <c r="D18" s="124">
        <f>1-C18</f>
        <v>0.19999999999999996</v>
      </c>
      <c r="E18" s="3407" t="s">
        <v>2130</v>
      </c>
      <c r="F18" s="3408"/>
      <c r="G18" s="3408"/>
      <c r="H18" s="3408"/>
      <c r="I18" s="3408"/>
      <c r="K18" s="293" t="s">
        <v>1288</v>
      </c>
      <c r="L18" s="293">
        <f>IF(C1="",'数据-汇总表'!E3,SUMIF(项目类型,C1,'数据-汇总表'!E17:E26)+SUMIF(项目类型,C1,'数据-汇总表'!I17:I26))</f>
        <v>77.06</v>
      </c>
      <c r="M18" s="293">
        <f>IF(C1="",'数据-汇总表'!E3,SUMIF(项目类型,C1,'数据-汇总表'!E17:E26))</f>
        <v>77.06</v>
      </c>
    </row>
    <row r="19" spans="1:36" ht="14.4">
      <c r="A19" s="1628" t="s">
        <v>1289</v>
      </c>
      <c r="B19" s="1629" t="s">
        <v>1290</v>
      </c>
      <c r="C19" s="125">
        <f ca="1">SUMIF(INDIRECT("'"&amp;C4&amp;"'"&amp;"!A:A"),结果表!B19,INDIRECT("'"&amp;C4&amp;"'"&amp;"!B:B"))</f>
        <v>110.53489999999999</v>
      </c>
      <c r="D19" s="126">
        <f ca="1">SUMIF(INDIRECT("'"&amp;D4&amp;"'"&amp;"!A:A"),结果表!B19,INDIRECT("'"&amp;D4&amp;"'"&amp;"!B:B"))</f>
        <v>59.783299999999997</v>
      </c>
      <c r="E19" s="1628" t="s">
        <v>1291</v>
      </c>
      <c r="F19" s="1629" t="s">
        <v>1290</v>
      </c>
      <c r="G19" s="127">
        <f ca="1">ROUND(C19*$C$18+D19*$D$18,0)</f>
        <v>100</v>
      </c>
      <c r="H19" s="1630" t="s">
        <v>1292</v>
      </c>
      <c r="I19" s="120"/>
      <c r="K19" s="293" t="s">
        <v>1293</v>
      </c>
      <c r="L19" s="293">
        <f>IF(C1="",'数据-汇总表'!D3,SUMIF(项目类型,C1,'数据-汇总表'!D17:D26)+SUMIF(项目类型,C1,'数据-汇总表'!H17:H27))</f>
        <v>0</v>
      </c>
      <c r="M19" s="293">
        <f>IF(C1="",'数据-汇总表'!D3,SUMIF(项目类型,C1,'数据-汇总表'!D17:D26))</f>
        <v>0</v>
      </c>
    </row>
    <row r="20" spans="1:36" ht="14.4">
      <c r="A20" s="1631"/>
      <c r="B20" s="43" t="s">
        <v>1294</v>
      </c>
      <c r="C20" s="128">
        <f ca="1">SUMIF(INDIRECT("'"&amp;C4&amp;"'"&amp;"!A:A"),结果表!B20,INDIRECT("'"&amp;C4&amp;"'"&amp;"!B:B"))</f>
        <v>14344</v>
      </c>
      <c r="D20" s="129">
        <f ca="1">SUMIF(INDIRECT("'"&amp;D4&amp;"'"&amp;"!A:A"),结果表!B20,INDIRECT("'"&amp;D4&amp;"'"&amp;"!B:B"))</f>
        <v>7758</v>
      </c>
      <c r="E20" s="1631"/>
      <c r="F20" s="43" t="s">
        <v>1294</v>
      </c>
      <c r="G20" s="130">
        <f ca="1">ROUND(C20*$C$18+D20*$D$18,0)</f>
        <v>13027</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0.84892603787345289</v>
      </c>
      <c r="E22" s="120"/>
      <c r="F22" s="120" t="s">
        <v>4305</v>
      </c>
      <c r="G22" s="120">
        <f ca="1">G20</f>
        <v>13027</v>
      </c>
      <c r="H22" s="120"/>
      <c r="I22" s="120"/>
    </row>
    <row r="23" spans="1:36" ht="13.8" thickBot="1">
      <c r="A23" s="645"/>
      <c r="B23" s="645"/>
      <c r="C23" s="645"/>
      <c r="D23" s="645"/>
      <c r="E23" s="120"/>
      <c r="F23" s="120" t="s">
        <v>4306</v>
      </c>
      <c r="G23" s="120">
        <f ca="1">ROUND(G22*'数据-汇总表'!E19,0)</f>
        <v>1003861</v>
      </c>
      <c r="H23" s="120"/>
      <c r="I23" s="120"/>
    </row>
    <row r="24" spans="1:36" ht="30" customHeight="1">
      <c r="A24" s="3391" t="s">
        <v>1298</v>
      </c>
      <c r="B24" s="1629" t="s">
        <v>1290</v>
      </c>
      <c r="C24" s="127">
        <f>IF(B30=0,0,D30)</f>
        <v>0</v>
      </c>
      <c r="D24" s="1635"/>
      <c r="E24" s="120"/>
      <c r="F24" s="120"/>
      <c r="G24" s="120"/>
      <c r="H24" s="120"/>
      <c r="I24" s="120"/>
    </row>
    <row r="25" spans="1:36" ht="14.4">
      <c r="A25" s="3392"/>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1303</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1304</v>
      </c>
      <c r="B32" s="1533"/>
      <c r="C32" s="135">
        <f ca="1">IF(D32="总价",G19-C24,G20-C25)</f>
        <v>13027</v>
      </c>
      <c r="D32" s="1639"/>
      <c r="E32" s="120"/>
      <c r="F32" s="120"/>
      <c r="G32" s="120"/>
      <c r="H32" s="120"/>
      <c r="I32" s="120"/>
    </row>
    <row r="33" spans="1:15" ht="14.4">
      <c r="A33" s="739" t="s">
        <v>1305</v>
      </c>
      <c r="B33" s="122"/>
      <c r="C33" s="1640"/>
      <c r="D33" s="1641"/>
      <c r="E33" s="1642" t="s">
        <v>1306</v>
      </c>
      <c r="F33" s="1643" t="str">
        <f>IF(D32="楼面单价","取值（单价）","取值（总价）")</f>
        <v>取值（总价）</v>
      </c>
      <c r="G33" s="120"/>
      <c r="H33" s="120"/>
      <c r="I33" s="120"/>
    </row>
    <row r="34" spans="1:15" ht="14.4">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 thickBot="1">
      <c r="A35" s="1647"/>
      <c r="B35" s="1648" t="s">
        <v>1309</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 thickBot="1">
      <c r="A36" s="3411" t="s">
        <v>1311</v>
      </c>
      <c r="B36" s="1650" t="s">
        <v>1312</v>
      </c>
      <c r="C36" s="136"/>
      <c r="D36" s="1651"/>
      <c r="E36" s="1565"/>
      <c r="F36" s="1652"/>
      <c r="G36" s="120"/>
      <c r="H36" s="120"/>
      <c r="I36" s="120"/>
    </row>
    <row r="37" spans="1:15" ht="15" thickBot="1">
      <c r="A37" s="3412"/>
      <c r="B37" s="1553" t="s">
        <v>1313</v>
      </c>
      <c r="C37" s="138"/>
      <c r="D37" s="1069"/>
      <c r="E37" s="1069"/>
      <c r="F37" s="1652"/>
      <c r="G37" s="120"/>
      <c r="H37" s="120"/>
      <c r="I37" s="120"/>
    </row>
    <row r="38" spans="1:15" ht="15" thickBot="1">
      <c r="A38" s="3413"/>
      <c r="B38" s="1653" t="s">
        <v>1314</v>
      </c>
      <c r="C38" s="640"/>
      <c r="D38" s="1654" t="s">
        <v>1315</v>
      </c>
      <c r="E38" s="1069"/>
      <c r="F38" s="1652"/>
      <c r="G38" s="120"/>
      <c r="H38" s="120"/>
      <c r="I38" s="120"/>
    </row>
    <row r="39" spans="1:15" ht="14.4">
      <c r="A39" s="1631" t="s">
        <v>1316</v>
      </c>
      <c r="B39" s="1655" t="s">
        <v>1317</v>
      </c>
      <c r="C39" s="1656" t="s">
        <v>1318</v>
      </c>
      <c r="D39" s="1656" t="s">
        <v>1319</v>
      </c>
      <c r="E39" s="1657" t="s">
        <v>1320</v>
      </c>
      <c r="F39" s="1652"/>
      <c r="G39" s="120"/>
      <c r="H39" s="120"/>
      <c r="I39" s="120"/>
    </row>
    <row r="40" spans="1:15" ht="13.8">
      <c r="A40" s="1658" t="s">
        <v>1321</v>
      </c>
      <c r="B40" s="140"/>
      <c r="C40" s="141"/>
      <c r="D40" s="141"/>
      <c r="E40" s="142"/>
      <c r="F40" s="1652"/>
      <c r="G40" s="120"/>
      <c r="H40" s="120"/>
      <c r="I40" s="120"/>
    </row>
    <row r="41" spans="1:15" ht="13.8">
      <c r="A41" s="1658" t="s">
        <v>1322</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1323</v>
      </c>
      <c r="B44" s="1662"/>
      <c r="C44" s="1662"/>
      <c r="D44" s="1663"/>
      <c r="E44" s="1663"/>
      <c r="F44" s="1664"/>
      <c r="G44" s="1664"/>
      <c r="H44" s="1664"/>
      <c r="I44" s="1664"/>
      <c r="J44" s="1665" t="s">
        <v>1324</v>
      </c>
      <c r="K44" s="4"/>
      <c r="L44" s="4"/>
      <c r="M44" s="4"/>
      <c r="N44" s="4"/>
      <c r="O44" s="4"/>
    </row>
    <row r="45" spans="1:15" ht="14.25" customHeight="1" thickBot="1">
      <c r="A45" s="3388" t="s">
        <v>1325</v>
      </c>
      <c r="B45" s="3389"/>
      <c r="C45" s="3390"/>
      <c r="D45" s="146" t="e">
        <f ca="1">ROUND(H101*F45,0)</f>
        <v>#REF!</v>
      </c>
      <c r="E45" s="147" t="s">
        <v>1326</v>
      </c>
      <c r="F45" s="148">
        <v>1</v>
      </c>
      <c r="G45" s="149" t="s">
        <v>1327</v>
      </c>
      <c r="H45" s="120"/>
      <c r="I45" s="120"/>
      <c r="J45" s="3466" t="s">
        <v>1328</v>
      </c>
      <c r="K45" s="3466"/>
      <c r="L45" s="3466"/>
      <c r="M45" s="3466"/>
      <c r="N45" s="3466"/>
      <c r="O45" s="3466"/>
    </row>
    <row r="46" spans="1:15" ht="14.25" customHeight="1">
      <c r="A46" s="3385" t="s">
        <v>1329</v>
      </c>
      <c r="B46" s="3386"/>
      <c r="C46" s="3386"/>
      <c r="D46" s="3386"/>
      <c r="E46" s="3386"/>
      <c r="F46" s="3386"/>
      <c r="G46" s="3387"/>
      <c r="H46" s="1666"/>
      <c r="I46" s="150"/>
      <c r="J46" s="2307">
        <v>1</v>
      </c>
      <c r="K46" s="3447" t="s">
        <v>1330</v>
      </c>
      <c r="L46" s="3447"/>
      <c r="M46" s="3467"/>
      <c r="N46" s="3467"/>
      <c r="O46" s="3467"/>
    </row>
    <row r="47" spans="1:15" ht="12" customHeight="1">
      <c r="A47" s="151" t="s">
        <v>1331</v>
      </c>
      <c r="B47" s="152"/>
      <c r="C47" s="153"/>
      <c r="D47" s="1022" t="s">
        <v>1332</v>
      </c>
      <c r="E47" s="293" t="s">
        <v>1333</v>
      </c>
      <c r="F47" s="154" t="s">
        <v>1334</v>
      </c>
      <c r="G47" s="2330" t="s">
        <v>1335</v>
      </c>
      <c r="H47" s="2331"/>
      <c r="I47" s="150"/>
      <c r="J47" s="2307">
        <v>2</v>
      </c>
      <c r="K47" s="3447" t="s">
        <v>1336</v>
      </c>
      <c r="L47" s="3447"/>
      <c r="M47" s="3468">
        <f>'数据-取费表'!B2</f>
        <v>45646</v>
      </c>
      <c r="N47" s="3468"/>
      <c r="O47" s="3468"/>
    </row>
    <row r="48" spans="1:15" ht="26.4">
      <c r="A48" s="3416" t="s">
        <v>1337</v>
      </c>
      <c r="B48" s="3399"/>
      <c r="C48" s="3399"/>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1338</v>
      </c>
      <c r="H48" s="2334"/>
      <c r="I48" s="1666"/>
      <c r="J48" s="2307">
        <v>3</v>
      </c>
      <c r="K48" s="3447" t="s">
        <v>1339</v>
      </c>
      <c r="L48" s="3447"/>
      <c r="M48" s="3469" t="e">
        <f ca="1">H101</f>
        <v>#REF!</v>
      </c>
      <c r="N48" s="3469"/>
      <c r="O48" s="3469"/>
    </row>
    <row r="49" spans="1:35" ht="25.5" customHeight="1">
      <c r="A49" s="2149" t="s">
        <v>1340</v>
      </c>
      <c r="B49" s="3383" t="s">
        <v>1341</v>
      </c>
      <c r="C49" s="3383"/>
      <c r="D49" s="1476">
        <v>0</v>
      </c>
      <c r="E49" s="315" t="s">
        <v>1342</v>
      </c>
      <c r="F49" s="2230" t="s">
        <v>28</v>
      </c>
      <c r="G49" s="3453"/>
      <c r="H49" s="2131" t="s">
        <v>2133</v>
      </c>
      <c r="I49" s="2132"/>
      <c r="J49" s="2307">
        <v>4</v>
      </c>
      <c r="K49" s="3447" t="str">
        <f>IF(项目基本情况!E8="房地产抵押价值","房地产抵押价值","抵押担保权已注销时的房地产抵押价值")</f>
        <v>抵押担保权已注销时的房地产抵押价值</v>
      </c>
      <c r="L49" s="3447"/>
      <c r="M49" s="3469" t="str">
        <f>IF(项目基本情况!E8="房地产抵押价值",H107,H109)</f>
        <v>——</v>
      </c>
      <c r="N49" s="3469"/>
      <c r="O49" s="3469"/>
    </row>
    <row r="50" spans="1:35" ht="25.5" customHeight="1">
      <c r="A50" s="2335"/>
      <c r="B50" s="3383" t="s">
        <v>1343</v>
      </c>
      <c r="C50" s="3383"/>
      <c r="D50" s="2186"/>
      <c r="E50" s="322"/>
      <c r="F50" s="2230"/>
      <c r="G50" s="3454"/>
      <c r="H50" s="2133" t="s">
        <v>2134</v>
      </c>
      <c r="I50" s="2132"/>
      <c r="J50" s="3466" t="s">
        <v>1344</v>
      </c>
      <c r="K50" s="3466"/>
      <c r="L50" s="3466"/>
      <c r="M50" s="3466"/>
      <c r="N50" s="3466"/>
      <c r="O50" s="3466"/>
    </row>
    <row r="51" spans="1:35" ht="20.399999999999999" customHeight="1">
      <c r="A51" s="2336"/>
      <c r="B51" s="3383" t="s">
        <v>1345</v>
      </c>
      <c r="C51" s="3383"/>
      <c r="D51" s="1022"/>
      <c r="E51" s="318"/>
      <c r="F51" s="2230"/>
      <c r="G51" s="3455"/>
      <c r="H51" s="2133" t="s">
        <v>2135</v>
      </c>
      <c r="I51" s="2132"/>
      <c r="J51" s="2308" t="s">
        <v>1346</v>
      </c>
      <c r="K51" s="3447" t="s">
        <v>1347</v>
      </c>
      <c r="L51" s="3447"/>
      <c r="M51" s="2308" t="s">
        <v>1348</v>
      </c>
      <c r="N51" s="2308" t="s">
        <v>1349</v>
      </c>
      <c r="O51" s="2308" t="s">
        <v>1350</v>
      </c>
    </row>
    <row r="52" spans="1:35" ht="24" customHeight="1">
      <c r="A52" s="2150" t="s">
        <v>1351</v>
      </c>
      <c r="B52" s="3383" t="s">
        <v>1352</v>
      </c>
      <c r="C52" s="3383"/>
      <c r="D52" s="1022" t="e">
        <f ca="1">ROUND(D45*'数据-取费表'!B41/(1+'数据-取费表'!C42),0)</f>
        <v>#REF!</v>
      </c>
      <c r="E52" s="1254" t="s">
        <v>1353</v>
      </c>
      <c r="F52" s="2337">
        <f>'数据-取费表'!B41</f>
        <v>5.5000000000000007E-2</v>
      </c>
      <c r="G52" s="2338"/>
      <c r="H52" s="2328"/>
      <c r="I52" s="1667"/>
      <c r="J52" s="2307">
        <v>1</v>
      </c>
      <c r="K52" s="3448" t="s">
        <v>1354</v>
      </c>
      <c r="L52" s="3448"/>
      <c r="M52" s="2309" t="b">
        <f>D48</f>
        <v>0</v>
      </c>
      <c r="N52" s="2307" t="str">
        <f>E48</f>
        <v>销售额×税（费）率</v>
      </c>
      <c r="O52" s="2310">
        <f>F48</f>
        <v>5.5000000000000007E-2</v>
      </c>
    </row>
    <row r="53" spans="1:35" ht="12" customHeight="1">
      <c r="A53" s="2150" t="s">
        <v>1355</v>
      </c>
      <c r="B53" s="3409" t="s">
        <v>2290</v>
      </c>
      <c r="C53" s="3410"/>
      <c r="D53" s="1022" t="e">
        <f ca="1">ROUND(D45*'数据-取费表'!B41/(1+'数据-取费表'!C42),0)</f>
        <v>#REF!</v>
      </c>
      <c r="E53" s="1254" t="s">
        <v>1353</v>
      </c>
      <c r="F53" s="2337">
        <f>'数据-取费表'!B41</f>
        <v>5.5000000000000007E-2</v>
      </c>
      <c r="G53" s="2338"/>
      <c r="H53" s="2328"/>
      <c r="I53" s="1667"/>
      <c r="J53" s="2307">
        <v>2</v>
      </c>
      <c r="K53" s="3448" t="s">
        <v>1356</v>
      </c>
      <c r="L53" s="3448"/>
      <c r="M53" s="2309" t="e">
        <f t="shared" ref="M53:O54" ca="1" si="0">D55</f>
        <v>#REF!</v>
      </c>
      <c r="N53" s="2307" t="str">
        <f t="shared" si="0"/>
        <v>销售额×税（费）率</v>
      </c>
      <c r="O53" s="2310" t="str">
        <f t="shared" si="0"/>
        <v>免征</v>
      </c>
    </row>
    <row r="54" spans="1:35" ht="12" customHeight="1">
      <c r="A54" s="2150" t="s">
        <v>1357</v>
      </c>
      <c r="B54" s="3409" t="s">
        <v>2291</v>
      </c>
      <c r="C54" s="3410"/>
      <c r="D54" s="1022" t="e">
        <f ca="1">C68</f>
        <v>#REF!</v>
      </c>
      <c r="E54" s="318" t="s">
        <v>1358</v>
      </c>
      <c r="F54" s="2337">
        <f>'数据-取费表'!B41</f>
        <v>5.5000000000000007E-2</v>
      </c>
      <c r="G54" s="2338"/>
      <c r="H54" s="2339"/>
      <c r="I54" s="1667"/>
      <c r="J54" s="2307">
        <v>3</v>
      </c>
      <c r="K54" s="3448" t="s">
        <v>1359</v>
      </c>
      <c r="L54" s="3448"/>
      <c r="M54" s="2309" t="e">
        <f t="shared" ca="1" si="0"/>
        <v>#REF!</v>
      </c>
      <c r="N54" s="2307" t="str">
        <f t="shared" si="0"/>
        <v>增值额×税（费）率</v>
      </c>
      <c r="O54" s="2311" t="str">
        <f t="shared" si="0"/>
        <v>免征</v>
      </c>
    </row>
    <row r="55" spans="1:35" ht="24" customHeight="1">
      <c r="A55" s="3398" t="s">
        <v>1360</v>
      </c>
      <c r="B55" s="3399"/>
      <c r="C55" s="3399"/>
      <c r="D55" s="12" t="e">
        <f ca="1">IF(H55="个人住宅",0,ROUND(D45*I55,0))</f>
        <v>#REF!</v>
      </c>
      <c r="E55" s="1254" t="s">
        <v>1361</v>
      </c>
      <c r="F55" s="2337" t="str">
        <f>IF(H55="正常",I55,"免征")</f>
        <v>免征</v>
      </c>
      <c r="G55" s="2338"/>
      <c r="H55" s="2334"/>
      <c r="I55" s="156">
        <f>'数据-取费表'!B49</f>
        <v>5.0000000000000001E-4</v>
      </c>
      <c r="J55" s="2307">
        <f>IF(H59="非个人房产","",4)</f>
        <v>4</v>
      </c>
      <c r="K55" s="3448" t="str">
        <f>IF(H59="非个人房产","——","个人所得税")</f>
        <v>个人所得税</v>
      </c>
      <c r="L55" s="3448"/>
      <c r="M55" s="2312" t="e">
        <f ca="1">D59</f>
        <v>#REF!</v>
      </c>
      <c r="N55" s="1880" t="str">
        <f>E59</f>
        <v>差额计税</v>
      </c>
      <c r="O55" s="2313">
        <f>F59</f>
        <v>0.01</v>
      </c>
    </row>
    <row r="56" spans="1:35" ht="25.2">
      <c r="A56" s="3398" t="s">
        <v>1362</v>
      </c>
      <c r="B56" s="3399"/>
      <c r="C56" s="3399"/>
      <c r="D56" s="12" t="e">
        <f ca="1">IF(H56="个人住宅",D57,D58)</f>
        <v>#REF!</v>
      </c>
      <c r="E56" s="1254" t="s">
        <v>1363</v>
      </c>
      <c r="F56" s="2337" t="str">
        <f>IF(H56="正常",F58,"免征")</f>
        <v>免征</v>
      </c>
      <c r="G56" s="2340" t="s">
        <v>1364</v>
      </c>
      <c r="H56" s="2341"/>
      <c r="I56" s="1668"/>
      <c r="J56" s="2307" t="str">
        <f>IF(项目基本情况!K6="上海银行",IF(J55="",4,J55+1),"")</f>
        <v/>
      </c>
      <c r="K56" s="3471" t="str">
        <f>IF(项目基本情况!K6="上海银行","其他处置费用","")</f>
        <v/>
      </c>
      <c r="L56" s="3472"/>
      <c r="M56" s="2309" t="str">
        <f>IF(项目基本情况!K6="上海银行",M69,"")</f>
        <v/>
      </c>
      <c r="N56" s="3471" t="str">
        <f>IF(项目基本情况!K6="上海银行","包含处置中涉及的律师、诉讼、拍卖、评估等费用","")</f>
        <v/>
      </c>
      <c r="O56" s="3474"/>
    </row>
    <row r="57" spans="1:35" ht="13.2">
      <c r="A57" s="2150" t="s">
        <v>1340</v>
      </c>
      <c r="B57" s="3409" t="s">
        <v>1365</v>
      </c>
      <c r="C57" s="3410"/>
      <c r="D57" s="1476">
        <v>0</v>
      </c>
      <c r="E57" s="315" t="s">
        <v>1342</v>
      </c>
      <c r="F57" s="293"/>
      <c r="G57" s="2338"/>
      <c r="H57" s="2342"/>
      <c r="I57" s="1668"/>
      <c r="J57" s="3448">
        <f>IF(AND(J55="",J56=""),4,IF(项目基本情况!K6="上海银行",结果表!J56+1,结果表!J55+1))</f>
        <v>5</v>
      </c>
      <c r="K57" s="3448" t="s">
        <v>1366</v>
      </c>
      <c r="L57" s="2314" t="s">
        <v>1367</v>
      </c>
      <c r="M57" s="2315"/>
      <c r="N57" s="2316">
        <f ca="1">SUMIF(M52:M56,"&lt;9e307")</f>
        <v>0</v>
      </c>
      <c r="O57" s="2317"/>
      <c r="P57" s="2462" t="e">
        <f ca="1">N57/M49</f>
        <v>#VALUE!</v>
      </c>
    </row>
    <row r="58" spans="1:35" ht="25.2">
      <c r="A58" s="2150" t="s">
        <v>1351</v>
      </c>
      <c r="B58" s="3409" t="s">
        <v>1368</v>
      </c>
      <c r="C58" s="3383"/>
      <c r="D58" s="12" t="e">
        <f ca="1">IF(H58="转让取得",C81,C97)</f>
        <v>#REF!</v>
      </c>
      <c r="E58" s="1254" t="s">
        <v>1363</v>
      </c>
      <c r="F58" s="293" t="s">
        <v>28</v>
      </c>
      <c r="G58" s="2338"/>
      <c r="H58" s="2341"/>
      <c r="I58" s="1668"/>
      <c r="J58" s="3448"/>
      <c r="K58" s="3448"/>
      <c r="L58" s="2314" t="s">
        <v>1369</v>
      </c>
      <c r="M58" s="2318"/>
      <c r="N58" s="2319" t="str">
        <f ca="1">NUMBERSTRING(INT(N57*10000),2)&amp;"元整"</f>
        <v>零元整</v>
      </c>
      <c r="O58" s="2320"/>
    </row>
    <row r="59" spans="1:35" ht="24.6" thickBot="1">
      <c r="A59" s="3451" t="s">
        <v>1370</v>
      </c>
      <c r="B59" s="3452"/>
      <c r="C59" s="345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2136</v>
      </c>
      <c r="J59" s="3449">
        <f>J57+1</f>
        <v>6</v>
      </c>
      <c r="K59" s="3448" t="s">
        <v>1371</v>
      </c>
      <c r="L59" s="2307" t="s">
        <v>1367</v>
      </c>
      <c r="M59" s="2321"/>
      <c r="N59" s="2322" t="e">
        <f ca="1">M49-N57</f>
        <v>#VALUE!</v>
      </c>
      <c r="O59" s="2323"/>
    </row>
    <row r="60" spans="1:35" ht="12" customHeight="1">
      <c r="A60" s="1669"/>
      <c r="B60" s="645"/>
      <c r="C60" s="645"/>
      <c r="D60" s="645"/>
      <c r="E60" s="1464"/>
      <c r="F60" s="1668"/>
      <c r="G60" s="1668"/>
      <c r="H60" s="150"/>
      <c r="I60" s="120"/>
      <c r="J60" s="3450"/>
      <c r="K60" s="3448"/>
      <c r="L60" s="2314" t="s">
        <v>1369</v>
      </c>
      <c r="M60" s="2318"/>
      <c r="N60" s="2319" t="e">
        <f ca="1">NUMBERSTRING(INT(N59*10000),2)&amp;"元整"</f>
        <v>#VALUE!</v>
      </c>
      <c r="O60" s="2320"/>
    </row>
    <row r="61" spans="1:35" ht="13.8" thickBot="1">
      <c r="A61" s="3396" t="s">
        <v>1372</v>
      </c>
      <c r="B61" s="3396"/>
      <c r="C61" s="3396"/>
      <c r="D61" s="3396"/>
      <c r="E61" s="3396"/>
      <c r="F61" s="1668"/>
      <c r="G61" s="1668"/>
      <c r="H61" s="150"/>
      <c r="I61" s="120"/>
      <c r="J61" s="2307">
        <f>J59+1</f>
        <v>7</v>
      </c>
      <c r="K61" s="3448" t="s">
        <v>1373</v>
      </c>
      <c r="L61" s="3448"/>
      <c r="M61" s="2324"/>
      <c r="N61" s="2325" t="e">
        <f ca="1">ROUND(N59*10000/'数据-汇总表'!E3,0)</f>
        <v>#VALUE!</v>
      </c>
      <c r="O61" s="2326"/>
    </row>
    <row r="62" spans="1:35" ht="13.2">
      <c r="A62" s="3414" t="s">
        <v>1374</v>
      </c>
      <c r="B62" s="3415"/>
      <c r="C62" s="1862"/>
      <c r="D62" s="1862" t="s">
        <v>1375</v>
      </c>
      <c r="E62" s="157" t="s">
        <v>1376</v>
      </c>
      <c r="F62" s="1668"/>
      <c r="G62" s="1668"/>
      <c r="H62" s="150"/>
      <c r="I62" s="120"/>
    </row>
    <row r="63" spans="1:35" ht="13.2">
      <c r="A63" s="164" t="s">
        <v>330</v>
      </c>
      <c r="B63" s="158" t="s">
        <v>1377</v>
      </c>
      <c r="C63" s="2347" t="e">
        <f ca="1">ROUND((C64+C65)/(1+'数据-取费表'!C42),0)</f>
        <v>#REF!</v>
      </c>
      <c r="D63" s="158"/>
      <c r="E63" s="159"/>
      <c r="F63" s="1668"/>
      <c r="G63" s="1668"/>
      <c r="H63" s="150"/>
      <c r="I63" s="120"/>
      <c r="J63" s="3473" t="s">
        <v>1378</v>
      </c>
      <c r="K63" s="1243" t="s">
        <v>1379</v>
      </c>
      <c r="L63" s="1243" t="e">
        <f>IF(M49&gt;10000,M49*0.5%,IF(AND(M49&gt;1000,M49&lt;=10000),M49*1%,IF(AND(M49&gt;100,M49&lt;=1000),M49*3%,IF(AND(M49&gt;10,M49&lt;=100),M49*5%,M49*8%))))</f>
        <v>#VALUE!</v>
      </c>
      <c r="M63" s="293" t="e">
        <f>ROUND(L63,1)</f>
        <v>#VALUE!</v>
      </c>
      <c r="N63" s="2327"/>
      <c r="Z63" s="1621"/>
      <c r="AI63" s="1559"/>
    </row>
    <row r="64" spans="1:35" ht="14.25" customHeight="1">
      <c r="A64" s="160" t="s">
        <v>325</v>
      </c>
      <c r="B64" s="161" t="s">
        <v>1380</v>
      </c>
      <c r="C64" s="2348" t="e">
        <f ca="1">D45</f>
        <v>#REF!</v>
      </c>
      <c r="D64" s="161" t="s">
        <v>26</v>
      </c>
      <c r="E64" s="163"/>
      <c r="F64" s="1668"/>
      <c r="G64" s="1668"/>
      <c r="H64" s="150"/>
      <c r="I64" s="120"/>
      <c r="J64" s="3473"/>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1382</v>
      </c>
      <c r="Z64" s="1621"/>
      <c r="AI64" s="1559"/>
    </row>
    <row r="65" spans="1:35" ht="14.25" customHeight="1">
      <c r="A65" s="160" t="s">
        <v>326</v>
      </c>
      <c r="B65" s="161" t="s">
        <v>1383</v>
      </c>
      <c r="C65" s="2349"/>
      <c r="D65" s="161"/>
      <c r="E65" s="163"/>
      <c r="F65" s="1668"/>
      <c r="G65" s="1668"/>
      <c r="H65" s="150"/>
      <c r="I65" s="120"/>
      <c r="J65" s="3473"/>
      <c r="K65" s="1243" t="s">
        <v>1384</v>
      </c>
      <c r="L65" s="1243" t="e">
        <f>IF(M49&gt;1000,M49*0.1%,IF(AND(M49&gt;500,M49&lt;=1000),M49*0.5%,IF(AND(M49&gt;50,M49&lt;=500),M49*1%,IF(AND(M49&gt;1,M49&lt;=50),M49*1.5%))))</f>
        <v>#VALUE!</v>
      </c>
      <c r="M65" s="293" t="e">
        <f t="shared" si="1"/>
        <v>#VALUE!</v>
      </c>
      <c r="N65" s="2328" t="s">
        <v>1382</v>
      </c>
      <c r="Z65" s="1621"/>
      <c r="AI65" s="1559"/>
    </row>
    <row r="66" spans="1:35" ht="14.25" customHeight="1">
      <c r="A66" s="164" t="s">
        <v>327</v>
      </c>
      <c r="B66" s="165" t="s">
        <v>1385</v>
      </c>
      <c r="C66" s="2350"/>
      <c r="D66" s="165" t="s">
        <v>26</v>
      </c>
      <c r="E66" s="1249" t="s">
        <v>671</v>
      </c>
      <c r="F66" s="1668"/>
      <c r="G66" s="1668"/>
      <c r="H66" s="150"/>
      <c r="I66" s="120"/>
      <c r="J66" s="3473"/>
      <c r="K66" s="1243" t="s">
        <v>1386</v>
      </c>
      <c r="L66" s="1243" t="e">
        <f>M49*0.5%</f>
        <v>#VALUE!</v>
      </c>
      <c r="M66" s="293" t="e">
        <f>IF(L66&gt;0.5,0.5,ROUND(L66,0))</f>
        <v>#VALUE!</v>
      </c>
      <c r="N66" s="2328" t="s">
        <v>1387</v>
      </c>
      <c r="Z66" s="1621"/>
      <c r="AI66" s="1559"/>
    </row>
    <row r="67" spans="1:35" ht="14.25" customHeight="1">
      <c r="A67" s="164" t="s">
        <v>328</v>
      </c>
      <c r="B67" s="165" t="s">
        <v>1388</v>
      </c>
      <c r="C67" s="2351" t="e">
        <f ca="1">C63-C66</f>
        <v>#REF!</v>
      </c>
      <c r="D67" s="161" t="s">
        <v>26</v>
      </c>
      <c r="E67" s="163"/>
      <c r="F67" s="1668"/>
      <c r="G67" s="1668"/>
      <c r="H67" s="150"/>
      <c r="I67" s="120"/>
      <c r="J67" s="3473"/>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1"/>
      <c r="AI67" s="1559"/>
    </row>
    <row r="68" spans="1:35" ht="14.25" customHeight="1" thickBot="1">
      <c r="A68" s="167" t="s">
        <v>329</v>
      </c>
      <c r="B68" s="168" t="s">
        <v>1390</v>
      </c>
      <c r="C68" s="2352" t="e">
        <f ca="1">IF(C67&lt;=0,0,ROUND(C67*D68,0))</f>
        <v>#REF!</v>
      </c>
      <c r="D68" s="2353">
        <f>'数据-取费表'!B41</f>
        <v>5.5000000000000007E-2</v>
      </c>
      <c r="E68" s="169"/>
      <c r="F68" s="1668"/>
      <c r="G68" s="1668"/>
      <c r="H68" s="150"/>
      <c r="I68" s="120"/>
      <c r="J68" s="3473"/>
      <c r="K68" s="1243" t="s">
        <v>1391</v>
      </c>
      <c r="L68" s="1243" t="e">
        <f>IF(M49&gt;10000,M49*0.5%,IF(AND(M49&gt;5000,M49&lt;=10000),M49*1%,IF(AND(M49&gt;1000,M49&lt;=5000),M49*2%,IF(AND(M49&gt;200,M49&lt;=1000),M49*3%,M49*5%))))</f>
        <v>#VALUE!</v>
      </c>
      <c r="M68" s="293" t="e">
        <f>ROUND(L68,1)</f>
        <v>#VALUE!</v>
      </c>
      <c r="N68" s="2327"/>
      <c r="Z68" s="1621"/>
      <c r="AI68" s="1559"/>
    </row>
    <row r="69" spans="1:35" ht="16.5" customHeight="1">
      <c r="A69" s="1670"/>
      <c r="B69" s="1671"/>
      <c r="C69" s="1672"/>
      <c r="D69" s="1673"/>
      <c r="E69" s="1674"/>
      <c r="F69" s="1464"/>
      <c r="G69" s="1464"/>
      <c r="H69" s="1465"/>
      <c r="I69" s="645"/>
      <c r="J69" s="3473"/>
      <c r="K69" s="1243" t="s">
        <v>1392</v>
      </c>
      <c r="L69" s="1243"/>
      <c r="M69" s="293" t="e">
        <f>ROUND(SUM(M63:M68),0)</f>
        <v>#VALUE!</v>
      </c>
      <c r="N69" s="2329" t="e">
        <f>M69/M49</f>
        <v>#VALUE!</v>
      </c>
      <c r="Z69" s="1621"/>
      <c r="AI69" s="1559"/>
    </row>
    <row r="70" spans="1:35" s="641" customFormat="1" ht="14.4" thickBot="1">
      <c r="A70" s="3435" t="s">
        <v>1393</v>
      </c>
      <c r="B70" s="3436"/>
      <c r="C70" s="3436"/>
      <c r="D70" s="3436"/>
      <c r="E70" s="3436"/>
      <c r="F70" s="3436"/>
      <c r="G70" s="3436"/>
      <c r="H70" s="343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414" t="s">
        <v>1374</v>
      </c>
      <c r="B71" s="3415"/>
      <c r="C71" s="1862"/>
      <c r="D71" s="1862"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1394</v>
      </c>
      <c r="C72" s="2351"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1395</v>
      </c>
      <c r="C73" s="2351"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1397</v>
      </c>
      <c r="C75" s="2354"/>
      <c r="D75" s="161" t="s">
        <v>26</v>
      </c>
      <c r="E75" s="175" t="s">
        <v>1398</v>
      </c>
      <c r="F75" s="2355"/>
      <c r="G75" s="175" t="s">
        <v>1399</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7">
        <v>0.05</v>
      </c>
      <c r="E76" s="3409" t="s">
        <v>1401</v>
      </c>
      <c r="F76" s="3383"/>
      <c r="G76" s="3383"/>
      <c r="H76" s="34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8">
        <f>'数据-取费表'!B48+'数据-取费表'!B49</f>
        <v>3.0499999999999999E-2</v>
      </c>
      <c r="E77" s="12" t="s">
        <v>1403</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9" t="e">
        <f ca="1">ROUND(D45*D78/(1+'数据-取费表'!C42),0)</f>
        <v>#REF!</v>
      </c>
      <c r="D78" s="2360">
        <f>'数据-取费表'!B43</f>
        <v>5.000000000000001E-3</v>
      </c>
      <c r="E78" s="3393" t="s">
        <v>1405</v>
      </c>
      <c r="F78" s="3394"/>
      <c r="G78" s="3394"/>
      <c r="H78" s="34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1406</v>
      </c>
      <c r="C79" s="2351"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6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1408</v>
      </c>
      <c r="C81" s="2362" t="e">
        <f ca="1">ROUND(IF(C79&lt;=0,0,IF(C80&gt;=200%,C79*60%-C73*35%,IF(C80&gt;=100%,C79*50%-C73*15%,IF(C80&gt;=50%,C79*40%-C73*5%,IF(C80&lt;50%,C79*30%,0))))),0)</f>
        <v>#REF!</v>
      </c>
      <c r="D81" s="236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435" t="s">
        <v>1409</v>
      </c>
      <c r="B83" s="3436"/>
      <c r="C83" s="3436"/>
      <c r="D83" s="3436"/>
      <c r="E83" s="3436"/>
      <c r="F83" s="3436"/>
      <c r="G83" s="3436"/>
      <c r="H83" s="34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414" t="s">
        <v>1374</v>
      </c>
      <c r="B84" s="3415"/>
      <c r="C84" s="1862"/>
      <c r="D84" s="1862"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1394</v>
      </c>
      <c r="C85" s="2351"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1395</v>
      </c>
      <c r="C86" s="2351" t="e">
        <f ca="1">IF(H88="仅含出让金",C87+C90+C91+C92+C93+C94,C87+C91+C92+C93+C94)</f>
        <v>#REF!</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1410</v>
      </c>
      <c r="C87" s="2359">
        <f>C88+C89</f>
        <v>0</v>
      </c>
      <c r="D87" s="2360"/>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1411</v>
      </c>
      <c r="C88" s="2365"/>
      <c r="D88" s="2360"/>
      <c r="E88" s="184" t="s">
        <v>1412</v>
      </c>
      <c r="F88" s="2145"/>
      <c r="G88" s="185" t="s">
        <v>1413</v>
      </c>
      <c r="H88" s="1682"/>
      <c r="I88" s="1679"/>
      <c r="J88" s="2305"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1402</v>
      </c>
      <c r="C89" s="2359">
        <f>ROUND(C88*D89,0)</f>
        <v>0</v>
      </c>
      <c r="D89" s="2360">
        <f>'数据-取费表'!B48+'数据-取费表'!B49</f>
        <v>3.0499999999999999E-2</v>
      </c>
      <c r="E89" s="184" t="s">
        <v>1414</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1415</v>
      </c>
      <c r="C90" s="2365"/>
      <c r="D90" s="2360"/>
      <c r="E90" s="184" t="str">
        <f>IF(H88="-","土地取得成本中已包含该笔费用"," ")</f>
        <v xml:space="preserve"> </v>
      </c>
      <c r="F90" s="2145"/>
      <c r="G90" s="3475" t="s">
        <v>2128</v>
      </c>
      <c r="H90" s="3476"/>
      <c r="I90" s="1679"/>
      <c r="J90" s="2305"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9">
        <f>IF(H91="——",成本法!C33,I91)</f>
        <v>0</v>
      </c>
      <c r="D91" s="2360"/>
      <c r="E91" s="3393" t="s">
        <v>1418</v>
      </c>
      <c r="F91" s="3394"/>
      <c r="G91" s="339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9">
        <f>ROUND((C87+C90+C91)*D92,0)</f>
        <v>0</v>
      </c>
      <c r="D92" s="2366"/>
      <c r="E92" s="3393" t="s">
        <v>1421</v>
      </c>
      <c r="F92" s="3394"/>
      <c r="G92" s="3394"/>
      <c r="H92" s="3403"/>
      <c r="I92" s="1679"/>
      <c r="J92" s="2306"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9" t="e">
        <f ca="1">ROUND(D45*D93/(1+'数据-取费表'!C42),0)</f>
        <v>#REF!</v>
      </c>
      <c r="D93" s="2360">
        <f>'数据-取费表'!B43</f>
        <v>5.000000000000001E-3</v>
      </c>
      <c r="E93" s="3393" t="s">
        <v>1405</v>
      </c>
      <c r="F93" s="3394"/>
      <c r="G93" s="3394"/>
      <c r="H93" s="34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5">
        <f>ROUND((C87+C90+C91)*D94,0)</f>
        <v>0</v>
      </c>
      <c r="D94" s="2360">
        <v>0.2</v>
      </c>
      <c r="E94" s="3404" t="s">
        <v>1425</v>
      </c>
      <c r="F94" s="3405"/>
      <c r="G94" s="3405"/>
      <c r="H94" s="340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1406</v>
      </c>
      <c r="C95" s="2351"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6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1408</v>
      </c>
      <c r="C97" s="2362" t="e">
        <f ca="1">ROUND(IF(C95&lt;=0,0,IF(C96&gt;=200%,C95*60%-C86*35%,IF(C96&gt;=100%,C95*50%-C86*15%,IF(C96&gt;=50%,C95*40%-C86*5%,IF(C96&lt;50%,C95*30%,0))))),0)</f>
        <v>#REF!</v>
      </c>
      <c r="D97" s="236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379" t="s">
        <v>1427</v>
      </c>
      <c r="B100" s="3380"/>
      <c r="C100" s="3380"/>
      <c r="D100" s="3395"/>
      <c r="E100" s="3380" t="s">
        <v>1428</v>
      </c>
      <c r="F100" s="3380"/>
      <c r="G100" s="3380"/>
      <c r="H100" s="3395"/>
      <c r="I100" s="120"/>
    </row>
    <row r="101" spans="1:35" ht="18.75" customHeight="1">
      <c r="A101" s="3456" t="s">
        <v>1429</v>
      </c>
      <c r="B101" s="3457"/>
      <c r="C101" s="2368" t="str">
        <f>C4</f>
        <v>比较法-住宅</v>
      </c>
      <c r="D101" s="2369" t="str">
        <f>D4</f>
        <v>收益法1</v>
      </c>
      <c r="E101" s="3470" t="s">
        <v>1430</v>
      </c>
      <c r="F101" s="3427"/>
      <c r="G101" s="1685" t="s">
        <v>1431</v>
      </c>
      <c r="H101" s="2378" t="e">
        <f ca="1">H118</f>
        <v>#REF!</v>
      </c>
      <c r="I101" s="120"/>
    </row>
    <row r="102" spans="1:35" ht="18.75" customHeight="1">
      <c r="A102" s="3429" t="s">
        <v>1432</v>
      </c>
      <c r="B102" s="2367" t="s">
        <v>1431</v>
      </c>
      <c r="C102" s="2368">
        <f ca="1">IF(D32="楼面单价",ROUND(C19,0),C19)</f>
        <v>110.53489999999999</v>
      </c>
      <c r="D102" s="2369">
        <f ca="1">IF(D32="楼面单价",ROUND(D19,0),D19)</f>
        <v>59.783299999999997</v>
      </c>
      <c r="E102" s="3470"/>
      <c r="F102" s="3427"/>
      <c r="G102" s="1685" t="s">
        <v>1433</v>
      </c>
      <c r="H102" s="2338" t="e">
        <f ca="1">I118</f>
        <v>#REF!</v>
      </c>
      <c r="I102" s="120"/>
    </row>
    <row r="103" spans="1:35" ht="42.75" customHeight="1">
      <c r="A103" s="3429"/>
      <c r="B103" s="2367" t="s">
        <v>1433</v>
      </c>
      <c r="C103" s="2370">
        <f ca="1">C20</f>
        <v>14344</v>
      </c>
      <c r="D103" s="2371">
        <f ca="1">D20</f>
        <v>7758</v>
      </c>
      <c r="E103" s="3464" t="s">
        <v>1434</v>
      </c>
      <c r="F103" s="3465"/>
      <c r="G103" s="1686" t="s">
        <v>1435</v>
      </c>
      <c r="H103" s="2378">
        <f>IF(D36="正常操作",H104+H105+H106,H105+H106)</f>
        <v>0</v>
      </c>
      <c r="I103" s="120"/>
    </row>
    <row r="104" spans="1:35" ht="18.75" customHeight="1">
      <c r="A104" s="3429" t="s">
        <v>1436</v>
      </c>
      <c r="B104" s="2372" t="s">
        <v>1431</v>
      </c>
      <c r="C104" s="2373" t="e">
        <f ca="1">H118</f>
        <v>#REF!</v>
      </c>
      <c r="D104" s="2374"/>
      <c r="E104" s="1553" t="s">
        <v>1437</v>
      </c>
      <c r="F104" s="1546"/>
      <c r="G104" s="1686" t="s">
        <v>1435</v>
      </c>
      <c r="H104" s="2379">
        <f>IF(D36="同一抵押权人同一抵押物续贷",C36&amp;"（续贷，未扣减，详见特别提示）",C36)</f>
        <v>0</v>
      </c>
      <c r="I104" s="120"/>
    </row>
    <row r="105" spans="1:35" ht="18.75" customHeight="1" thickBot="1">
      <c r="A105" s="3430"/>
      <c r="B105" s="2375" t="s">
        <v>1433</v>
      </c>
      <c r="C105" s="2376" t="e">
        <f ca="1">I118</f>
        <v>#REF!</v>
      </c>
      <c r="D105" s="2377"/>
      <c r="E105" s="1553" t="s">
        <v>1438</v>
      </c>
      <c r="F105" s="1546"/>
      <c r="G105" s="1686" t="s">
        <v>1435</v>
      </c>
      <c r="H105" s="2380">
        <f>C37</f>
        <v>0</v>
      </c>
      <c r="I105" s="120"/>
    </row>
    <row r="106" spans="1:35" ht="18.75" customHeight="1">
      <c r="A106" s="645" t="s">
        <v>1439</v>
      </c>
      <c r="B106" s="645"/>
      <c r="C106" s="645"/>
      <c r="D106" s="645"/>
      <c r="E106" s="1687" t="s">
        <v>1440</v>
      </c>
      <c r="F106" s="1546"/>
      <c r="G106" s="1686" t="s">
        <v>1435</v>
      </c>
      <c r="H106" s="2380">
        <f>C38</f>
        <v>0</v>
      </c>
      <c r="I106" s="120"/>
    </row>
    <row r="107" spans="1:35" ht="18.75" customHeight="1">
      <c r="A107" s="120"/>
      <c r="B107" s="120"/>
      <c r="C107" s="120"/>
      <c r="D107" s="120"/>
      <c r="E107" s="3426" t="str">
        <f>IF(项目基本情况!E8="已注销","——","3.房地产抵押价值")</f>
        <v>3.房地产抵押价值</v>
      </c>
      <c r="F107" s="3427"/>
      <c r="G107" s="1685" t="s">
        <v>1431</v>
      </c>
      <c r="H107" s="2378" t="e">
        <f ca="1">IF(E107="——","——",H101-H103)</f>
        <v>#REF!</v>
      </c>
      <c r="I107" s="120"/>
    </row>
    <row r="108" spans="1:35" ht="18.75" customHeight="1">
      <c r="A108" s="120"/>
      <c r="B108" s="120"/>
      <c r="C108" s="120"/>
      <c r="D108" s="120"/>
      <c r="E108" s="3426"/>
      <c r="F108" s="3427"/>
      <c r="G108" s="1685" t="s">
        <v>1433</v>
      </c>
      <c r="H108" s="2338">
        <f ca="1">IF(H107=H101,H102,ROUND(H107*10000/'数据-汇总表'!E3,0))</f>
        <v>0</v>
      </c>
      <c r="I108" s="120"/>
    </row>
    <row r="109" spans="1:35" ht="18.75" customHeight="1">
      <c r="A109" s="120"/>
      <c r="B109" s="120"/>
      <c r="C109" s="120"/>
      <c r="D109" s="120"/>
      <c r="E109" s="3426" t="str">
        <f>IF(项目基本情况!E8="已注销及未注销","4.抵押担保权已注销时的房地产抵押价值",IF(项目基本情况!E8="已注销","3.抵押担保权已注销时的房地产抵押价值","——"))</f>
        <v>——</v>
      </c>
      <c r="F109" s="3427"/>
      <c r="G109" s="1685" t="s">
        <v>1431</v>
      </c>
      <c r="H109" s="2381" t="str">
        <f>IF(E109="——","——",H101-H105-H106)</f>
        <v>——</v>
      </c>
      <c r="I109" s="120"/>
    </row>
    <row r="110" spans="1:35" ht="18.75" customHeight="1">
      <c r="A110" s="120"/>
      <c r="B110" s="120"/>
      <c r="C110" s="120"/>
      <c r="D110" s="120"/>
      <c r="E110" s="3426"/>
      <c r="F110" s="3427"/>
      <c r="G110" s="1685" t="s">
        <v>1433</v>
      </c>
      <c r="H110" s="2338" t="str">
        <f>IF(H109="——","——",ROUND(H109*10000/'数据-汇总表'!E3,0))</f>
        <v>——</v>
      </c>
      <c r="I110" s="120"/>
    </row>
    <row r="111" spans="1:35" ht="18.75" customHeight="1">
      <c r="A111" s="120"/>
      <c r="B111" s="120"/>
      <c r="C111" s="120"/>
      <c r="D111" s="120"/>
      <c r="E111" s="3458" t="str">
        <f>IF(项目基本情况!E9="抵押净值",IF(OR(项目基本情况!E8="已注销",项目基本情况!E8="房地产抵押价值"),"4.抵押净值","5.抵押净值"),"——")</f>
        <v>——</v>
      </c>
      <c r="F111" s="3428"/>
      <c r="G111" s="1685" t="s">
        <v>1431</v>
      </c>
      <c r="H111" s="2378" t="str">
        <f>IF(E111="——","——",N59)</f>
        <v>——</v>
      </c>
      <c r="I111" s="120"/>
    </row>
    <row r="112" spans="1:35" ht="18.75" customHeight="1" thickBot="1">
      <c r="A112" s="120"/>
      <c r="B112" s="120"/>
      <c r="C112" s="120"/>
      <c r="D112" s="120"/>
      <c r="E112" s="3459"/>
      <c r="F112" s="3460"/>
      <c r="G112" s="1688" t="s">
        <v>1433</v>
      </c>
      <c r="H112" s="2382" t="str">
        <f>IF(E111="——","——",N61)</f>
        <v>——</v>
      </c>
      <c r="I112" s="120"/>
    </row>
    <row r="113" spans="1:27" ht="18.75" customHeight="1">
      <c r="A113" s="120"/>
      <c r="B113" s="120"/>
      <c r="C113" s="120"/>
      <c r="D113" s="120"/>
      <c r="E113" s="3431" t="s">
        <v>1439</v>
      </c>
      <c r="F113" s="3431"/>
      <c r="G113" s="3431"/>
      <c r="H113" s="3431"/>
      <c r="I113" s="120"/>
    </row>
    <row r="114" spans="1:27" ht="3.75" customHeight="1">
      <c r="A114" s="645"/>
      <c r="B114" s="645"/>
      <c r="C114" s="645"/>
      <c r="D114" s="645"/>
      <c r="E114" s="1669"/>
      <c r="F114" s="1669"/>
      <c r="G114" s="1669"/>
      <c r="H114" s="1669"/>
      <c r="I114" s="645"/>
    </row>
    <row r="115" spans="1:27" ht="18.75" customHeight="1">
      <c r="A115" s="3441" t="s">
        <v>1441</v>
      </c>
      <c r="B115" s="3442"/>
      <c r="C115" s="3442"/>
      <c r="D115" s="3442"/>
      <c r="E115" s="3442"/>
      <c r="F115" s="3442"/>
      <c r="G115" s="3442"/>
      <c r="H115" s="3442"/>
      <c r="I115" s="3443"/>
    </row>
    <row r="116" spans="1:27" ht="27" customHeight="1">
      <c r="A116" s="3397" t="s">
        <v>1442</v>
      </c>
      <c r="B116" s="3432" t="s">
        <v>1443</v>
      </c>
      <c r="C116" s="3432" t="s">
        <v>1444</v>
      </c>
      <c r="D116" s="3445" t="s">
        <v>1445</v>
      </c>
      <c r="E116" s="3446"/>
      <c r="F116" s="3440" t="s">
        <v>1446</v>
      </c>
      <c r="G116" s="3440"/>
      <c r="H116" s="3397" t="s">
        <v>1447</v>
      </c>
      <c r="I116" s="3397"/>
    </row>
    <row r="117" spans="1:27" ht="18.75" customHeight="1">
      <c r="A117" s="3397"/>
      <c r="B117" s="3433"/>
      <c r="C117" s="3433"/>
      <c r="D117" s="2147" t="s">
        <v>1448</v>
      </c>
      <c r="E117" s="2147" t="s">
        <v>1449</v>
      </c>
      <c r="F117" s="2147" t="s">
        <v>1448</v>
      </c>
      <c r="G117" s="2147" t="s">
        <v>1450</v>
      </c>
      <c r="H117" s="2147" t="s">
        <v>1448</v>
      </c>
      <c r="I117" s="2147" t="s">
        <v>1450</v>
      </c>
    </row>
    <row r="118" spans="1:27" ht="24.75" customHeight="1">
      <c r="A118" s="2383" t="str">
        <f>项目基本情况!S2</f>
        <v>北京市房地产</v>
      </c>
      <c r="B118" s="2147">
        <f>M18</f>
        <v>77.06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97" t="s">
        <v>1451</v>
      </c>
      <c r="B119" s="3397"/>
      <c r="C119" s="3397"/>
      <c r="D119" s="3437" t="e">
        <f ca="1">NUMBERSTRING(INT(D118*10000),2)&amp;"元整"</f>
        <v>#REF!</v>
      </c>
      <c r="E119" s="3439"/>
      <c r="F119" s="3437" t="e">
        <f ca="1">NUMBERSTRING(INT(F118*10000),2)&amp;"元整"</f>
        <v>#REF!</v>
      </c>
      <c r="G119" s="3439"/>
      <c r="H119" s="3437" t="e">
        <f ca="1">NUMBERSTRING(INT(H118*10000),2)&amp;"元整"</f>
        <v>#REF!</v>
      </c>
      <c r="I119" s="3439"/>
    </row>
    <row r="120" spans="1:27" ht="18.75" customHeight="1">
      <c r="A120" s="3461" t="str">
        <f>IF(项目基本情况!B9="房地产市场价值","",MID(E103,3,LEN(E103)-2))</f>
        <v/>
      </c>
      <c r="B120" s="3462"/>
      <c r="C120" s="3463"/>
      <c r="D120" s="3461">
        <f>H103</f>
        <v>0</v>
      </c>
      <c r="E120" s="3462"/>
      <c r="F120" s="3462"/>
      <c r="G120" s="3462"/>
      <c r="H120" s="3462"/>
      <c r="I120" s="3463"/>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437" t="s">
        <v>1451</v>
      </c>
      <c r="B121" s="3438"/>
      <c r="C121" s="3439"/>
      <c r="D121" s="3437" t="str">
        <f>IF(D120=0,"零元整",NUMBERSTRING(INT(D120*10000),2)&amp;"元整")</f>
        <v>零元整</v>
      </c>
      <c r="E121" s="3438"/>
      <c r="F121" s="3438"/>
      <c r="G121" s="3438"/>
      <c r="H121" s="3438"/>
      <c r="I121" s="3439"/>
      <c r="AA121" s="683"/>
    </row>
    <row r="122" spans="1:27" ht="18.75" customHeight="1">
      <c r="A122" s="3428" t="str">
        <f>IF(项目基本情况!B9="房地产市场价值","",MID(E107,3,LEN(E107)-2))</f>
        <v/>
      </c>
      <c r="B122" s="3428"/>
      <c r="C122" s="3428"/>
      <c r="D122" s="3461" t="e">
        <f ca="1">H107</f>
        <v>#REF!</v>
      </c>
      <c r="E122" s="3462"/>
      <c r="F122" s="3462"/>
      <c r="G122" s="3462"/>
      <c r="H122" s="3462"/>
      <c r="I122" s="3463"/>
      <c r="AA122" s="683"/>
    </row>
    <row r="123" spans="1:27" ht="18.75" customHeight="1">
      <c r="A123" s="3397" t="s">
        <v>1451</v>
      </c>
      <c r="B123" s="3397"/>
      <c r="C123" s="3397"/>
      <c r="D123" s="3437" t="e">
        <f ca="1">NUMBERSTRING(INT(D122*10000),2)&amp;"元整"</f>
        <v>#REF!</v>
      </c>
      <c r="E123" s="3438"/>
      <c r="F123" s="3438"/>
      <c r="G123" s="3438"/>
      <c r="H123" s="3438"/>
      <c r="I123" s="3439"/>
      <c r="AA123" s="683"/>
    </row>
    <row r="124" spans="1:27" ht="18.75" customHeight="1">
      <c r="A124" s="3428" t="str">
        <f>IF(项目基本情况!B9="房地产市场价值","",MID(E109,3,LEN(E109)-2))</f>
        <v/>
      </c>
      <c r="B124" s="3428"/>
      <c r="C124" s="3428"/>
      <c r="D124" s="3461" t="str">
        <f>H109</f>
        <v>——</v>
      </c>
      <c r="E124" s="3462"/>
      <c r="F124" s="3462"/>
      <c r="G124" s="3462"/>
      <c r="H124" s="3462"/>
      <c r="I124" s="3463"/>
      <c r="AA124" s="683"/>
    </row>
    <row r="125" spans="1:27" ht="18.75" customHeight="1">
      <c r="A125" s="3397" t="s">
        <v>1451</v>
      </c>
      <c r="B125" s="3397"/>
      <c r="C125" s="3397"/>
      <c r="D125" s="3437" t="e">
        <f>NUMBERSTRING(INT(D124*10000),2)&amp;"元整"</f>
        <v>#VALUE!</v>
      </c>
      <c r="E125" s="3438"/>
      <c r="F125" s="3438"/>
      <c r="G125" s="3438"/>
      <c r="H125" s="3438"/>
      <c r="I125" s="3439"/>
      <c r="AA125" s="683"/>
    </row>
    <row r="126" spans="1:27" ht="18.75" customHeight="1">
      <c r="A126" s="3428" t="str">
        <f>IF(项目基本情况!B9="房地产市场价值","",MID(E111,3,LEN(E111)-2))</f>
        <v/>
      </c>
      <c r="B126" s="3428"/>
      <c r="C126" s="3428"/>
      <c r="D126" s="3461" t="str">
        <f>H111</f>
        <v>——</v>
      </c>
      <c r="E126" s="3462"/>
      <c r="F126" s="3462"/>
      <c r="G126" s="3462"/>
      <c r="H126" s="3462"/>
      <c r="I126" s="3463"/>
      <c r="AA126" s="683"/>
    </row>
    <row r="127" spans="1:27" ht="18.75" customHeight="1">
      <c r="A127" s="3397" t="s">
        <v>1451</v>
      </c>
      <c r="B127" s="3397"/>
      <c r="C127" s="3397"/>
      <c r="D127" s="3437" t="e">
        <f>NUMBERSTRING(INT(D126*10000),2)&amp;"元整"</f>
        <v>#VALUE!</v>
      </c>
      <c r="E127" s="3438"/>
      <c r="F127" s="3438"/>
      <c r="G127" s="3438"/>
      <c r="H127" s="3438"/>
      <c r="I127" s="3439"/>
      <c r="AA127" s="683"/>
    </row>
    <row r="128" spans="1:27" ht="21.75" customHeight="1">
      <c r="A128" s="3444" t="s">
        <v>1452</v>
      </c>
      <c r="B128" s="3444"/>
      <c r="C128" s="3444"/>
      <c r="D128" s="3444"/>
      <c r="E128" s="3444"/>
      <c r="F128" s="3444"/>
      <c r="G128" s="3444"/>
      <c r="H128" s="3444"/>
      <c r="I128" s="3444"/>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X6" activePane="bottomRight" state="frozen"/>
      <selection activeCell="C50" sqref="C50"/>
      <selection pane="topRight" activeCell="C50" sqref="C50"/>
      <selection pane="bottomLeft" activeCell="C50" sqref="C50"/>
      <selection pane="bottomRight" activeCell="AD27" sqref="AD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77734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 thickBot="1">
      <c r="A2" s="1560" t="s">
        <v>1160</v>
      </c>
      <c r="B2" s="983">
        <f>项目基本情况!D3</f>
        <v>45646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5"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3389</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住宅</v>
      </c>
      <c r="B6" s="1585" t="str">
        <f>IF(A6=0,"","经营性")</f>
        <v>经营性</v>
      </c>
      <c r="C6" s="1586"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0.04</v>
      </c>
      <c r="J6" s="63">
        <v>6.5000000000000002E-2</v>
      </c>
      <c r="K6" s="969">
        <f>SUMIF('数据-汇总表'!C$19:C$33,A6,'数据-汇总表'!E$19:E$33)</f>
        <v>77.06</v>
      </c>
      <c r="L6" s="3293">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24">
        <v>1800</v>
      </c>
      <c r="V6" s="67">
        <v>2.5000000000000001E-2</v>
      </c>
      <c r="W6" s="67">
        <v>0.1</v>
      </c>
      <c r="X6" s="978"/>
      <c r="Y6" s="68">
        <f>N6</f>
        <v>0.67</v>
      </c>
      <c r="Z6" s="69"/>
      <c r="AA6" s="63"/>
      <c r="AB6" s="63"/>
      <c r="AC6" s="978"/>
      <c r="AD6" s="70"/>
      <c r="AE6" s="979">
        <f ca="1">IF(AN6="",0,SUMIF(INDIRECT("'"&amp;AN6&amp;"'"&amp;"!E:E"),$AE$5,INDIRECT("'"&amp;AN6&amp;"'"&amp;"!F:F")))</f>
        <v>46</v>
      </c>
      <c r="AF6" s="74"/>
      <c r="AG6" s="129">
        <f>IF(AF6="",0,AE6-AF6)</f>
        <v>0</v>
      </c>
      <c r="AH6" s="71">
        <v>1</v>
      </c>
      <c r="AI6" s="73">
        <v>12</v>
      </c>
      <c r="AJ6" s="74"/>
      <c r="AK6" s="75">
        <v>1E-3</v>
      </c>
      <c r="AL6" s="76">
        <v>1E-3</v>
      </c>
      <c r="AM6" s="77">
        <v>1E-3</v>
      </c>
      <c r="AN6" s="1587" t="s">
        <v>4368</v>
      </c>
      <c r="AO6" s="50">
        <f ca="1">SUMIF(INDIRECT("'"&amp;AN6&amp;"'"&amp;"!A:A"),"总价",INDIRECT("'"&amp;AN6&amp;"'"&amp;"!B:B"))</f>
        <v>59.783299999999997</v>
      </c>
      <c r="AP6" s="1588">
        <f>IF(C6="住宅",K6*L6,0)</f>
        <v>215768</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1204</v>
      </c>
      <c r="B14" s="1585" t="s">
        <v>1205</v>
      </c>
      <c r="C14" s="1590"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1208</v>
      </c>
      <c r="B16" s="82"/>
      <c r="C16" s="782"/>
      <c r="D16" s="1592"/>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4" t="s">
        <v>1210</v>
      </c>
      <c r="B19" s="97">
        <v>0</v>
      </c>
      <c r="C19" s="2558" t="s">
        <v>2304</v>
      </c>
      <c r="D19" s="2449"/>
      <c r="E19" s="2436"/>
      <c r="F19" s="2436"/>
      <c r="G19" s="2436"/>
      <c r="H19" s="2436"/>
      <c r="I19" s="2436"/>
      <c r="J19" s="2436"/>
      <c r="K19" s="2447"/>
      <c r="L19" s="2447"/>
      <c r="M19" s="2446"/>
      <c r="N19" s="3142">
        <f>1-(2024-2001)/50</f>
        <v>0.54</v>
      </c>
      <c r="O19" s="2446">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5" t="s">
        <v>1211</v>
      </c>
      <c r="B20" s="3292">
        <v>1</v>
      </c>
      <c r="C20" s="2559" t="s">
        <v>2302</v>
      </c>
      <c r="D20" s="2449"/>
      <c r="E20" s="2436"/>
      <c r="F20" s="2436"/>
      <c r="G20" s="2436"/>
      <c r="H20" s="2436"/>
      <c r="I20" s="2436"/>
      <c r="J20" s="2436"/>
      <c r="K20" s="2447"/>
      <c r="L20" s="2447"/>
      <c r="M20" s="2446"/>
      <c r="N20" s="2446">
        <v>0.8</v>
      </c>
      <c r="O20" s="2446">
        <f>1-O19</f>
        <v>0.5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6" t="s">
        <v>1212</v>
      </c>
      <c r="B21" s="3292">
        <v>1</v>
      </c>
      <c r="C21" s="2436"/>
      <c r="D21" s="2449"/>
      <c r="E21" s="2436"/>
      <c r="F21" s="2436"/>
      <c r="G21" s="2436"/>
      <c r="H21" s="2436"/>
      <c r="I21" s="2436"/>
      <c r="J21" s="2436"/>
      <c r="K21" s="2447"/>
      <c r="L21" s="2447"/>
      <c r="M21" s="2446"/>
      <c r="N21" s="3142">
        <f>N19*O19+N20*O20</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5" t="s">
        <v>1213</v>
      </c>
      <c r="B22" s="98">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6" t="s">
        <v>1214</v>
      </c>
      <c r="B23" s="98">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1215</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1216</v>
      </c>
      <c r="B26" s="1598" t="s">
        <v>1217</v>
      </c>
      <c r="C26" s="2450" t="s">
        <v>1218</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9" t="s">
        <v>1219</v>
      </c>
      <c r="B27" s="100">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0" t="s">
        <v>1220</v>
      </c>
      <c r="B28" s="102">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1" t="s">
        <v>1221</v>
      </c>
      <c r="B29" s="104">
        <v>150</v>
      </c>
      <c r="C29" s="2561" t="s">
        <v>2293</v>
      </c>
      <c r="D29" s="2452"/>
      <c r="E29" s="2437"/>
      <c r="F29" s="2437"/>
      <c r="G29" s="3279" t="s">
        <v>4344</v>
      </c>
      <c r="H29" s="2436"/>
      <c r="I29" s="2436"/>
      <c r="J29" s="2436"/>
      <c r="K29" s="2447"/>
      <c r="L29" s="2447"/>
      <c r="M29" s="2446"/>
      <c r="N29" s="2446"/>
      <c r="O29" s="3280" t="s">
        <v>4345</v>
      </c>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2" t="s">
        <v>1222</v>
      </c>
      <c r="B30" s="637">
        <v>200</v>
      </c>
      <c r="C30" s="2453"/>
      <c r="D30" s="2452"/>
      <c r="E30" s="2437"/>
      <c r="F30" s="2437"/>
      <c r="G30" s="3281" t="s">
        <v>4346</v>
      </c>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0" t="s">
        <v>1223</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3" t="s">
        <v>1224</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9" t="s">
        <v>1225</v>
      </c>
      <c r="B33" s="639">
        <v>0.05</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0" t="s">
        <v>1226</v>
      </c>
      <c r="B34" s="105">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0" t="s">
        <v>1227</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1228</v>
      </c>
      <c r="B36" s="106">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2" t="s">
        <v>1229</v>
      </c>
      <c r="B37" s="107">
        <v>0.01</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0" t="s">
        <v>1230</v>
      </c>
      <c r="B38" s="105">
        <v>0.01</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3" t="s">
        <v>1231</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4377</v>
      </c>
      <c r="B40" s="3296">
        <v>3.1E-2</v>
      </c>
      <c r="C40" s="2570">
        <v>0</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9" t="s">
        <v>1232</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4"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4" t="s">
        <v>1234</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5" t="s">
        <v>1235</v>
      </c>
      <c r="B44" s="111">
        <v>0.05</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5" t="s">
        <v>1236</v>
      </c>
      <c r="B45" s="109">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5" t="s">
        <v>1237</v>
      </c>
      <c r="B46" s="109">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1238</v>
      </c>
      <c r="B47" s="112">
        <v>0</v>
      </c>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7" t="s">
        <v>1239</v>
      </c>
      <c r="B48" s="113">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1240</v>
      </c>
      <c r="B49" s="109">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8" t="s">
        <v>1241</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1242</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8" t="s">
        <v>1243</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0" t="s">
        <v>1244</v>
      </c>
      <c r="B53" s="1609" t="s">
        <v>29</v>
      </c>
      <c r="C53" s="2437" t="s">
        <v>1245</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0" t="s">
        <v>1246</v>
      </c>
      <c r="B54" s="72">
        <f>C54</f>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0" t="s">
        <v>1247</v>
      </c>
      <c r="B55" s="72">
        <f t="shared" ref="B55:B59" si="12">C55</f>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0" t="s">
        <v>1248</v>
      </c>
      <c r="B56" s="72">
        <f t="shared" si="1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0" t="s">
        <v>1249</v>
      </c>
      <c r="B57" s="72">
        <f t="shared" si="1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0" t="s">
        <v>1250</v>
      </c>
      <c r="B58" s="72">
        <f t="shared" si="1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0" t="s">
        <v>1251</v>
      </c>
      <c r="B59" s="72">
        <f t="shared" si="1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0"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0"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0"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1255</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477" t="s">
        <v>2285</v>
      </c>
      <c r="B1" s="3478"/>
      <c r="C1" s="3478"/>
      <c r="D1" s="3478"/>
      <c r="E1" s="3478"/>
      <c r="F1" s="3478"/>
      <c r="G1" s="347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3"/>
      <c r="E2" s="2257"/>
      <c r="F2" s="2260"/>
      <c r="G2" s="2259" t="s">
        <v>2281</v>
      </c>
      <c r="H2" s="750"/>
      <c r="I2" s="750"/>
      <c r="J2" s="750"/>
      <c r="K2" s="750"/>
      <c r="L2" s="750"/>
      <c r="M2" s="750"/>
      <c r="N2" s="750"/>
      <c r="O2" s="750"/>
      <c r="P2" s="750"/>
      <c r="Q2" s="750"/>
    </row>
    <row r="3" spans="1:29" ht="48">
      <c r="A3" s="2244" t="s">
        <v>2282</v>
      </c>
      <c r="B3" s="2261" t="s">
        <v>2251</v>
      </c>
      <c r="C3" s="2262" t="s">
        <v>2283</v>
      </c>
      <c r="D3" s="2263"/>
      <c r="E3" s="2245" t="s">
        <v>2282</v>
      </c>
      <c r="F3" s="2264" t="s">
        <v>2252</v>
      </c>
      <c r="G3" s="2265" t="s">
        <v>2284</v>
      </c>
      <c r="H3" s="750"/>
      <c r="I3" s="750"/>
      <c r="J3" s="750"/>
      <c r="K3" s="750"/>
      <c r="L3" s="750"/>
      <c r="M3" s="750"/>
      <c r="N3" s="750"/>
      <c r="O3" s="750"/>
      <c r="P3" s="750"/>
      <c r="Q3" s="750"/>
    </row>
    <row r="4" spans="1:29" ht="37.200000000000003">
      <c r="A4" s="2245"/>
      <c r="B4" s="314" t="s">
        <v>2253</v>
      </c>
      <c r="C4" s="2266" t="s">
        <v>2254</v>
      </c>
      <c r="D4" s="2263"/>
      <c r="E4" s="2267"/>
      <c r="F4" s="1279" t="s">
        <v>2255</v>
      </c>
      <c r="G4" s="2268" t="s">
        <v>2256</v>
      </c>
      <c r="H4" s="750"/>
      <c r="I4" s="750"/>
      <c r="J4" s="750"/>
      <c r="K4" s="750"/>
      <c r="L4" s="750"/>
      <c r="M4" s="750"/>
      <c r="N4" s="750"/>
      <c r="O4" s="750"/>
      <c r="P4" s="750"/>
      <c r="Q4" s="750"/>
    </row>
    <row r="5" spans="1:29" ht="37.200000000000003">
      <c r="A5" s="2245"/>
      <c r="B5" s="314" t="s">
        <v>2257</v>
      </c>
      <c r="C5" s="2266" t="s">
        <v>2258</v>
      </c>
      <c r="D5" s="2263"/>
      <c r="E5" s="2267"/>
      <c r="F5" s="314" t="s">
        <v>2259</v>
      </c>
      <c r="G5" s="2268" t="s">
        <v>2260</v>
      </c>
      <c r="H5" s="750"/>
      <c r="I5" s="750"/>
      <c r="J5" s="750"/>
      <c r="K5" s="750"/>
      <c r="L5" s="750"/>
      <c r="M5" s="750"/>
      <c r="N5" s="750"/>
      <c r="O5" s="750"/>
      <c r="P5" s="750"/>
      <c r="Q5" s="750"/>
    </row>
    <row r="6" spans="1:29" ht="48">
      <c r="A6" s="2245"/>
      <c r="B6" s="314" t="s">
        <v>2261</v>
      </c>
      <c r="C6" s="2268" t="s">
        <v>2256</v>
      </c>
      <c r="D6" s="2263"/>
      <c r="E6" s="2267"/>
      <c r="F6" s="314" t="s">
        <v>2262</v>
      </c>
      <c r="G6" s="2268" t="s">
        <v>2263</v>
      </c>
      <c r="H6" s="750"/>
      <c r="I6" s="750"/>
      <c r="J6" s="750"/>
      <c r="K6" s="750"/>
      <c r="L6" s="750"/>
      <c r="M6" s="750"/>
      <c r="N6" s="750"/>
      <c r="O6" s="750"/>
      <c r="P6" s="750"/>
      <c r="Q6" s="750"/>
    </row>
    <row r="7" spans="1:29" ht="36.6" thickBot="1">
      <c r="A7" s="2245"/>
      <c r="B7" s="314" t="s">
        <v>2259</v>
      </c>
      <c r="C7" s="2268" t="s">
        <v>2260</v>
      </c>
      <c r="D7" s="2242"/>
      <c r="E7" s="2269"/>
      <c r="F7" s="2270" t="s">
        <v>2264</v>
      </c>
      <c r="G7" s="2271" t="s">
        <v>2265</v>
      </c>
      <c r="H7" s="750"/>
      <c r="I7" s="750"/>
      <c r="J7" s="750"/>
      <c r="K7" s="750"/>
      <c r="L7" s="750"/>
      <c r="M7" s="750"/>
      <c r="N7" s="750"/>
      <c r="O7" s="750"/>
      <c r="P7" s="750"/>
      <c r="Q7" s="750"/>
    </row>
    <row r="8" spans="1:29" ht="24">
      <c r="A8" s="2245"/>
      <c r="B8" s="314" t="s">
        <v>2262</v>
      </c>
      <c r="C8" s="2268" t="s">
        <v>2263</v>
      </c>
      <c r="D8" s="2242"/>
      <c r="E8" s="2242"/>
      <c r="F8" s="120"/>
      <c r="G8" s="120"/>
      <c r="H8" s="750"/>
      <c r="I8" s="750"/>
      <c r="J8" s="750"/>
      <c r="K8" s="750"/>
      <c r="L8" s="750"/>
      <c r="M8" s="750"/>
      <c r="N8" s="750"/>
      <c r="O8" s="750"/>
      <c r="P8" s="750"/>
      <c r="Q8" s="750"/>
    </row>
    <row r="9" spans="1:29" ht="24">
      <c r="A9" s="2245"/>
      <c r="B9" s="314" t="s">
        <v>2266</v>
      </c>
      <c r="C9" s="2266" t="s">
        <v>2267</v>
      </c>
      <c r="D9" s="2263"/>
      <c r="E9" s="2242"/>
      <c r="F9" s="120"/>
      <c r="G9" s="120"/>
      <c r="H9" s="750"/>
      <c r="I9" s="750"/>
      <c r="J9" s="750"/>
      <c r="K9" s="750"/>
      <c r="L9" s="750"/>
      <c r="M9" s="750"/>
      <c r="N9" s="750"/>
      <c r="O9" s="750"/>
      <c r="P9" s="750"/>
      <c r="Q9" s="750"/>
    </row>
    <row r="10" spans="1:29" ht="14.4" thickBot="1">
      <c r="A10" s="2246"/>
      <c r="B10" s="2272" t="s">
        <v>2268</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4"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4" t="s">
        <v>2262</v>
      </c>
      <c r="G20" s="2291" t="str">
        <f>G6</f>
        <v>估价对象所在区域基础设施水平</v>
      </c>
    </row>
    <row r="21" spans="1:17" ht="26.4">
      <c r="A21" s="2249"/>
      <c r="B21" s="314" t="s">
        <v>2259</v>
      </c>
      <c r="C21" s="2291" t="str">
        <f>C7</f>
        <v>估价对象所在区域公共配套设施齐备情况</v>
      </c>
      <c r="D21" s="2263"/>
      <c r="E21" s="2250"/>
      <c r="F21" s="2290" t="s">
        <v>2277</v>
      </c>
      <c r="G21" s="2293"/>
    </row>
    <row r="22" spans="1:17" ht="13.5" customHeight="1">
      <c r="A22" s="2249"/>
      <c r="B22" s="314" t="s">
        <v>2262</v>
      </c>
      <c r="C22" s="2291" t="str">
        <f>C8</f>
        <v>估价对象所在区域基础设施水平</v>
      </c>
      <c r="D22" s="2263"/>
      <c r="E22" s="2250"/>
      <c r="F22" s="2290" t="s">
        <v>2268</v>
      </c>
      <c r="G22" s="2292"/>
    </row>
    <row r="23" spans="1:17" s="750" customFormat="1" ht="14.4" thickBot="1">
      <c r="A23" s="2249"/>
      <c r="B23" s="2290" t="s">
        <v>2277</v>
      </c>
      <c r="C23" s="2293"/>
      <c r="D23" s="1612"/>
      <c r="E23" s="2251"/>
      <c r="F23" s="2294" t="s">
        <v>2278</v>
      </c>
      <c r="G23" s="2295"/>
      <c r="H23" s="2274"/>
      <c r="I23" s="2274"/>
      <c r="J23" s="2274"/>
      <c r="K23" s="2274"/>
      <c r="L23" s="2274"/>
      <c r="M23" s="2274"/>
      <c r="N23" s="2274"/>
      <c r="O23" s="2274"/>
      <c r="P23" s="2274"/>
      <c r="Q23" s="2274"/>
    </row>
    <row r="24" spans="1:17" s="750" customFormat="1" ht="14.4" thickBot="1">
      <c r="A24" s="2252"/>
      <c r="B24" s="2294" t="s">
        <v>2279</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3" t="s">
        <v>4300</v>
      </c>
      <c r="B1">
        <f>'数据-汇总表'!E3</f>
        <v>77.06</v>
      </c>
    </row>
    <row r="2" spans="1:7">
      <c r="A2" s="1403" t="s">
        <v>4294</v>
      </c>
      <c r="B2" s="1403" t="s">
        <v>4295</v>
      </c>
      <c r="C2" s="1403" t="s">
        <v>4297</v>
      </c>
      <c r="D2" s="1403" t="s">
        <v>4296</v>
      </c>
      <c r="E2" s="1403" t="s">
        <v>4298</v>
      </c>
      <c r="F2" s="1403" t="s">
        <v>4299</v>
      </c>
      <c r="G2" s="1403" t="s">
        <v>4301</v>
      </c>
    </row>
    <row r="3" spans="1:7">
      <c r="A3" s="3226">
        <v>42825</v>
      </c>
      <c r="B3">
        <f>'比较法-住宅'!C49</f>
        <v>14344</v>
      </c>
      <c r="C3">
        <v>0.8</v>
      </c>
      <c r="D3">
        <f ca="1">收益法1!C43</f>
        <v>7758</v>
      </c>
      <c r="E3">
        <f>1-C3</f>
        <v>0.19999999999999996</v>
      </c>
      <c r="F3">
        <f ca="1">ROUND((B3*C3+D3*E3),0)</f>
        <v>13027</v>
      </c>
      <c r="G3">
        <f ca="1">B1*F3/10000</f>
        <v>100.386062</v>
      </c>
    </row>
    <row r="4" spans="1:7">
      <c r="A4" s="3226">
        <v>43100</v>
      </c>
      <c r="B4">
        <f>'比较法-住宅12.31'!C49</f>
        <v>71472</v>
      </c>
      <c r="C4">
        <f>C3</f>
        <v>0.8</v>
      </c>
      <c r="D4">
        <f ca="1">收益法12.31!B3</f>
        <v>7941</v>
      </c>
      <c r="E4">
        <f>E3</f>
        <v>0.19999999999999996</v>
      </c>
      <c r="F4">
        <f ca="1">ROUND((B4*C4+D4*E4),0)</f>
        <v>58766</v>
      </c>
      <c r="G4">
        <f ca="1">B1*F4/10000</f>
        <v>452.850796</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1460</v>
      </c>
      <c r="B1" s="1372"/>
      <c r="C1" s="189"/>
      <c r="D1" s="189"/>
      <c r="E1" s="189"/>
      <c r="F1" s="189"/>
      <c r="G1" s="1060">
        <f>MATCH(B1,'数据-取费表'!A6:A16,0)+5</f>
        <v>7</v>
      </c>
    </row>
    <row r="2" spans="1:9" s="191" customFormat="1" ht="18" customHeight="1">
      <c r="A2" s="192" t="s">
        <v>1461</v>
      </c>
      <c r="B2" s="193">
        <f ca="1">IF(D2="——",C52,C52-E2)</f>
        <v>235</v>
      </c>
      <c r="C2" s="190" t="s">
        <v>1462</v>
      </c>
      <c r="D2" s="1709" t="s">
        <v>43</v>
      </c>
      <c r="E2" s="1087"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30496</v>
      </c>
      <c r="C3" s="190" t="s">
        <v>1464</v>
      </c>
      <c r="D3" s="190"/>
      <c r="E3" s="190"/>
      <c r="F3" s="190"/>
      <c r="G3" s="190"/>
    </row>
    <row r="4" spans="1:9" s="199" customFormat="1" ht="16.2">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2"/>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3"/>
      <c r="H9" s="1068"/>
      <c r="I9" s="1714"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2"/>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39">
        <f ca="1">ROUND(SUM(C23:C25),0)</f>
        <v>5</v>
      </c>
      <c r="D22" s="226">
        <f>C26</f>
        <v>2.0000000000000001E-4</v>
      </c>
      <c r="E22" s="227" t="s">
        <v>1497</v>
      </c>
      <c r="F22" s="228">
        <f>'数据-取费表'!B40</f>
        <v>3.1E-2</v>
      </c>
      <c r="G22" s="225" t="str">
        <f>IF('数据-取费表'!B22&lt;=1,"单利计息","复利计息")</f>
        <v>单利计息</v>
      </c>
    </row>
    <row r="23" spans="1:7" s="205" customFormat="1" ht="13.5" customHeight="1">
      <c r="A23" s="733" t="s">
        <v>1501</v>
      </c>
      <c r="B23" s="206" t="s">
        <v>1502</v>
      </c>
      <c r="C23" s="1040">
        <f>ROUND(IF('数据-取费表'!B22&lt;=1,C5*F22*'数据-取费表'!B23,C5*(POWER((1+F22),'数据-取费表'!B23)-1)),0)</f>
        <v>5</v>
      </c>
      <c r="D23" s="229"/>
      <c r="E23" s="229"/>
      <c r="F23" s="230"/>
      <c r="G23" s="231" t="s">
        <v>1503</v>
      </c>
    </row>
    <row r="24" spans="1:7" s="205" customFormat="1" ht="13.5" customHeight="1">
      <c r="A24" s="733" t="s">
        <v>1504</v>
      </c>
      <c r="B24" s="206" t="s">
        <v>1505</v>
      </c>
      <c r="C24" s="1040">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0">
        <f ca="1">ROUND(IF('数据-取费表'!B22&lt;=1,C20*F22*'数据-取费表'!B23/2,C20*(POWER((1+F22),'数据-取费表'!B23/2)-1)),0)</f>
        <v>0</v>
      </c>
      <c r="D25" s="229"/>
      <c r="E25" s="232"/>
      <c r="F25" s="230"/>
      <c r="G25" s="233" t="s">
        <v>1509</v>
      </c>
    </row>
    <row r="26" spans="1:7" s="205" customFormat="1">
      <c r="A26" s="733" t="s">
        <v>350</v>
      </c>
      <c r="B26" s="206" t="s">
        <v>1510</v>
      </c>
      <c r="C26" s="229">
        <f>ROUND(IF('数据-取费表'!B22&lt;=1,F21*F22*'数据-取费表'!B23/2,F21*(POWER((1+F22),'数据-取费表'!B23/2)-1)),4)</f>
        <v>2.0000000000000001E-4</v>
      </c>
      <c r="D26" s="229"/>
      <c r="E26" s="232"/>
      <c r="F26" s="230"/>
      <c r="G26" s="234"/>
    </row>
    <row r="27" spans="1:7" s="205" customFormat="1" ht="26.4">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212</v>
      </c>
      <c r="D31" s="221"/>
      <c r="E31" s="202"/>
      <c r="F31" s="241"/>
      <c r="G31" s="225" t="s">
        <v>1521</v>
      </c>
    </row>
    <row r="32" spans="1:7" s="199" customFormat="1" ht="16.2">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0</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0</v>
      </c>
      <c r="D42" s="229"/>
      <c r="E42" s="229"/>
      <c r="F42" s="230"/>
      <c r="G42" s="3479" t="s">
        <v>1543</v>
      </c>
    </row>
    <row r="43" spans="1:7" ht="13.5" customHeight="1">
      <c r="A43" s="733" t="s">
        <v>347</v>
      </c>
      <c r="B43" s="206" t="s">
        <v>1544</v>
      </c>
      <c r="C43" s="229">
        <f ca="1">ROUND(IF('数据-取费表'!B22&lt;=1,C39*F22*'数据-取费表'!B21/2,C39*(POWER((1+F22),'数据-取费表'!B21/2)-1)),0)</f>
        <v>0</v>
      </c>
      <c r="D43" s="229"/>
      <c r="E43" s="229"/>
      <c r="F43" s="230"/>
      <c r="G43" s="3480"/>
    </row>
    <row r="44" spans="1:7" ht="13.5" customHeight="1">
      <c r="A44" s="733" t="s">
        <v>348</v>
      </c>
      <c r="B44" s="206" t="s">
        <v>1545</v>
      </c>
      <c r="C44" s="229">
        <f>ROUND(IF('数据-取费表'!B22&lt;=1,C40*F22*'数据-取费表'!B21/2,C40*(POWER((1+F22),'数据-取费表'!B21/2)-1)),4)</f>
        <v>2.0000000000000001E-4</v>
      </c>
      <c r="D44" s="229"/>
      <c r="E44" s="229"/>
      <c r="F44" s="230"/>
      <c r="G44" s="3481"/>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35</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23</v>
      </c>
      <c r="D51" s="223"/>
      <c r="E51" s="223"/>
      <c r="F51" s="255"/>
      <c r="G51" s="225" t="s">
        <v>1559</v>
      </c>
    </row>
    <row r="52" spans="1:7" s="199" customFormat="1" ht="16.8" thickBot="1">
      <c r="A52" s="256" t="s">
        <v>1560</v>
      </c>
      <c r="B52" s="257"/>
      <c r="C52" s="258">
        <f ca="1">C31+C51</f>
        <v>235</v>
      </c>
      <c r="D52" s="257"/>
      <c r="E52" s="257"/>
      <c r="F52" s="257"/>
      <c r="G52" s="259"/>
    </row>
    <row r="55" spans="1:7" ht="15">
      <c r="B55" s="261" t="s">
        <v>1561</v>
      </c>
      <c r="C55" s="262"/>
    </row>
    <row r="56" spans="1:7">
      <c r="B56" s="264" t="s">
        <v>802</v>
      </c>
      <c r="C56" s="266">
        <f ca="1">1-C57</f>
        <v>0.90200000000000002</v>
      </c>
    </row>
    <row r="57" spans="1:7">
      <c r="B57" s="264" t="s">
        <v>803</v>
      </c>
      <c r="C57" s="265">
        <f ca="1">ROUND(C51/C52,3)</f>
        <v>9.8000000000000004E-2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97" t="str">
        <f>项目基本情况!B1</f>
        <v>北京市房地产市场价值预评估</v>
      </c>
      <c r="C37" s="3297"/>
      <c r="D37" s="3297"/>
      <c r="E37" s="3297"/>
      <c r="F37" s="3297"/>
      <c r="G37" s="3297"/>
      <c r="H37" s="3297"/>
      <c r="I37" s="329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陈颖（注册号：0)、（注册号：0)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1593</v>
      </c>
      <c r="B1" s="120"/>
      <c r="C1" s="1108"/>
      <c r="D1" s="1107"/>
      <c r="E1" s="2565"/>
      <c r="F1" s="2565"/>
      <c r="G1" s="2446"/>
      <c r="H1" s="2565"/>
      <c r="I1" s="2565"/>
      <c r="J1" s="2565"/>
      <c r="K1" s="2566">
        <f>MATCH(C1,'数据-取费表'!A6:A16,0)+5</f>
        <v>7</v>
      </c>
    </row>
    <row r="2" spans="1:33" ht="18" customHeight="1">
      <c r="A2" s="192" t="s">
        <v>1461</v>
      </c>
      <c r="B2" s="195">
        <f ca="1">C32</f>
        <v>183</v>
      </c>
      <c r="C2" s="267" t="s">
        <v>1594</v>
      </c>
      <c r="D2" s="267"/>
      <c r="E2" s="2565"/>
      <c r="F2" s="2565"/>
      <c r="G2" s="2565"/>
      <c r="H2" s="2565"/>
      <c r="I2" s="2565"/>
      <c r="J2" s="2565"/>
      <c r="K2" s="2565"/>
    </row>
    <row r="3" spans="1:33" ht="18" customHeight="1" thickBot="1">
      <c r="A3" s="194" t="s">
        <v>1463</v>
      </c>
      <c r="B3" s="195">
        <f ca="1">ROUND(B2*10000/IF(C1="",'数据-汇总表'!E3,INDIRECT("'数据-取费表'!K"&amp;$K$1)),0)</f>
        <v>23748</v>
      </c>
      <c r="C3" s="267" t="s">
        <v>1595</v>
      </c>
      <c r="D3" s="267"/>
      <c r="E3" s="2565"/>
      <c r="F3" s="2565"/>
      <c r="G3" s="2565"/>
      <c r="H3" s="2565"/>
      <c r="I3" s="2565"/>
      <c r="J3" s="2565"/>
      <c r="K3" s="2565"/>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8"/>
      <c r="H18" s="1104"/>
      <c r="I18" s="1719"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6"/>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1">
        <f>C26</f>
        <v>0</v>
      </c>
      <c r="E25" s="273" t="s">
        <v>12</v>
      </c>
      <c r="F25" s="274">
        <f>'数据-取费表'!B40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1640</v>
      </c>
      <c r="B28" s="1721"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ROUND(F6*F8*F7*(1-F9)/10000,0)</f>
        <v>0</v>
      </c>
      <c r="D6" s="146" t="s">
        <v>2108</v>
      </c>
      <c r="E6" s="293" t="s">
        <v>696</v>
      </c>
      <c r="F6" s="294">
        <f ca="1">INDIRECT("'数据-取费表'!u"&amp;$G$1)</f>
        <v>0</v>
      </c>
      <c r="G6" s="1290"/>
      <c r="H6" s="1005" t="s">
        <v>398</v>
      </c>
      <c r="I6" s="3484" t="s">
        <v>694</v>
      </c>
      <c r="J6" s="292">
        <f ca="1">ROUND(M6*M8*M7*(1-M9)/10000,0)</f>
        <v>0</v>
      </c>
      <c r="K6" s="146" t="s">
        <v>2107</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0</v>
      </c>
      <c r="G7" s="1290"/>
      <c r="H7" s="295"/>
      <c r="I7" s="3485"/>
      <c r="J7" s="297"/>
      <c r="K7" s="298"/>
      <c r="L7" s="293" t="s">
        <v>697</v>
      </c>
      <c r="M7" s="294">
        <f ca="1">F7</f>
        <v>0</v>
      </c>
    </row>
    <row r="8" spans="1:37" ht="18" customHeight="1">
      <c r="A8" s="295"/>
      <c r="B8" s="3485"/>
      <c r="C8" s="297"/>
      <c r="D8" s="298"/>
      <c r="E8" s="293" t="s">
        <v>698</v>
      </c>
      <c r="F8" s="294">
        <f ca="1">INDIRECT("'数据-取费表'!ai"&amp;$G$1)</f>
        <v>0</v>
      </c>
      <c r="G8" s="1290"/>
      <c r="H8" s="295"/>
      <c r="I8" s="3485"/>
      <c r="J8" s="297"/>
      <c r="K8" s="298"/>
      <c r="L8" s="293" t="s">
        <v>698</v>
      </c>
      <c r="M8" s="294">
        <f ca="1">INDIRECT("'数据-取费表'!ai"&amp;$G$1)</f>
        <v>0</v>
      </c>
    </row>
    <row r="9" spans="1:37" ht="18" customHeight="1">
      <c r="A9" s="295"/>
      <c r="B9" s="3486"/>
      <c r="C9" s="297"/>
      <c r="D9" s="298"/>
      <c r="E9" s="293" t="s">
        <v>699</v>
      </c>
      <c r="F9" s="303">
        <f ca="1">INDIRECT("'数据-取费表'!w"&amp;$G$1)</f>
        <v>0</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1"/>
      <c r="G10" s="1290"/>
      <c r="H10" s="1005" t="s">
        <v>402</v>
      </c>
      <c r="I10" s="1272" t="s">
        <v>700</v>
      </c>
      <c r="J10" s="292">
        <f ca="1">ROUND(IF(M10="押一",J6/12*M11,IF(M10="押二",J6/12*2*M11,IF(M10="押三",J6/12*3*M11,J11*M11))),0)</f>
        <v>0</v>
      </c>
      <c r="K10" s="149" t="s">
        <v>2115</v>
      </c>
      <c r="L10" s="304" t="s">
        <v>701</v>
      </c>
      <c r="M10" s="1051"/>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3337</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0.01</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4" t="s">
        <v>394</v>
      </c>
      <c r="I25" s="1029" t="s">
        <v>752</v>
      </c>
      <c r="J25" s="301">
        <f ca="1">J5-J16</f>
        <v>0</v>
      </c>
      <c r="K25" s="1030" t="s">
        <v>753</v>
      </c>
      <c r="L25" s="1031"/>
      <c r="M25" s="1032"/>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7" t="s">
        <v>2309</v>
      </c>
      <c r="I31" s="1303"/>
      <c r="J31" s="1304"/>
      <c r="K31" s="120"/>
      <c r="L31" s="2469"/>
      <c r="M31" s="2470"/>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ROUND(C29*F36,2)</f>
        <v>0</v>
      </c>
      <c r="D36" s="1254" t="s">
        <v>771</v>
      </c>
      <c r="E36" s="293" t="s">
        <v>712</v>
      </c>
      <c r="F36" s="319">
        <f ca="1">INDIRECT("'数据-取费表'!Ak"&amp;$G$1)</f>
        <v>0</v>
      </c>
      <c r="G36" s="1290"/>
      <c r="H36" s="2471"/>
      <c r="I36" s="1303"/>
      <c r="J36" s="1304"/>
      <c r="K36" s="2328"/>
      <c r="L36" s="2471"/>
      <c r="M36" s="2471"/>
    </row>
    <row r="37" spans="1:18" ht="18" customHeight="1">
      <c r="A37" s="927" t="s">
        <v>437</v>
      </c>
      <c r="B37" s="293" t="s">
        <v>742</v>
      </c>
      <c r="C37" s="21">
        <f ca="1">ROUND(C13*F37,2)</f>
        <v>0</v>
      </c>
      <c r="D37" s="1254" t="s">
        <v>743</v>
      </c>
      <c r="E37" s="293" t="s">
        <v>744</v>
      </c>
      <c r="F37" s="320">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1">
        <f ca="1">C5-C30</f>
        <v>0</v>
      </c>
      <c r="D39" s="1030" t="s">
        <v>773</v>
      </c>
      <c r="E39" s="1031"/>
      <c r="F39" s="1032"/>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49">
        <f ca="1">ROUND(F49*F51*F50*(1-F52)/10000,0)</f>
        <v>0</v>
      </c>
      <c r="D49" s="991" t="s">
        <v>2109</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82" t="s">
        <v>837</v>
      </c>
      <c r="L53" s="3483"/>
      <c r="O53" s="1323" t="s">
        <v>409</v>
      </c>
      <c r="P53" s="1324" t="s">
        <v>838</v>
      </c>
      <c r="Q53" s="1325" t="e">
        <f ca="1">Q47+Q48</f>
        <v>#DIV/0!</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t="str">
        <f ca="1">IF(项目基本情况!B11="自然人","——",IF(D61="按租金收入计税",ROUND(C49*F61/(1+'数据-取费表'!C42),2),IF(D61="按房产原值计税",ROUND(C57*F61*0.7,2),INDIRECT("'数据-取费表'!Aj"&amp;$G$1))))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t="str">
        <f>IF(项目基本情况!B11="自然人","——",ROUND(F62*F63/10000,2))</f>
        <v>——</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7" zoomScale="90" zoomScaleNormal="60" zoomScaleSheetLayoutView="90" workbookViewId="0">
      <selection activeCell="D49" sqref="D49"/>
    </sheetView>
  </sheetViews>
  <sheetFormatPr defaultColWidth="9" defaultRowHeight="13.8"/>
  <cols>
    <col min="1" max="1" width="10.44140625" style="346" customWidth="1"/>
    <col min="2" max="2" width="15.77734375" style="346" customWidth="1"/>
    <col min="3" max="3" width="22.21875" style="346" customWidth="1"/>
    <col min="4" max="4" width="19.6640625" style="346" customWidth="1"/>
    <col min="5" max="5" width="17.109375" style="346" customWidth="1"/>
    <col min="6" max="6" width="15.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t="s">
        <v>4342</v>
      </c>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f>IF(E1="项目模式",IF(C2="——",ROUND(C49*D3/10000,0),ROUND(C49*D3/10000,0)-D2),IF(E1="单套模式",IF(C2="——",ROUND(C49*D3/10000,4),ROUND(C49*D3/10000,4)-D2)))</f>
        <v>110.53489999999999</v>
      </c>
      <c r="C2" s="1735" t="s">
        <v>43</v>
      </c>
      <c r="D2" s="1050">
        <f ca="1">IF(E1="项目模式",SUMIF(INDIRECT("'"&amp;F2&amp;"'"&amp;"!A:A"),"承租人权益价值",INDIRECT("'"&amp;F2&amp;"'"&amp;"!c:c")),SUMIF(INDIRECT("'"&amp;F2&amp;"'"&amp;"!A:A"),"承租人权益价值（单套）",INDIRECT("'"&amp;F2&amp;"'"&amp;"!c:c")))</f>
        <v>0</v>
      </c>
      <c r="E2" s="1736" t="s">
        <v>1663</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14344</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4364</v>
      </c>
      <c r="D5" s="3524"/>
      <c r="E5" s="3531" t="str">
        <f>C5</f>
        <v>长安小区</v>
      </c>
      <c r="F5" s="3532"/>
      <c r="G5" s="3523" t="str">
        <f>C5</f>
        <v>长安小区</v>
      </c>
      <c r="H5" s="3524"/>
      <c r="I5" s="3523" t="str">
        <f>C5</f>
        <v>长安小区</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4"/>
      <c r="L7" s="2486"/>
      <c r="M7" s="2437"/>
      <c r="N7" s="2437"/>
      <c r="O7" s="2437"/>
      <c r="P7" s="3525" t="s">
        <v>1679</v>
      </c>
      <c r="Q7" s="3527"/>
      <c r="R7" s="663" t="s">
        <v>20</v>
      </c>
      <c r="S7" s="664">
        <f t="shared" ref="S7:S15" si="0">F7</f>
        <v>100</v>
      </c>
      <c r="T7" s="663" t="s">
        <v>20</v>
      </c>
      <c r="U7" s="664">
        <f t="shared" ref="U7:U15" si="1">H7</f>
        <v>100</v>
      </c>
      <c r="V7" s="663" t="s">
        <v>20</v>
      </c>
      <c r="W7" s="664">
        <f t="shared" ref="W7:W15" si="2">J7</f>
        <v>100.5</v>
      </c>
      <c r="X7" s="665"/>
      <c r="Y7" s="3525" t="s">
        <v>1679</v>
      </c>
      <c r="Z7" s="3526"/>
      <c r="AA7" s="50">
        <f>D7/F7</f>
        <v>1</v>
      </c>
      <c r="AB7" s="50">
        <f>D7/H7</f>
        <v>1</v>
      </c>
      <c r="AC7" s="50">
        <f>D7/J7</f>
        <v>0.99502487562189057</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hidden="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69">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29" ht="55.2">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29" ht="15">
      <c r="A18" s="366"/>
      <c r="B18" s="394"/>
      <c r="C18" s="1753" t="s">
        <v>4272</v>
      </c>
      <c r="D18" s="388"/>
      <c r="E18" s="1753" t="s">
        <v>4272</v>
      </c>
      <c r="F18" s="388"/>
      <c r="G18" s="1753" t="s">
        <v>4272</v>
      </c>
      <c r="H18" s="386"/>
      <c r="I18" s="1753" t="s">
        <v>4272</v>
      </c>
      <c r="J18" s="386"/>
      <c r="K18" s="1751"/>
      <c r="L18" s="2490"/>
      <c r="M18" s="2485"/>
      <c r="N18" s="2485"/>
      <c r="O18" s="2485"/>
      <c r="P18" s="3500"/>
      <c r="Q18" s="1261"/>
      <c r="R18" s="666"/>
      <c r="S18" s="667"/>
      <c r="T18" s="666"/>
      <c r="U18" s="667"/>
      <c r="V18" s="666"/>
      <c r="W18" s="667"/>
      <c r="X18" s="1263"/>
      <c r="Y18" s="3493"/>
      <c r="Z18" s="1262"/>
      <c r="AA18" s="1262">
        <v>1</v>
      </c>
      <c r="AB18" s="1262">
        <v>1</v>
      </c>
      <c r="AC18" s="1262">
        <v>1</v>
      </c>
    </row>
    <row r="19" spans="1:29" ht="27.6">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2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29" ht="41.4">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29" ht="15">
      <c r="A24" s="366"/>
      <c r="B24" s="394"/>
      <c r="C24" s="385" t="s">
        <v>4272</v>
      </c>
      <c r="D24" s="386"/>
      <c r="E24" s="385" t="s">
        <v>4272</v>
      </c>
      <c r="F24" s="386"/>
      <c r="G24" s="385" t="s">
        <v>4272</v>
      </c>
      <c r="H24" s="386"/>
      <c r="I24" s="385" t="s">
        <v>4272</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2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29" ht="15">
      <c r="A26" s="366"/>
      <c r="B26" s="363" t="s">
        <v>1692</v>
      </c>
      <c r="C26" s="398" t="s">
        <v>4308</v>
      </c>
      <c r="D26" s="373">
        <v>100</v>
      </c>
      <c r="E26" s="1758" t="s">
        <v>4308</v>
      </c>
      <c r="F26" s="373">
        <f>SUMIF(88:88,E26,89:89)-SUMIF(88:88,C26,89:89)+100</f>
        <v>100</v>
      </c>
      <c r="G26" s="1759" t="s">
        <v>4308</v>
      </c>
      <c r="H26" s="373">
        <f>SUMIF(88:88,G26,89:89)-SUMIF(88:88,C26,89:89)+100</f>
        <v>100</v>
      </c>
      <c r="I26" s="1759" t="s">
        <v>4308</v>
      </c>
      <c r="J26" s="373">
        <f>SUMIF(88:88,I26,89:89)-SUMIF(88:88,C26,89:89)+100</f>
        <v>100</v>
      </c>
      <c r="K26" s="364">
        <v>0.5</v>
      </c>
      <c r="L26" s="2490"/>
      <c r="M26" s="2485"/>
      <c r="N26" s="2485"/>
      <c r="O26" s="2485"/>
      <c r="P26" s="3500"/>
      <c r="Q26" s="1261" t="str">
        <f t="shared" si="11"/>
        <v>朝向</v>
      </c>
      <c r="R26" s="666" t="s">
        <v>18</v>
      </c>
      <c r="S26" s="667">
        <f t="shared" si="12"/>
        <v>100</v>
      </c>
      <c r="T26" s="666" t="s">
        <v>18</v>
      </c>
      <c r="U26" s="667">
        <f t="shared" si="13"/>
        <v>100</v>
      </c>
      <c r="V26" s="666" t="s">
        <v>18</v>
      </c>
      <c r="W26" s="667">
        <f t="shared" si="14"/>
        <v>100</v>
      </c>
      <c r="X26" s="1263"/>
      <c r="Y26" s="3493"/>
      <c r="Z26" s="1262" t="str">
        <f>Q26</f>
        <v>朝向</v>
      </c>
      <c r="AA26" s="1262">
        <f t="shared" si="15"/>
        <v>1</v>
      </c>
      <c r="AB26" s="1262">
        <f t="shared" si="16"/>
        <v>1</v>
      </c>
      <c r="AC26" s="1262">
        <f t="shared" si="17"/>
        <v>1</v>
      </c>
    </row>
    <row r="27" spans="1:29" s="101" customFormat="1" ht="15">
      <c r="A27" s="369"/>
      <c r="B27" s="3202" t="s">
        <v>4221</v>
      </c>
      <c r="C27" s="3273" t="s">
        <v>4365</v>
      </c>
      <c r="D27" s="400">
        <v>100</v>
      </c>
      <c r="E27" s="3273" t="s">
        <v>4367</v>
      </c>
      <c r="F27" s="3294">
        <f>SUMIF(90:90,E27,91:91)-SUMIF(90:90,C27,91:91)+100</f>
        <v>104</v>
      </c>
      <c r="G27" s="3295" t="s">
        <v>4347</v>
      </c>
      <c r="H27" s="3294">
        <f>SUMIF(90:90,G27,91:91)-SUMIF(90:90,C27,91:91)+100</f>
        <v>106</v>
      </c>
      <c r="I27" s="3273" t="s">
        <v>4366</v>
      </c>
      <c r="J27" s="400">
        <f>SUMIF(90:90,I27,91:91)-SUMIF(90:90,C27,91:91)+100</f>
        <v>102</v>
      </c>
      <c r="K27" s="1746"/>
      <c r="L27" s="2486"/>
      <c r="M27" s="2437"/>
      <c r="N27" s="2437"/>
      <c r="O27" s="2437"/>
      <c r="P27" s="3500"/>
      <c r="Q27" s="529" t="str">
        <f t="shared" si="11"/>
        <v>楼层</v>
      </c>
      <c r="R27" s="663" t="s">
        <v>18</v>
      </c>
      <c r="S27" s="664">
        <f t="shared" si="12"/>
        <v>104</v>
      </c>
      <c r="T27" s="663" t="s">
        <v>18</v>
      </c>
      <c r="U27" s="664">
        <f t="shared" si="13"/>
        <v>106</v>
      </c>
      <c r="V27" s="663" t="s">
        <v>18</v>
      </c>
      <c r="W27" s="664">
        <f t="shared" si="14"/>
        <v>102</v>
      </c>
      <c r="X27" s="665"/>
      <c r="Y27" s="3493"/>
      <c r="Z27" s="50" t="str">
        <f>Q27</f>
        <v>楼层</v>
      </c>
      <c r="AA27" s="1262">
        <f t="shared" si="15"/>
        <v>0.96153846153846156</v>
      </c>
      <c r="AB27" s="1262">
        <f t="shared" si="16"/>
        <v>0.94339622641509435</v>
      </c>
      <c r="AC27" s="1262">
        <f t="shared" si="17"/>
        <v>0.98039215686274506</v>
      </c>
    </row>
    <row r="28" spans="1:29" ht="15.6" thickBot="1">
      <c r="A28" s="366"/>
      <c r="B28" s="3202" t="s">
        <v>4240</v>
      </c>
      <c r="C28" s="3221" t="s">
        <v>4271</v>
      </c>
      <c r="D28" s="373">
        <v>100</v>
      </c>
      <c r="E28" s="3221" t="s">
        <v>4271</v>
      </c>
      <c r="F28" s="373">
        <f>SUMIF(92:92,E28,93:93)-SUMIF(92:92,C28,93:93)+100</f>
        <v>100</v>
      </c>
      <c r="G28" s="3222" t="str">
        <f>C28</f>
        <v>城市次干道</v>
      </c>
      <c r="H28" s="373">
        <f>SUMIF(92:92,G28,93:93)-SUMIF(92:92,C28,93:93)+100</f>
        <v>100</v>
      </c>
      <c r="I28" s="3222" t="str">
        <f>C28</f>
        <v>城市次干道</v>
      </c>
      <c r="J28" s="373">
        <f>SUMIF(92:92,I28,93:93)-SUMIF(92:92,C28,93:93)+100</f>
        <v>100</v>
      </c>
      <c r="K28" s="1746"/>
      <c r="L28" s="2490"/>
      <c r="M28" s="2485"/>
      <c r="N28" s="2485"/>
      <c r="O28" s="2485"/>
      <c r="P28" s="3500"/>
      <c r="Q28" s="1261" t="str">
        <f t="shared" si="11"/>
        <v>道路</v>
      </c>
      <c r="R28" s="666" t="s">
        <v>18</v>
      </c>
      <c r="S28" s="667">
        <f t="shared" si="12"/>
        <v>100</v>
      </c>
      <c r="T28" s="666" t="s">
        <v>18</v>
      </c>
      <c r="U28" s="667">
        <f t="shared" si="13"/>
        <v>100</v>
      </c>
      <c r="V28" s="666" t="s">
        <v>18</v>
      </c>
      <c r="W28" s="667">
        <f t="shared" si="14"/>
        <v>100</v>
      </c>
      <c r="X28" s="1263"/>
      <c r="Y28" s="3493"/>
      <c r="Z28" s="1262" t="str">
        <f t="shared" ref="Z28:Z46" si="18">Q28</f>
        <v>道路</v>
      </c>
      <c r="AA28" s="1262">
        <f t="shared" si="15"/>
        <v>1</v>
      </c>
      <c r="AB28" s="1262">
        <f t="shared" si="16"/>
        <v>1</v>
      </c>
      <c r="AC28" s="1262">
        <f t="shared" si="17"/>
        <v>1</v>
      </c>
    </row>
    <row r="29" spans="1:29" ht="15" hidden="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29" ht="15" hidden="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2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29" ht="15">
      <c r="A32" s="378" t="s">
        <v>1693</v>
      </c>
      <c r="B32" s="60" t="s">
        <v>1694</v>
      </c>
      <c r="C32" s="1762" t="s">
        <v>4231</v>
      </c>
      <c r="D32" s="404">
        <v>100</v>
      </c>
      <c r="E32" s="1762" t="s">
        <v>4231</v>
      </c>
      <c r="F32" s="399">
        <f>SUMIF(100:100,E32,101:101)-SUMIF(100:100,C32,101:101)+100</f>
        <v>100</v>
      </c>
      <c r="G32" s="1762" t="s">
        <v>4231</v>
      </c>
      <c r="H32" s="404">
        <f>SUMIF(100:100,G32,101:101)-SUMIF(100:100,C32,101:101)+100</f>
        <v>100</v>
      </c>
      <c r="I32" s="1762" t="s">
        <v>4231</v>
      </c>
      <c r="J32" s="373">
        <f>SUMIF(100:100,I32,101:101)-SUMIF(100:100,C32,101:101)+100</f>
        <v>100</v>
      </c>
      <c r="K32" s="364">
        <v>2</v>
      </c>
      <c r="L32" s="2490"/>
      <c r="M32" s="2485"/>
      <c r="N32" s="2485"/>
      <c r="O32" s="2485"/>
      <c r="P32" s="3494" t="s">
        <v>1695</v>
      </c>
      <c r="Q32" s="1261" t="str">
        <f t="shared" si="11"/>
        <v>建筑类型</v>
      </c>
      <c r="R32" s="666" t="s">
        <v>18</v>
      </c>
      <c r="S32" s="667">
        <f t="shared" si="12"/>
        <v>100</v>
      </c>
      <c r="T32" s="666" t="s">
        <v>18</v>
      </c>
      <c r="U32" s="667">
        <f t="shared" si="13"/>
        <v>100</v>
      </c>
      <c r="V32" s="666" t="s">
        <v>18</v>
      </c>
      <c r="W32" s="667">
        <f t="shared" si="14"/>
        <v>100</v>
      </c>
      <c r="X32" s="1263"/>
      <c r="Y32" s="3497" t="s">
        <v>1695</v>
      </c>
      <c r="Z32" s="1262" t="str">
        <f t="shared" si="18"/>
        <v>建筑类型</v>
      </c>
      <c r="AA32" s="1262">
        <f t="shared" si="15"/>
        <v>1</v>
      </c>
      <c r="AB32" s="1262">
        <f t="shared" si="16"/>
        <v>1</v>
      </c>
      <c r="AC32" s="1262">
        <f t="shared" si="17"/>
        <v>1</v>
      </c>
    </row>
    <row r="33" spans="1:29" s="407" customFormat="1" ht="15">
      <c r="A33" s="405"/>
      <c r="B33" s="363" t="s">
        <v>1696</v>
      </c>
      <c r="C33" s="406">
        <f>'数据-汇总表'!E19</f>
        <v>77.06</v>
      </c>
      <c r="D33" s="118">
        <v>100</v>
      </c>
      <c r="E33" s="368">
        <f>Sheet6!F2</f>
        <v>119.94</v>
      </c>
      <c r="F33" s="363">
        <f>LOOKUP(E33,103:103,104:104)-LOOKUP(C33,103:103,104:104)+100</f>
        <v>96</v>
      </c>
      <c r="G33" s="367">
        <f>Sheet6!F4</f>
        <v>114.05</v>
      </c>
      <c r="H33" s="118">
        <f>LOOKUP(G33,103:103,104:104)-LOOKUP(C33,103:103,104:104)+100</f>
        <v>96</v>
      </c>
      <c r="I33" s="368">
        <f>Sheet6!F6</f>
        <v>76.86</v>
      </c>
      <c r="J33" s="118">
        <f>LOOKUP(I33,103:103,104:104)-LOOKUP(C33,103:103,104:104)+100</f>
        <v>100</v>
      </c>
      <c r="K33" s="1746"/>
      <c r="L33" s="2489"/>
      <c r="M33" s="2491"/>
      <c r="N33" s="2491"/>
      <c r="O33" s="2491"/>
      <c r="P33" s="3495"/>
      <c r="Q33" s="530" t="str">
        <f t="shared" si="11"/>
        <v>项目建筑规模</v>
      </c>
      <c r="R33" s="668" t="s">
        <v>18</v>
      </c>
      <c r="S33" s="669">
        <f t="shared" si="12"/>
        <v>96</v>
      </c>
      <c r="T33" s="668" t="s">
        <v>18</v>
      </c>
      <c r="U33" s="669">
        <f t="shared" si="13"/>
        <v>96</v>
      </c>
      <c r="V33" s="668" t="s">
        <v>18</v>
      </c>
      <c r="W33" s="669">
        <f t="shared" si="14"/>
        <v>100</v>
      </c>
      <c r="X33" s="670"/>
      <c r="Y33" s="3497"/>
      <c r="Z33" s="671" t="str">
        <f t="shared" si="18"/>
        <v>项目建筑规模</v>
      </c>
      <c r="AA33" s="1262">
        <f t="shared" si="15"/>
        <v>1.0416666666666667</v>
      </c>
      <c r="AB33" s="1262">
        <f t="shared" si="16"/>
        <v>1.0416666666666667</v>
      </c>
      <c r="AC33" s="1262">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4340</v>
      </c>
      <c r="D36" s="373">
        <v>100</v>
      </c>
      <c r="E36" s="1758" t="s">
        <v>4340</v>
      </c>
      <c r="F36" s="399">
        <f>SUMIF(109:109,E36,110:110)-SUMIF(109:109,C36,110:110)+100</f>
        <v>100</v>
      </c>
      <c r="G36" s="1758" t="s">
        <v>4340</v>
      </c>
      <c r="H36" s="373">
        <f>SUMIF(109:109,G36,110:110)-SUMIF(109:109,C36,110:110)+100</f>
        <v>100</v>
      </c>
      <c r="I36" s="1758" t="s">
        <v>4340</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4378</v>
      </c>
      <c r="C44" s="410">
        <v>0.67</v>
      </c>
      <c r="D44" s="118">
        <v>100</v>
      </c>
      <c r="E44" s="410">
        <f>C44</f>
        <v>0.67</v>
      </c>
      <c r="F44" s="363">
        <f>SUMIF(126:126,E44,127:127)-SUMIF(126:126,C44,127:127)+100</f>
        <v>100</v>
      </c>
      <c r="G44" s="410">
        <f>C44</f>
        <v>0.67</v>
      </c>
      <c r="H44" s="118">
        <f>SUMIF(126:126,G44,127:127)-SUMIF(126:126,C44,127:127)+100</f>
        <v>100</v>
      </c>
      <c r="I44" s="410">
        <f>C44</f>
        <v>0.67</v>
      </c>
      <c r="J44" s="118">
        <f>SUMIF(126:126,I44,127:127)-SUMIF(126:126,C44,127:127)+100</f>
        <v>100</v>
      </c>
      <c r="K44" s="1746"/>
      <c r="L44" s="2486"/>
      <c r="M44" s="2437"/>
      <c r="N44" s="2437"/>
      <c r="O44" s="2437"/>
      <c r="P44" s="3495"/>
      <c r="Q44" s="529" t="str">
        <f t="shared" si="11"/>
        <v>成新度</v>
      </c>
      <c r="R44" s="663" t="s">
        <v>18</v>
      </c>
      <c r="S44" s="664">
        <f t="shared" si="12"/>
        <v>100</v>
      </c>
      <c r="T44" s="663" t="s">
        <v>18</v>
      </c>
      <c r="U44" s="664">
        <f t="shared" si="13"/>
        <v>100</v>
      </c>
      <c r="V44" s="663" t="s">
        <v>18</v>
      </c>
      <c r="W44" s="664">
        <f t="shared" si="14"/>
        <v>100</v>
      </c>
      <c r="X44" s="665"/>
      <c r="Y44" s="3497"/>
      <c r="Z44" s="50" t="str">
        <f t="shared" si="18"/>
        <v>成新度</v>
      </c>
      <c r="AA44" s="50">
        <f t="shared" si="15"/>
        <v>1</v>
      </c>
      <c r="AB44" s="50">
        <f t="shared" si="16"/>
        <v>1</v>
      </c>
      <c r="AC44" s="50">
        <f t="shared" si="17"/>
        <v>1</v>
      </c>
    </row>
    <row r="45" spans="1:29" ht="15" hidden="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f>Sheet6!N2</f>
        <v>15258</v>
      </c>
      <c r="F47" s="3203"/>
      <c r="G47" s="3209">
        <f>Sheet6!N4</f>
        <v>14730</v>
      </c>
      <c r="H47" s="3204"/>
      <c r="I47" s="3208">
        <f>Sheet6!N6</f>
        <v>13609</v>
      </c>
      <c r="J47" s="3204"/>
      <c r="K47" s="1764"/>
      <c r="L47" s="2492"/>
      <c r="M47" s="2485"/>
      <c r="N47" s="2485"/>
      <c r="O47" s="2485"/>
      <c r="P47" s="3490" t="str">
        <f>A47</f>
        <v>成交单价（元/平方米）</v>
      </c>
      <c r="Q47" s="3490"/>
      <c r="R47" s="3491">
        <f>E47</f>
        <v>15258</v>
      </c>
      <c r="S47" s="3491"/>
      <c r="T47" s="3491">
        <f>G47</f>
        <v>14730</v>
      </c>
      <c r="U47" s="3491"/>
      <c r="V47" s="3491">
        <f>I47</f>
        <v>13609</v>
      </c>
      <c r="W47" s="3491"/>
      <c r="X47" s="384"/>
      <c r="Y47" s="672"/>
      <c r="Z47" s="384"/>
      <c r="AA47" s="384"/>
      <c r="AB47" s="384"/>
      <c r="AC47" s="384"/>
    </row>
    <row r="48" spans="1:29" ht="15" thickBot="1">
      <c r="A48" s="422" t="s">
        <v>1708</v>
      </c>
      <c r="B48" s="423"/>
      <c r="C48" s="1080">
        <f>R49</f>
        <v>14344</v>
      </c>
      <c r="D48" s="2138" t="s">
        <v>2137</v>
      </c>
      <c r="E48" s="1081">
        <f>R48</f>
        <v>15282</v>
      </c>
      <c r="F48" s="2139"/>
      <c r="G48" s="1080">
        <f>T48</f>
        <v>14475</v>
      </c>
      <c r="H48" s="2139"/>
      <c r="I48" s="1081">
        <f>V48</f>
        <v>13276</v>
      </c>
      <c r="J48" s="2139"/>
      <c r="K48" s="2140">
        <f>F48+H48+J48</f>
        <v>0</v>
      </c>
      <c r="L48" s="2492"/>
      <c r="M48" s="2485"/>
      <c r="N48" s="2485"/>
      <c r="O48" s="2485"/>
      <c r="P48" s="3490" t="str">
        <f>A48</f>
        <v>比较价值（元/平方米）</v>
      </c>
      <c r="Q48" s="3490"/>
      <c r="R48" s="3491">
        <f>IF(F1="售价",ROUND(PRODUCT(R47,AA7:AA46),0),ROUND(PRODUCT(R47,AA7:AA46),1))</f>
        <v>15282</v>
      </c>
      <c r="S48" s="3491"/>
      <c r="T48" s="3491">
        <f>IF(F1="售价",ROUND(PRODUCT(T47,AB7:AB46),0),ROUND(PRODUCT(T47,AB7:AB46),1))</f>
        <v>14475</v>
      </c>
      <c r="U48" s="3491"/>
      <c r="V48" s="3491">
        <f>IF(F1="售价",ROUND(PRODUCT(V47,AC7:AC46),0),ROUND(PRODUCT(V47,AC7:AC46),1))</f>
        <v>13276</v>
      </c>
      <c r="W48" s="3491"/>
      <c r="X48" s="384"/>
      <c r="Y48" s="384"/>
      <c r="Z48" s="384"/>
      <c r="AA48" s="384"/>
      <c r="AB48" s="384"/>
      <c r="AC48" s="384"/>
    </row>
    <row r="49" spans="1:29" ht="15" thickBot="1">
      <c r="A49" s="426" t="s">
        <v>1709</v>
      </c>
      <c r="B49" s="427"/>
      <c r="C49" s="1082">
        <f>R49</f>
        <v>14344</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14344</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1.5729453401494009E-3</v>
      </c>
      <c r="F52" s="434" t="str">
        <f>IF(OR(E52&gt;=0.3,E52&lt;=-0.3),"超过30%","")</f>
        <v/>
      </c>
      <c r="G52" s="433">
        <f>IF(G47&lt;G48,G48/G47-1,G47/G48-1)</f>
        <v>1.7616580310880758E-2</v>
      </c>
      <c r="H52" s="434" t="str">
        <f>IF(OR(G52&gt;=0.3,G52&lt;=-0.3),"超过30%","")</f>
        <v/>
      </c>
      <c r="I52" s="433">
        <f>IF(I47&lt;I48,I48/I47-1,I47/I48-1)</f>
        <v>2.5082856282012678E-2</v>
      </c>
      <c r="J52" s="434" t="str">
        <f>IF(OR(I52&gt;=0.3,I52&lt;=-0.3),"超过30%","")</f>
        <v/>
      </c>
      <c r="K52" s="2497"/>
      <c r="L52" s="2493"/>
      <c r="M52" s="2485"/>
      <c r="N52" s="2485"/>
      <c r="O52" s="2485"/>
    </row>
    <row r="53" spans="1:29" ht="13.5" customHeight="1">
      <c r="A53" s="2485"/>
      <c r="B53" s="2485"/>
      <c r="C53" s="431" t="s">
        <v>1711</v>
      </c>
      <c r="D53" s="435"/>
      <c r="E53" s="433">
        <f>IF(E48&lt;G48,G48/E48-1,E48/G48-1)</f>
        <v>5.5751295336787576E-2</v>
      </c>
      <c r="F53" s="434" t="str">
        <f>IF(OR(E53&gt;=0.2,E53&lt;=-0.2),"超过20%","")</f>
        <v/>
      </c>
      <c r="G53" s="433">
        <f>IF(G48&lt;I48,I48/G48-1,G48/I48-1)</f>
        <v>9.0313347393793375E-2</v>
      </c>
      <c r="H53" s="434" t="str">
        <f>IF(OR(G53&gt;=0.2,G53&lt;=-0.2),"超过20%","")</f>
        <v/>
      </c>
      <c r="I53" s="433">
        <f>IF(I48&lt;E48,E48/I48-1,I48/E48-1)</f>
        <v>0.15109972883398615</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2"/>
      <c r="B59" s="1769"/>
      <c r="C59" s="1100">
        <v>100</v>
      </c>
      <c r="D59" s="444">
        <v>100</v>
      </c>
      <c r="E59" s="445">
        <v>100</v>
      </c>
      <c r="F59" s="444">
        <v>100.5</v>
      </c>
      <c r="G59" s="445">
        <v>100.5</v>
      </c>
      <c r="H59" s="444">
        <v>100.5</v>
      </c>
      <c r="I59" s="445">
        <v>100.5</v>
      </c>
      <c r="J59" s="444">
        <v>100.5</v>
      </c>
      <c r="K59" s="445">
        <v>100</v>
      </c>
      <c r="L59" s="444">
        <v>100</v>
      </c>
      <c r="M59" s="445">
        <v>100</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4.4"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3"/>
      <c r="Q90" s="489"/>
    </row>
    <row r="91" spans="1:17" s="407" customFormat="1" ht="14.4" thickBot="1">
      <c r="A91" s="483"/>
      <c r="B91" s="473"/>
      <c r="C91" s="490">
        <v>100</v>
      </c>
      <c r="D91" s="490">
        <v>104</v>
      </c>
      <c r="E91" s="490">
        <v>106</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4337</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0(含)-30</v>
      </c>
      <c r="D102" s="508" t="str">
        <f t="shared" ref="D102:L102" si="26">D103&amp;"(含)"&amp;"-"&amp;E103</f>
        <v>30(含)-60</v>
      </c>
      <c r="E102" s="508" t="str">
        <f t="shared" si="26"/>
        <v>60(含)-90</v>
      </c>
      <c r="F102" s="508" t="str">
        <f t="shared" si="26"/>
        <v>90(含)-120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30</v>
      </c>
      <c r="E103" s="6">
        <v>60</v>
      </c>
      <c r="F103" s="6">
        <v>90</v>
      </c>
      <c r="G103" s="6">
        <v>120</v>
      </c>
      <c r="H103" s="6"/>
      <c r="I103" s="6"/>
      <c r="J103" s="523"/>
      <c r="K103" s="523"/>
      <c r="L103" s="524"/>
      <c r="M103" s="525"/>
      <c r="N103" s="880"/>
      <c r="O103" s="880"/>
      <c r="P103" s="1773"/>
      <c r="Q103" s="489"/>
    </row>
    <row r="104" spans="1:17" s="407" customFormat="1" ht="14.4" thickBot="1">
      <c r="A104" s="483"/>
      <c r="B104" s="473"/>
      <c r="C104" s="490">
        <v>100</v>
      </c>
      <c r="D104" s="466">
        <v>96</v>
      </c>
      <c r="E104" s="466">
        <v>92</v>
      </c>
      <c r="F104" s="466">
        <v>88</v>
      </c>
      <c r="G104" s="466">
        <v>84</v>
      </c>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成新度</v>
      </c>
      <c r="C126" s="484">
        <f>E44</f>
        <v>0.67</v>
      </c>
      <c r="D126" s="484">
        <f>G44</f>
        <v>0.67</v>
      </c>
      <c r="E126" s="484">
        <f>I44</f>
        <v>0.67</v>
      </c>
      <c r="F126" s="484"/>
      <c r="G126" s="484"/>
      <c r="H126" s="485"/>
      <c r="I126" s="485"/>
      <c r="J126" s="485"/>
      <c r="K126" s="485"/>
      <c r="L126" s="486"/>
      <c r="M126" s="487"/>
      <c r="N126" s="880"/>
      <c r="O126" s="880"/>
      <c r="P126" s="1773"/>
      <c r="Q126" s="489"/>
    </row>
    <row r="127" spans="1:17" s="407" customFormat="1" ht="14.4" thickBot="1">
      <c r="A127" s="483"/>
      <c r="B127" s="473"/>
      <c r="C127" s="490">
        <v>100</v>
      </c>
      <c r="D127" s="466">
        <v>99.5</v>
      </c>
      <c r="E127" s="466">
        <v>100.9</v>
      </c>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t="s">
        <v>43</v>
      </c>
      <c r="D2" s="1050">
        <f ca="1">IF(E1="项目模式",SUMIF(INDIRECT("'"&amp;F2&amp;"'"&amp;"!A:A"),"承租人权益价值",INDIRECT("'"&amp;F2&amp;"'"&amp;"!c:c")),SUMIF(INDIRECT("'"&amp;F2&amp;"'"&amp;"!A:A"),"承租人权益价值（单套）",INDIRECT("'"&amp;F2&amp;"'"&amp;"!c:c")))</f>
        <v>0</v>
      </c>
      <c r="E2" s="1736" t="s">
        <v>1462</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3505</v>
      </c>
      <c r="D5" s="3524"/>
      <c r="E5" s="3531" t="str">
        <f>成交!A42</f>
        <v>丰台区莲香园1号楼6层608号</v>
      </c>
      <c r="F5" s="3532"/>
      <c r="G5" s="3523" t="str">
        <f>成交!A43</f>
        <v>丰台区莲怡园北路2号院2号楼14层1603</v>
      </c>
      <c r="H5" s="3524"/>
      <c r="I5" s="3523" t="str">
        <f>成交案例!A13</f>
        <v>莲怡园二区3号楼16层1607号</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4"/>
      <c r="L7" s="2486"/>
      <c r="M7" s="2437"/>
      <c r="N7" s="2437"/>
      <c r="O7" s="2437"/>
      <c r="P7" s="3525" t="s">
        <v>1679</v>
      </c>
      <c r="Q7" s="3527"/>
      <c r="R7" s="663" t="s">
        <v>20</v>
      </c>
      <c r="S7" s="664">
        <f t="shared" ref="S7:S15" si="0">F7</f>
        <v>103.8</v>
      </c>
      <c r="T7" s="663" t="s">
        <v>20</v>
      </c>
      <c r="U7" s="664">
        <f t="shared" ref="U7:U15" si="1">H7</f>
        <v>103.8</v>
      </c>
      <c r="V7" s="663" t="s">
        <v>20</v>
      </c>
      <c r="W7" s="664">
        <f t="shared" ref="W7:W15" si="2">J7</f>
        <v>100.9</v>
      </c>
      <c r="X7" s="665"/>
      <c r="Y7" s="3525" t="s">
        <v>1679</v>
      </c>
      <c r="Z7" s="3526"/>
      <c r="AA7" s="50">
        <f>D7/F7</f>
        <v>0.96339113680154143</v>
      </c>
      <c r="AB7" s="50">
        <f>D7/H7</f>
        <v>0.96339113680154143</v>
      </c>
      <c r="AC7" s="50">
        <f>D7/J7</f>
        <v>0.99108027750247762</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9.4" hidden="1" thickBot="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6"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6"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6"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96.6">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39" ht="82.8">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39" ht="15">
      <c r="A18" s="366"/>
      <c r="B18" s="394"/>
      <c r="C18" s="1753" t="s">
        <v>3600</v>
      </c>
      <c r="D18" s="388"/>
      <c r="E18" s="1753" t="s">
        <v>3600</v>
      </c>
      <c r="F18" s="388"/>
      <c r="G18" s="1753" t="s">
        <v>3600</v>
      </c>
      <c r="H18" s="386"/>
      <c r="I18" s="1753" t="s">
        <v>3600</v>
      </c>
      <c r="J18" s="386"/>
      <c r="K18" s="1751"/>
      <c r="L18" s="2490"/>
      <c r="M18" s="2485"/>
      <c r="N18" s="2485"/>
      <c r="O18" s="2485"/>
      <c r="P18" s="3500"/>
      <c r="Q18" s="1261"/>
      <c r="R18" s="666"/>
      <c r="S18" s="667"/>
      <c r="T18" s="666"/>
      <c r="U18" s="667"/>
      <c r="V18" s="666"/>
      <c r="W18" s="667"/>
      <c r="X18" s="1263"/>
      <c r="Y18" s="3493"/>
      <c r="Z18" s="1262"/>
      <c r="AA18" s="1262">
        <v>1</v>
      </c>
      <c r="AB18" s="1262">
        <v>1</v>
      </c>
      <c r="AC18" s="1262">
        <v>1</v>
      </c>
      <c r="AM18" s="346">
        <v>0</v>
      </c>
    </row>
    <row r="19" spans="1:39" ht="41.4">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3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3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3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39" ht="55.2">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39" ht="15">
      <c r="A24" s="366"/>
      <c r="B24" s="394"/>
      <c r="C24" s="385" t="s">
        <v>3600</v>
      </c>
      <c r="D24" s="386"/>
      <c r="E24" s="385" t="s">
        <v>3600</v>
      </c>
      <c r="F24" s="386"/>
      <c r="G24" s="385" t="s">
        <v>3600</v>
      </c>
      <c r="H24" s="386"/>
      <c r="I24" s="385" t="s">
        <v>3600</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3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39" ht="15">
      <c r="A26" s="366"/>
      <c r="B26" s="363" t="s">
        <v>1692</v>
      </c>
      <c r="C26" s="398" t="s">
        <v>4273</v>
      </c>
      <c r="D26" s="373">
        <v>100</v>
      </c>
      <c r="E26" s="1758" t="s">
        <v>4267</v>
      </c>
      <c r="F26" s="373">
        <f>SUMIF(88:88,E26,89:89)-SUMIF(88:88,C26,89:89)+100</f>
        <v>99</v>
      </c>
      <c r="G26" s="1759" t="s">
        <v>4273</v>
      </c>
      <c r="H26" s="373">
        <f>SUMIF(88:88,G26,89:89)-SUMIF(88:88,C26,89:89)+100</f>
        <v>100</v>
      </c>
      <c r="I26" s="1759" t="s">
        <v>4292</v>
      </c>
      <c r="J26" s="373">
        <f>SUMIF(88:88,I26,89:89)-SUMIF(88:88,C26,89:89)+100</f>
        <v>99.5</v>
      </c>
      <c r="K26" s="364">
        <v>0.5</v>
      </c>
      <c r="L26" s="2490"/>
      <c r="M26" s="2485"/>
      <c r="N26" s="2485"/>
      <c r="O26" s="2485"/>
      <c r="P26" s="3500"/>
      <c r="Q26" s="1261" t="str">
        <f t="shared" si="11"/>
        <v>朝向</v>
      </c>
      <c r="R26" s="666" t="s">
        <v>18</v>
      </c>
      <c r="S26" s="667">
        <f t="shared" si="12"/>
        <v>99</v>
      </c>
      <c r="T26" s="666" t="s">
        <v>18</v>
      </c>
      <c r="U26" s="667">
        <f t="shared" si="13"/>
        <v>100</v>
      </c>
      <c r="V26" s="666" t="s">
        <v>18</v>
      </c>
      <c r="W26" s="667">
        <f t="shared" si="14"/>
        <v>99.5</v>
      </c>
      <c r="X26" s="1263"/>
      <c r="Y26" s="3493"/>
      <c r="Z26" s="1262" t="str">
        <f>Q26</f>
        <v>朝向</v>
      </c>
      <c r="AA26" s="1262">
        <f t="shared" si="15"/>
        <v>1.0101010101010102</v>
      </c>
      <c r="AB26" s="1262">
        <f t="shared" si="16"/>
        <v>1</v>
      </c>
      <c r="AC26" s="1262">
        <f t="shared" si="17"/>
        <v>1.0050251256281406</v>
      </c>
    </row>
    <row r="27" spans="1:39" s="101" customFormat="1" ht="15">
      <c r="A27" s="369"/>
      <c r="B27" s="3202"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6"/>
      <c r="L27" s="2486"/>
      <c r="M27" s="2437"/>
      <c r="N27" s="2437"/>
      <c r="O27" s="2437"/>
      <c r="P27" s="3500"/>
      <c r="Q27" s="529" t="str">
        <f t="shared" si="11"/>
        <v>楼层</v>
      </c>
      <c r="R27" s="663" t="s">
        <v>18</v>
      </c>
      <c r="S27" s="664">
        <f t="shared" si="12"/>
        <v>100</v>
      </c>
      <c r="T27" s="663" t="s">
        <v>18</v>
      </c>
      <c r="U27" s="664">
        <f t="shared" si="13"/>
        <v>100</v>
      </c>
      <c r="V27" s="663" t="s">
        <v>18</v>
      </c>
      <c r="W27" s="664">
        <f t="shared" si="14"/>
        <v>102</v>
      </c>
      <c r="X27" s="665"/>
      <c r="Y27" s="3493"/>
      <c r="Z27" s="50" t="str">
        <f>Q27</f>
        <v>楼层</v>
      </c>
      <c r="AA27" s="1262">
        <f t="shared" si="15"/>
        <v>1</v>
      </c>
      <c r="AB27" s="1262">
        <f t="shared" si="16"/>
        <v>1</v>
      </c>
      <c r="AC27" s="1262">
        <f t="shared" si="17"/>
        <v>0.98039215686274506</v>
      </c>
    </row>
    <row r="28" spans="1:39" ht="15.6" thickBot="1">
      <c r="A28" s="366"/>
      <c r="B28" s="3202" t="s">
        <v>4240</v>
      </c>
      <c r="C28" s="3221" t="s">
        <v>4271</v>
      </c>
      <c r="D28" s="373">
        <v>100</v>
      </c>
      <c r="E28" s="3222" t="s">
        <v>4283</v>
      </c>
      <c r="F28" s="373">
        <f>SUMIF(92:92,E28,93:93)-SUMIF(92:92,C28,93:93)+100</f>
        <v>102</v>
      </c>
      <c r="G28" s="3221" t="s">
        <v>4271</v>
      </c>
      <c r="H28" s="373">
        <f>SUMIF(92:92,G28,93:93)-SUMIF(92:92,C28,93:93)+100</f>
        <v>100</v>
      </c>
      <c r="I28" s="3221" t="s">
        <v>4271</v>
      </c>
      <c r="J28" s="373">
        <f>SUMIF(92:92,I28,93:93)-SUMIF(92:92,C28,93:93)+100</f>
        <v>100</v>
      </c>
      <c r="K28" s="1746"/>
      <c r="L28" s="2490"/>
      <c r="M28" s="2485"/>
      <c r="N28" s="2485"/>
      <c r="O28" s="2485"/>
      <c r="P28" s="3500"/>
      <c r="Q28" s="1261" t="str">
        <f t="shared" si="11"/>
        <v>道路</v>
      </c>
      <c r="R28" s="666" t="s">
        <v>18</v>
      </c>
      <c r="S28" s="667">
        <f t="shared" si="12"/>
        <v>102</v>
      </c>
      <c r="T28" s="666" t="s">
        <v>18</v>
      </c>
      <c r="U28" s="667">
        <f t="shared" si="13"/>
        <v>100</v>
      </c>
      <c r="V28" s="666" t="s">
        <v>18</v>
      </c>
      <c r="W28" s="667">
        <f t="shared" si="14"/>
        <v>100</v>
      </c>
      <c r="X28" s="1263"/>
      <c r="Y28" s="3493"/>
      <c r="Z28" s="1262" t="str">
        <f t="shared" ref="Z28:Z46" si="18">Q28</f>
        <v>道路</v>
      </c>
      <c r="AA28" s="1262">
        <f t="shared" si="15"/>
        <v>0.98039215686274506</v>
      </c>
      <c r="AB28" s="1262">
        <f t="shared" si="16"/>
        <v>1</v>
      </c>
      <c r="AC28" s="1262">
        <f t="shared" si="17"/>
        <v>1</v>
      </c>
    </row>
    <row r="29" spans="1:39" ht="15.6" hidden="1" thickBot="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39" ht="15.6" hidden="1" thickBot="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3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39" ht="15">
      <c r="A32" s="378" t="s">
        <v>1693</v>
      </c>
      <c r="B32" s="60" t="s">
        <v>1694</v>
      </c>
      <c r="C32" s="1762" t="s">
        <v>4232</v>
      </c>
      <c r="D32" s="404">
        <v>100</v>
      </c>
      <c r="E32" s="1763" t="s">
        <v>4234</v>
      </c>
      <c r="F32" s="399">
        <f>SUMIF(100:100,E32,101:101)-SUMIF(100:100,C32,101:101)+100</f>
        <v>94</v>
      </c>
      <c r="G32" s="1762" t="s">
        <v>4234</v>
      </c>
      <c r="H32" s="404">
        <f>SUMIF(100:100,G32,101:101)-SUMIF(100:100,C32,101:101)+100</f>
        <v>94</v>
      </c>
      <c r="I32" s="1763" t="s">
        <v>4234</v>
      </c>
      <c r="J32" s="373">
        <f>SUMIF(100:100,I32,101:101)-SUMIF(100:100,C32,101:101)+100</f>
        <v>94</v>
      </c>
      <c r="K32" s="364">
        <v>2</v>
      </c>
      <c r="L32" s="2490"/>
      <c r="M32" s="2485"/>
      <c r="N32" s="2485"/>
      <c r="O32" s="2485"/>
      <c r="P32" s="3494" t="s">
        <v>1695</v>
      </c>
      <c r="Q32" s="1261" t="str">
        <f t="shared" si="11"/>
        <v>建筑类型</v>
      </c>
      <c r="R32" s="666" t="s">
        <v>18</v>
      </c>
      <c r="S32" s="667">
        <f t="shared" si="12"/>
        <v>94</v>
      </c>
      <c r="T32" s="666" t="s">
        <v>18</v>
      </c>
      <c r="U32" s="667">
        <f t="shared" si="13"/>
        <v>94</v>
      </c>
      <c r="V32" s="666" t="s">
        <v>18</v>
      </c>
      <c r="W32" s="667">
        <f t="shared" si="14"/>
        <v>94</v>
      </c>
      <c r="X32" s="1263"/>
      <c r="Y32" s="3497" t="s">
        <v>1695</v>
      </c>
      <c r="Z32" s="1262" t="str">
        <f t="shared" si="18"/>
        <v>建筑类型</v>
      </c>
      <c r="AA32" s="1262">
        <f t="shared" si="15"/>
        <v>1.0638297872340425</v>
      </c>
      <c r="AB32" s="1262">
        <f t="shared" si="16"/>
        <v>1.0638297872340425</v>
      </c>
      <c r="AC32" s="1262">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6"/>
      <c r="L33" s="2489"/>
      <c r="M33" s="2491"/>
      <c r="N33" s="2491"/>
      <c r="O33" s="2491"/>
      <c r="P33" s="3495"/>
      <c r="Q33" s="530" t="str">
        <f t="shared" si="11"/>
        <v>项目建筑规模</v>
      </c>
      <c r="R33" s="668" t="s">
        <v>18</v>
      </c>
      <c r="S33" s="669">
        <f t="shared" si="12"/>
        <v>100</v>
      </c>
      <c r="T33" s="668" t="s">
        <v>18</v>
      </c>
      <c r="U33" s="669">
        <f t="shared" si="13"/>
        <v>100</v>
      </c>
      <c r="V33" s="668" t="s">
        <v>18</v>
      </c>
      <c r="W33" s="669">
        <f t="shared" si="14"/>
        <v>98</v>
      </c>
      <c r="X33" s="670"/>
      <c r="Y33" s="3497"/>
      <c r="Z33" s="671" t="str">
        <f t="shared" si="18"/>
        <v>项目建筑规模</v>
      </c>
      <c r="AA33" s="1262">
        <f t="shared" si="15"/>
        <v>1</v>
      </c>
      <c r="AB33" s="1262">
        <f t="shared" si="16"/>
        <v>1</v>
      </c>
      <c r="AC33" s="1262">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4228</v>
      </c>
      <c r="D36" s="373">
        <v>100</v>
      </c>
      <c r="E36" s="1758" t="s">
        <v>4228</v>
      </c>
      <c r="F36" s="399">
        <f>SUMIF(109:109,E36,110:110)-SUMIF(109:109,C36,110:110)+100</f>
        <v>100</v>
      </c>
      <c r="G36" s="1758" t="s">
        <v>4228</v>
      </c>
      <c r="H36" s="373">
        <f>SUMIF(109:109,G36,110:110)-SUMIF(109:109,C36,110:110)+100</f>
        <v>100</v>
      </c>
      <c r="I36" s="1759" t="s">
        <v>4228</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6"/>
      <c r="L44" s="2486"/>
      <c r="M44" s="2437"/>
      <c r="N44" s="2437"/>
      <c r="O44" s="2437"/>
      <c r="P44" s="3495"/>
      <c r="Q44" s="529" t="str">
        <f t="shared" si="11"/>
        <v>建成年份</v>
      </c>
      <c r="R44" s="663" t="s">
        <v>18</v>
      </c>
      <c r="S44" s="664">
        <f t="shared" si="12"/>
        <v>100.2</v>
      </c>
      <c r="T44" s="663" t="s">
        <v>18</v>
      </c>
      <c r="U44" s="664">
        <f t="shared" si="13"/>
        <v>101.3</v>
      </c>
      <c r="V44" s="663" t="s">
        <v>18</v>
      </c>
      <c r="W44" s="664">
        <f t="shared" si="14"/>
        <v>100.7</v>
      </c>
      <c r="X44" s="665"/>
      <c r="Y44" s="3497"/>
      <c r="Z44" s="50" t="str">
        <f t="shared" si="18"/>
        <v>建成年份</v>
      </c>
      <c r="AA44" s="50">
        <f t="shared" si="15"/>
        <v>0.99800399201596801</v>
      </c>
      <c r="AB44" s="50">
        <f t="shared" si="16"/>
        <v>0.98716683119447191</v>
      </c>
      <c r="AC44" s="50">
        <f t="shared" si="17"/>
        <v>0.99304865938430975</v>
      </c>
    </row>
    <row r="45" spans="1:29" ht="15.6" hidden="1" thickBot="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v>72464</v>
      </c>
      <c r="F47" s="3203"/>
      <c r="G47" s="3209">
        <v>70771</v>
      </c>
      <c r="H47" s="3204"/>
      <c r="I47" s="3208">
        <v>65941</v>
      </c>
      <c r="J47" s="3204"/>
      <c r="K47" s="1764"/>
      <c r="L47" s="2492"/>
      <c r="M47" s="2485"/>
      <c r="N47" s="2485"/>
      <c r="O47" s="2485"/>
      <c r="P47" s="3490" t="str">
        <f>A47</f>
        <v>成交单价（元/平方米）</v>
      </c>
      <c r="Q47" s="3490"/>
      <c r="R47" s="3491">
        <f>E47</f>
        <v>72464</v>
      </c>
      <c r="S47" s="3491"/>
      <c r="T47" s="3491">
        <f>G47</f>
        <v>70771</v>
      </c>
      <c r="U47" s="3491"/>
      <c r="V47" s="3491">
        <f>I47</f>
        <v>65941</v>
      </c>
      <c r="W47" s="3491"/>
      <c r="X47" s="384"/>
      <c r="Y47" s="672"/>
      <c r="Z47" s="384"/>
      <c r="AA47" s="384"/>
      <c r="AB47" s="384"/>
      <c r="AC47" s="384"/>
    </row>
    <row r="48" spans="1:29" ht="15" thickBot="1">
      <c r="A48" s="422" t="s">
        <v>1708</v>
      </c>
      <c r="B48" s="423"/>
      <c r="C48" s="1080">
        <f>R49</f>
        <v>71472</v>
      </c>
      <c r="D48" s="2138" t="s">
        <v>2137</v>
      </c>
      <c r="E48" s="1081">
        <f>R48</f>
        <v>73400</v>
      </c>
      <c r="F48" s="2139"/>
      <c r="G48" s="1080">
        <f>T48</f>
        <v>71601</v>
      </c>
      <c r="H48" s="2139"/>
      <c r="I48" s="1081">
        <f>V48</f>
        <v>69416</v>
      </c>
      <c r="J48" s="2139"/>
      <c r="K48" s="2140">
        <f>F48+H48+J48</f>
        <v>0</v>
      </c>
      <c r="L48" s="2492"/>
      <c r="M48" s="2485"/>
      <c r="N48" s="2485"/>
      <c r="O48" s="2485"/>
      <c r="P48" s="3490" t="str">
        <f>A48</f>
        <v>比较价值（元/平方米）</v>
      </c>
      <c r="Q48" s="3490"/>
      <c r="R48" s="3491">
        <f>IF(F1="售价",ROUND(PRODUCT(R47,AA7:AA46),0),ROUND(PRODUCT(R47,AA7:AA46),1))</f>
        <v>73400</v>
      </c>
      <c r="S48" s="3491"/>
      <c r="T48" s="3491">
        <f>IF(F1="售价",ROUND(PRODUCT(T47,AB7:AB46),0),ROUND(PRODUCT(T47,AB7:AB46),1))</f>
        <v>71601</v>
      </c>
      <c r="U48" s="3491"/>
      <c r="V48" s="3491">
        <f>IF(F1="售价",ROUND(PRODUCT(V47,AC7:AC46),0),ROUND(PRODUCT(V47,AC7:AC46),1))</f>
        <v>69416</v>
      </c>
      <c r="W48" s="3491"/>
      <c r="X48" s="384"/>
      <c r="Y48" s="384"/>
      <c r="Z48" s="384"/>
      <c r="AA48" s="384"/>
      <c r="AB48" s="384"/>
      <c r="AC48" s="384"/>
    </row>
    <row r="49" spans="1:29" ht="15" thickBot="1">
      <c r="A49" s="426" t="s">
        <v>1709</v>
      </c>
      <c r="B49" s="427"/>
      <c r="C49" s="1082">
        <f>R49</f>
        <v>71472</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71472</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7"/>
      <c r="L52" s="2493"/>
      <c r="M52" s="2485"/>
      <c r="N52" s="2485"/>
      <c r="O52" s="2485"/>
    </row>
    <row r="53" spans="1:29" ht="13.5" customHeight="1">
      <c r="A53" s="2485"/>
      <c r="B53" s="2485"/>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2017-12</v>
      </c>
      <c r="D58" s="1102">
        <f>EDATE(C58,-1)</f>
        <v>43040</v>
      </c>
      <c r="E58" s="1102">
        <f>EDATE(D58,-1)</f>
        <v>43009</v>
      </c>
      <c r="F58" s="1102">
        <f t="shared" ref="F58:O58" si="19">EDATE(E58,-1)</f>
        <v>42979</v>
      </c>
      <c r="G58" s="1102">
        <f t="shared" si="19"/>
        <v>42948</v>
      </c>
      <c r="H58" s="1102">
        <f t="shared" si="19"/>
        <v>42917</v>
      </c>
      <c r="I58" s="1102">
        <f t="shared" si="19"/>
        <v>42887</v>
      </c>
      <c r="J58" s="1102">
        <f t="shared" si="19"/>
        <v>42856</v>
      </c>
      <c r="K58" s="1102">
        <f t="shared" si="19"/>
        <v>42826</v>
      </c>
      <c r="L58" s="1102">
        <f t="shared" si="19"/>
        <v>42795</v>
      </c>
      <c r="M58" s="1102">
        <f t="shared" si="19"/>
        <v>42767</v>
      </c>
      <c r="N58" s="1102">
        <f t="shared" si="19"/>
        <v>42736</v>
      </c>
      <c r="O58" s="1102">
        <f t="shared" si="19"/>
        <v>42705</v>
      </c>
      <c r="P58" s="1098"/>
    </row>
    <row r="59" spans="1:29" s="101" customFormat="1">
      <c r="A59" s="442"/>
      <c r="B59" s="1769"/>
      <c r="C59" s="1100">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5" thickTop="1">
      <c r="A90" s="483"/>
      <c r="B90" s="468" t="str">
        <f>B27</f>
        <v>楼层</v>
      </c>
      <c r="C90" s="484" t="s">
        <v>4235</v>
      </c>
      <c r="D90" s="484" t="s">
        <v>4284</v>
      </c>
      <c r="E90" s="484" t="s">
        <v>4285</v>
      </c>
      <c r="F90" s="484" t="s">
        <v>4286</v>
      </c>
      <c r="G90" s="484"/>
      <c r="H90" s="485"/>
      <c r="I90" s="485"/>
      <c r="J90" s="485"/>
      <c r="K90" s="485"/>
      <c r="L90" s="486"/>
      <c r="M90" s="487"/>
      <c r="N90" s="880"/>
      <c r="O90" s="880"/>
      <c r="P90" s="1773"/>
      <c r="Q90" s="489"/>
    </row>
    <row r="91" spans="1:17" s="407" customFormat="1" ht="14.4" thickBot="1">
      <c r="A91" s="483"/>
      <c r="B91" s="473"/>
      <c r="C91" s="490">
        <v>100</v>
      </c>
      <c r="D91" s="490">
        <v>100</v>
      </c>
      <c r="E91" s="490">
        <v>100</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4270</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60</v>
      </c>
      <c r="E103" s="6">
        <v>90</v>
      </c>
      <c r="F103" s="6">
        <v>120</v>
      </c>
      <c r="G103" s="6"/>
      <c r="H103" s="6"/>
      <c r="I103" s="6"/>
      <c r="J103" s="523"/>
      <c r="K103" s="523"/>
      <c r="L103" s="524"/>
      <c r="M103" s="525"/>
      <c r="N103" s="880"/>
      <c r="O103" s="880"/>
      <c r="P103" s="1773"/>
      <c r="Q103" s="489"/>
    </row>
    <row r="104" spans="1:17" s="407" customFormat="1" ht="14.4" thickBot="1">
      <c r="A104" s="483"/>
      <c r="B104" s="473"/>
      <c r="C104" s="490">
        <v>100</v>
      </c>
      <c r="D104" s="466">
        <v>98</v>
      </c>
      <c r="E104" s="466">
        <v>96</v>
      </c>
      <c r="F104" s="466">
        <v>94</v>
      </c>
      <c r="G104" s="466"/>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3"/>
      <c r="Q126" s="489"/>
    </row>
    <row r="127" spans="1:17" s="407" customFormat="1" ht="14.4" thickBot="1">
      <c r="A127" s="483"/>
      <c r="B127" s="473"/>
      <c r="C127" s="490">
        <v>100</v>
      </c>
      <c r="D127" s="466">
        <v>100.2</v>
      </c>
      <c r="E127" s="466">
        <v>100.7</v>
      </c>
      <c r="F127" s="466">
        <v>101.3</v>
      </c>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3121">
        <f ca="1">ROUND(D2/10000,4)</f>
        <v>61.190300000000001</v>
      </c>
      <c r="C2" s="1287" t="s">
        <v>805</v>
      </c>
      <c r="D2" s="1373">
        <f ca="1">C40+J29+L46</f>
        <v>611903</v>
      </c>
      <c r="E2" s="1293" t="s">
        <v>880</v>
      </c>
      <c r="F2" s="1294"/>
      <c r="G2" s="2476"/>
      <c r="H2" s="2466"/>
      <c r="I2" s="2466"/>
      <c r="J2" s="2466"/>
      <c r="K2" s="2467"/>
      <c r="L2" s="2466"/>
      <c r="M2" s="2466"/>
    </row>
    <row r="3" spans="1:37" ht="18" customHeight="1" thickBot="1">
      <c r="A3" s="1295" t="s">
        <v>806</v>
      </c>
      <c r="B3" s="1296">
        <f ca="1">IF(ISERROR(D2/F43),0,ROUND(D2/F43,0))</f>
        <v>7941</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19908</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ROUND(F6*F8*F7*(1-F9),0)</f>
        <v>19883</v>
      </c>
      <c r="D6" s="146" t="s">
        <v>2105</v>
      </c>
      <c r="E6" s="293" t="s">
        <v>696</v>
      </c>
      <c r="F6" s="3227">
        <f ca="1">ROUND(收益法1!F6*(1+2.25%),0)</f>
        <v>1841</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03">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25</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9">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683</v>
      </c>
      <c r="I24" s="1025" t="s">
        <v>728</v>
      </c>
      <c r="J24" s="1026">
        <f ca="1">ROUND(J5*M24,0)</f>
        <v>0</v>
      </c>
      <c r="K24" s="1027" t="s">
        <v>748</v>
      </c>
      <c r="L24" s="1025" t="s">
        <v>712</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1077</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473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712</v>
      </c>
      <c r="F37" s="320">
        <f ca="1">INDIRECT("'数据-取费表'!Al"&amp;$G$1)</f>
        <v>1E-3</v>
      </c>
      <c r="G37" s="1290"/>
      <c r="H37" s="2471"/>
      <c r="I37" s="1303"/>
      <c r="J37" s="1304"/>
      <c r="K37" s="2328"/>
      <c r="L37" s="2471"/>
      <c r="M37" s="2471"/>
    </row>
    <row r="38" spans="1:18" ht="18" customHeight="1" thickBot="1">
      <c r="A38" s="1024" t="s">
        <v>683</v>
      </c>
      <c r="B38" s="1025" t="s">
        <v>728</v>
      </c>
      <c r="C38" s="1026">
        <f ca="1">ROUND(C5*F38,0)</f>
        <v>20</v>
      </c>
      <c r="D38" s="1027" t="s">
        <v>748</v>
      </c>
      <c r="E38" s="1025" t="s">
        <v>712</v>
      </c>
      <c r="F38" s="1021">
        <f ca="1">INDIRECT("'数据-取费表'!Am"&amp;$G$1)</f>
        <v>1E-3</v>
      </c>
      <c r="G38" s="1290"/>
      <c r="H38" s="2471"/>
      <c r="I38" s="1303"/>
      <c r="J38" s="1304"/>
      <c r="K38" s="2469"/>
      <c r="L38" s="2471"/>
      <c r="M38" s="2471"/>
    </row>
    <row r="39" spans="1:18" ht="24.6" customHeight="1" thickTop="1">
      <c r="A39" s="1014" t="s">
        <v>394</v>
      </c>
      <c r="B39" s="1029" t="s">
        <v>752</v>
      </c>
      <c r="C39" s="301">
        <f ca="1">C5-C30</f>
        <v>18831</v>
      </c>
      <c r="D39" s="1030" t="s">
        <v>753</v>
      </c>
      <c r="E39" s="1031"/>
      <c r="F39" s="1032"/>
      <c r="G39" s="1290"/>
      <c r="H39" s="2471"/>
      <c r="I39" s="1303"/>
      <c r="J39" s="1304"/>
      <c r="K39" s="2469"/>
      <c r="L39" s="2471"/>
      <c r="M39" s="2471"/>
    </row>
    <row r="40" spans="1:18" ht="18" customHeight="1">
      <c r="A40" s="290" t="s">
        <v>395</v>
      </c>
      <c r="B40" s="291" t="s">
        <v>774</v>
      </c>
      <c r="C40" s="292">
        <f ca="1">ROUND(C39*(1-((1+F42)/(1+F40))^F41)/(F40-F42),0)</f>
        <v>611903</v>
      </c>
      <c r="D40" s="315" t="s">
        <v>758</v>
      </c>
      <c r="E40" s="293" t="s">
        <v>759</v>
      </c>
      <c r="F40" s="303">
        <f ca="1">INDIRECT("'数据-取费表'!I"&amp;$G$1)</f>
        <v>0.04</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7941</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-62.41</v>
      </c>
      <c r="D45" s="3128" t="s">
        <v>3354</v>
      </c>
      <c r="E45" s="1305"/>
      <c r="F45" s="1305"/>
      <c r="O45" s="1308" t="s">
        <v>808</v>
      </c>
      <c r="P45" s="1364"/>
      <c r="Q45" s="1364"/>
      <c r="R45" s="1364"/>
    </row>
    <row r="46" spans="1:18" s="1290" customFormat="1" ht="13.8" thickBot="1">
      <c r="A46" s="1309" t="s">
        <v>809</v>
      </c>
      <c r="C46" s="1310">
        <f ca="1">ROUND(C45,0)</f>
        <v>-62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611903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2007</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43</v>
      </c>
      <c r="K51" s="1337" t="s">
        <v>830</v>
      </c>
      <c r="L51" s="1338">
        <f ca="1">ROUND(-PV(INDIRECT("'数据-取费表'!h"&amp;$G$1),J51,(C39-C13*C76),0),0)</f>
        <v>73115</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611903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3</v>
      </c>
      <c r="O56" s="1323" t="s">
        <v>403</v>
      </c>
      <c r="P56" s="1324" t="s">
        <v>817</v>
      </c>
      <c r="Q56" s="1325">
        <f ca="1">C40+J29</f>
        <v>611903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73115</v>
      </c>
      <c r="O57" s="1323" t="s">
        <v>404</v>
      </c>
      <c r="P57" s="1324" t="s">
        <v>846</v>
      </c>
      <c r="Q57" s="1325">
        <f ca="1">L60</f>
        <v>0</v>
      </c>
      <c r="R57" s="1325" t="s">
        <v>847</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0.90710000000000002</v>
      </c>
      <c r="M59" s="1287">
        <f ca="1">ROUND(POWER(1+L52,L47-(J51+'数据-取费表'!B24))*(POWER(1+L52,(J51+'数据-取费表'!B24))-1)/(POWER(1+L52,L47)-1),4)</f>
        <v>0.90710000000000002</v>
      </c>
      <c r="N59" s="1287">
        <f ca="1">ROUND(POWER(1+L52,L47-(J51+'数据-取费表'!B20))*(POWER(1+L52,(J51+'数据-取费表'!B20))-1)/(POWER(1+L52,L47)-1),4)</f>
        <v>0.91320000000000001</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727</v>
      </c>
      <c r="C61" s="21" t="str">
        <f ca="1">IF(项目基本情况!B11="自然人","——",IF(D61="按租金收入计税",ROUND(C49*F61/(1+'数据-取费表'!C42),0),IF(D61="按房产原值计税",ROUND(C57*F61*0.7,0),INDIRECT("'数据-取费表'!Aj"&amp;$G$1))))</f>
        <v>——</v>
      </c>
      <c r="D61" s="1276" t="s">
        <v>3337</v>
      </c>
      <c r="E61" s="895" t="s">
        <v>712</v>
      </c>
      <c r="F61" s="313">
        <f t="shared" si="0"/>
        <v>0.12</v>
      </c>
      <c r="I61" s="1364"/>
      <c r="J61" s="1364"/>
      <c r="K61" s="1364"/>
      <c r="L61" s="1364"/>
      <c r="O61" s="1332" t="s">
        <v>408</v>
      </c>
      <c r="P61" s="1324" t="str">
        <f>K59</f>
        <v>建筑物剩余耐用年限下的土地年期修正系数Kn</v>
      </c>
      <c r="Q61" s="1325">
        <f ca="1">L59</f>
        <v>0.90710000000000002</v>
      </c>
      <c r="R61" s="1325" t="s">
        <v>857</v>
      </c>
    </row>
    <row r="62" spans="1:18" s="1290" customFormat="1" ht="13.8" thickBot="1">
      <c r="A62" s="927" t="s">
        <v>784</v>
      </c>
      <c r="B62" s="894" t="s">
        <v>730</v>
      </c>
      <c r="C62" s="22" t="str">
        <f>IF(项目基本情况!B11="自然人","——",ROUND(F62*F63,0))</f>
        <v>——</v>
      </c>
      <c r="D62" s="910" t="s">
        <v>731</v>
      </c>
      <c r="E62" s="895" t="s">
        <v>732</v>
      </c>
      <c r="F62" s="316">
        <f t="shared" si="0"/>
        <v>1.5</v>
      </c>
      <c r="I62" s="1365" t="s">
        <v>858</v>
      </c>
      <c r="J62" s="609" t="s">
        <v>859</v>
      </c>
      <c r="K62" s="609" t="s">
        <v>860</v>
      </c>
      <c r="L62" s="609" t="s">
        <v>861</v>
      </c>
      <c r="M62" s="1366" t="s">
        <v>862</v>
      </c>
      <c r="O62" s="1323" t="s">
        <v>409</v>
      </c>
      <c r="P62" s="1324" t="s">
        <v>838</v>
      </c>
      <c r="Q62" s="1325">
        <f ca="1">Q56+Q57</f>
        <v>611903</v>
      </c>
      <c r="R62" s="1325" t="s">
        <v>410</v>
      </c>
    </row>
    <row r="63" spans="1:18" s="1290" customFormat="1" ht="13.8" thickBot="1">
      <c r="A63" s="317"/>
      <c r="B63" s="901"/>
      <c r="C63" s="26"/>
      <c r="D63" s="911"/>
      <c r="E63" s="895" t="s">
        <v>736</v>
      </c>
      <c r="F63" s="294">
        <f t="shared" ca="1" si="0"/>
        <v>0</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ROUND(C57*F64,0)</f>
        <v>350</v>
      </c>
      <c r="D64" s="909" t="s">
        <v>771</v>
      </c>
      <c r="E64" s="895" t="s">
        <v>712</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712</v>
      </c>
      <c r="F65" s="320">
        <f t="shared" ca="1" si="0"/>
        <v>1E-3</v>
      </c>
      <c r="I65" s="1365" t="s">
        <v>867</v>
      </c>
      <c r="J65" s="609">
        <v>40</v>
      </c>
      <c r="K65" s="609">
        <v>30</v>
      </c>
      <c r="L65" s="609">
        <v>50</v>
      </c>
      <c r="M65" s="1367">
        <v>0.02</v>
      </c>
      <c r="O65" s="1323" t="s">
        <v>403</v>
      </c>
      <c r="P65" s="1324" t="s">
        <v>817</v>
      </c>
      <c r="Q65" s="1325">
        <f ca="1">C40+J29</f>
        <v>611903</v>
      </c>
      <c r="R65" s="1325" t="s">
        <v>818</v>
      </c>
    </row>
    <row r="66" spans="1:18" s="1290" customFormat="1" ht="16.2" thickBot="1">
      <c r="A66" s="927" t="s">
        <v>793</v>
      </c>
      <c r="B66" s="895" t="s">
        <v>728</v>
      </c>
      <c r="C66" s="21">
        <f ca="1">ROUND(C48*F66,0)</f>
        <v>0</v>
      </c>
      <c r="D66" s="909" t="s">
        <v>748</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73115</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3589</v>
      </c>
      <c r="R68" s="1325" t="s">
        <v>414</v>
      </c>
    </row>
    <row r="69" spans="1:18" s="1290" customFormat="1" ht="13.8" thickBot="1">
      <c r="A69" s="896"/>
      <c r="B69" s="897"/>
      <c r="C69" s="297"/>
      <c r="D69" s="915" t="s">
        <v>762</v>
      </c>
      <c r="E69" s="895" t="s">
        <v>763</v>
      </c>
      <c r="F69" s="323">
        <f ca="1">F41</f>
        <v>46</v>
      </c>
      <c r="O69" s="1332" t="s">
        <v>411</v>
      </c>
      <c r="P69" s="1369" t="s">
        <v>872</v>
      </c>
      <c r="Q69" s="1325">
        <f ca="1">C39</f>
        <v>18831</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0.90710000000000002</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611903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0.19099999999999995</v>
      </c>
    </row>
    <row r="80" spans="1:18">
      <c r="B80" s="330" t="s">
        <v>800</v>
      </c>
      <c r="C80" s="265">
        <f ca="1">ROUND(C75/C39,3)</f>
        <v>0.80900000000000005</v>
      </c>
    </row>
    <row r="81" spans="2:3">
      <c r="B81" s="261" t="s">
        <v>801</v>
      </c>
      <c r="C81" s="229"/>
    </row>
    <row r="82" spans="2:3">
      <c r="B82" s="264" t="s">
        <v>802</v>
      </c>
      <c r="C82" s="266">
        <f ca="1">1-C83</f>
        <v>0.61699999999999999</v>
      </c>
    </row>
    <row r="83" spans="2:3">
      <c r="B83" s="264" t="s">
        <v>803</v>
      </c>
      <c r="C83" s="265">
        <f ca="1">ROUND(C13/C40,3)</f>
        <v>0.38300000000000001</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workbookViewId="0">
      <selection activeCell="O19" sqref="O19"/>
    </sheetView>
  </sheetViews>
  <sheetFormatPr defaultRowHeight="14.4"/>
  <cols>
    <col min="5" max="5" width="13" customWidth="1"/>
    <col min="17" max="17" width="15.33203125" customWidth="1"/>
  </cols>
  <sheetData>
    <row r="1" spans="2:17" ht="15" thickBot="1">
      <c r="B1" s="3274" t="s">
        <v>3473</v>
      </c>
      <c r="C1" s="3274" t="s">
        <v>3474</v>
      </c>
      <c r="D1" s="3274" t="s">
        <v>3475</v>
      </c>
      <c r="E1" s="3274" t="s">
        <v>3476</v>
      </c>
      <c r="F1" s="3274" t="s">
        <v>3477</v>
      </c>
      <c r="G1" s="3274" t="s">
        <v>3478</v>
      </c>
      <c r="H1" s="3274" t="s">
        <v>3479</v>
      </c>
      <c r="I1" s="3274" t="s">
        <v>3480</v>
      </c>
      <c r="J1" s="3274" t="s">
        <v>3481</v>
      </c>
      <c r="K1" s="3274" t="s">
        <v>3482</v>
      </c>
      <c r="L1" s="3274" t="s">
        <v>3885</v>
      </c>
      <c r="M1" s="3274" t="s">
        <v>3886</v>
      </c>
      <c r="N1" s="3274" t="s">
        <v>3483</v>
      </c>
      <c r="O1" s="3274" t="s">
        <v>3484</v>
      </c>
      <c r="P1" s="3274" t="s">
        <v>3485</v>
      </c>
      <c r="Q1" s="3274" t="s">
        <v>3486</v>
      </c>
    </row>
    <row r="2" spans="2:17" ht="34.799999999999997" thickBot="1">
      <c r="B2" s="3277" t="s">
        <v>4350</v>
      </c>
      <c r="C2" s="3277" t="s">
        <v>4351</v>
      </c>
      <c r="D2" s="3277" t="s">
        <v>4343</v>
      </c>
      <c r="E2" s="3277" t="s">
        <v>3498</v>
      </c>
      <c r="F2" s="3277">
        <v>119.94</v>
      </c>
      <c r="G2" s="3277" t="s">
        <v>3386</v>
      </c>
      <c r="H2" s="3277">
        <v>6</v>
      </c>
      <c r="I2" s="3277">
        <v>4</v>
      </c>
      <c r="J2" s="3277">
        <v>2003</v>
      </c>
      <c r="K2" s="3277" t="s">
        <v>633</v>
      </c>
      <c r="L2" s="3277" t="s">
        <v>633</v>
      </c>
      <c r="M2" s="3277" t="s">
        <v>633</v>
      </c>
      <c r="N2" s="3277">
        <v>15258</v>
      </c>
      <c r="O2" s="3277">
        <v>15338</v>
      </c>
      <c r="P2" s="3277">
        <v>1839640</v>
      </c>
      <c r="Q2" s="3278">
        <v>45635</v>
      </c>
    </row>
    <row r="3" spans="2:17" ht="34.799999999999997" thickBot="1">
      <c r="B3" s="3275" t="s">
        <v>4352</v>
      </c>
      <c r="C3" s="3275" t="s">
        <v>4351</v>
      </c>
      <c r="D3" s="3275" t="s">
        <v>4343</v>
      </c>
      <c r="E3" s="3275" t="s">
        <v>3498</v>
      </c>
      <c r="F3" s="3275">
        <v>62.78</v>
      </c>
      <c r="G3" s="3275" t="s">
        <v>3386</v>
      </c>
      <c r="H3" s="3275">
        <v>6</v>
      </c>
      <c r="I3" s="3275">
        <v>3</v>
      </c>
      <c r="J3" s="3275" t="s">
        <v>633</v>
      </c>
      <c r="K3" s="3275">
        <v>2004</v>
      </c>
      <c r="L3" s="3275" t="s">
        <v>633</v>
      </c>
      <c r="M3" s="3275" t="s">
        <v>633</v>
      </c>
      <c r="N3" s="3275">
        <v>18637</v>
      </c>
      <c r="O3" s="3275">
        <v>18647</v>
      </c>
      <c r="P3" s="3275">
        <v>1170659</v>
      </c>
      <c r="Q3" s="3276">
        <v>45607</v>
      </c>
    </row>
    <row r="4" spans="2:17" ht="34.799999999999997" thickBot="1">
      <c r="B4" s="3277" t="s">
        <v>4353</v>
      </c>
      <c r="C4" s="3277" t="s">
        <v>4351</v>
      </c>
      <c r="D4" s="3277" t="s">
        <v>4343</v>
      </c>
      <c r="E4" s="3277" t="s">
        <v>3498</v>
      </c>
      <c r="F4" s="3277">
        <v>114.05</v>
      </c>
      <c r="G4" s="3277" t="s">
        <v>3386</v>
      </c>
      <c r="H4" s="3277">
        <v>6</v>
      </c>
      <c r="I4" s="3277">
        <v>3</v>
      </c>
      <c r="J4" s="3277" t="s">
        <v>633</v>
      </c>
      <c r="K4" s="3277">
        <v>2003</v>
      </c>
      <c r="L4" s="3277" t="s">
        <v>633</v>
      </c>
      <c r="M4" s="3277" t="s">
        <v>633</v>
      </c>
      <c r="N4" s="3277">
        <v>14730</v>
      </c>
      <c r="O4" s="3277">
        <v>14787</v>
      </c>
      <c r="P4" s="3277">
        <v>1686457</v>
      </c>
      <c r="Q4" s="3278">
        <v>45577</v>
      </c>
    </row>
    <row r="5" spans="2:17" ht="34.799999999999997" thickBot="1">
      <c r="B5" s="3287" t="s">
        <v>4354</v>
      </c>
      <c r="C5" s="3287" t="s">
        <v>4351</v>
      </c>
      <c r="D5" s="3287" t="s">
        <v>4343</v>
      </c>
      <c r="E5" s="3287" t="s">
        <v>3498</v>
      </c>
      <c r="F5" s="3287">
        <v>115.08</v>
      </c>
      <c r="G5" s="3287" t="s">
        <v>3386</v>
      </c>
      <c r="H5" s="3287" t="s">
        <v>4355</v>
      </c>
      <c r="I5" s="3287">
        <v>8</v>
      </c>
      <c r="J5" s="3287">
        <v>2004</v>
      </c>
      <c r="K5" s="3287" t="s">
        <v>633</v>
      </c>
      <c r="L5" s="3287" t="s">
        <v>633</v>
      </c>
      <c r="M5" s="3287" t="s">
        <v>633</v>
      </c>
      <c r="N5" s="3287">
        <v>13990</v>
      </c>
      <c r="O5" s="3287">
        <v>14009</v>
      </c>
      <c r="P5" s="3287">
        <v>1612156</v>
      </c>
      <c r="Q5" s="3288">
        <v>45575</v>
      </c>
    </row>
    <row r="6" spans="2:17" ht="34.799999999999997" thickBot="1">
      <c r="B6" s="3277" t="s">
        <v>4356</v>
      </c>
      <c r="C6" s="3277" t="s">
        <v>4351</v>
      </c>
      <c r="D6" s="3277" t="s">
        <v>4343</v>
      </c>
      <c r="E6" s="3277" t="s">
        <v>3498</v>
      </c>
      <c r="F6" s="3277">
        <v>76.86</v>
      </c>
      <c r="G6" s="3277" t="s">
        <v>3386</v>
      </c>
      <c r="H6" s="3277">
        <v>6</v>
      </c>
      <c r="I6" s="3277">
        <v>5</v>
      </c>
      <c r="J6" s="3277" t="s">
        <v>633</v>
      </c>
      <c r="K6" s="3277">
        <v>2002</v>
      </c>
      <c r="L6" s="3277" t="s">
        <v>633</v>
      </c>
      <c r="M6" s="3277" t="s">
        <v>633</v>
      </c>
      <c r="N6" s="3277">
        <v>13609</v>
      </c>
      <c r="O6" s="3277">
        <v>13725</v>
      </c>
      <c r="P6" s="3277">
        <v>1054904</v>
      </c>
      <c r="Q6" s="3278">
        <v>45504</v>
      </c>
    </row>
    <row r="7" spans="2:17" ht="34.799999999999997" thickBot="1">
      <c r="B7" s="3275" t="s">
        <v>4357</v>
      </c>
      <c r="C7" s="3275" t="s">
        <v>4351</v>
      </c>
      <c r="D7" s="3275" t="s">
        <v>4343</v>
      </c>
      <c r="E7" s="3275" t="s">
        <v>3498</v>
      </c>
      <c r="F7" s="3275">
        <v>98.17</v>
      </c>
      <c r="G7" s="3275" t="s">
        <v>3386</v>
      </c>
      <c r="H7" s="3275">
        <v>6</v>
      </c>
      <c r="I7" s="3275">
        <v>5</v>
      </c>
      <c r="J7" s="3275" t="s">
        <v>633</v>
      </c>
      <c r="K7" s="3275">
        <v>2003</v>
      </c>
      <c r="L7" s="3275" t="s">
        <v>633</v>
      </c>
      <c r="M7" s="3275" t="s">
        <v>633</v>
      </c>
      <c r="N7" s="3275">
        <v>13548</v>
      </c>
      <c r="O7" s="3275">
        <v>13884</v>
      </c>
      <c r="P7" s="3275">
        <v>1362992</v>
      </c>
      <c r="Q7" s="3276">
        <v>45391</v>
      </c>
    </row>
    <row r="10" spans="2:17">
      <c r="B10" s="3286" t="s">
        <v>4358</v>
      </c>
      <c r="C10" s="3286" t="s">
        <v>654</v>
      </c>
      <c r="D10">
        <v>1700</v>
      </c>
    </row>
    <row r="11" spans="2:17">
      <c r="C11" s="1403" t="s">
        <v>4359</v>
      </c>
      <c r="D11" s="1403" t="s">
        <v>4360</v>
      </c>
      <c r="E11" s="1403" t="s">
        <v>4301</v>
      </c>
      <c r="F11" s="1403" t="s">
        <v>3392</v>
      </c>
      <c r="G11" s="1403" t="s">
        <v>4361</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3" t="s">
        <v>4363</v>
      </c>
      <c r="C16" s="1403" t="s">
        <v>4362</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workbookViewId="0">
      <selection activeCell="O1" sqref="O1"/>
    </sheetView>
  </sheetViews>
  <sheetFormatPr defaultRowHeight="14.4"/>
  <cols>
    <col min="17" max="17" width="10.77734375" customWidth="1"/>
    <col min="22" max="22" width="12.44140625" customWidth="1"/>
  </cols>
  <sheetData>
    <row r="1" spans="1:18">
      <c r="A1" s="3285" t="s">
        <v>4370</v>
      </c>
    </row>
    <row r="5" spans="1:18">
      <c r="L5" s="1403" t="s">
        <v>4338</v>
      </c>
      <c r="M5" s="1403" t="s">
        <v>4349</v>
      </c>
      <c r="N5" s="1403" t="s">
        <v>4371</v>
      </c>
      <c r="O5" s="3289" t="s">
        <v>4339</v>
      </c>
      <c r="P5" s="1403" t="s">
        <v>4372</v>
      </c>
      <c r="Q5" s="1403" t="s">
        <v>4373</v>
      </c>
    </row>
    <row r="6" spans="1:18">
      <c r="L6">
        <v>89.38</v>
      </c>
      <c r="M6">
        <f>ROUND(N6/L6,0)</f>
        <v>22346</v>
      </c>
      <c r="N6">
        <v>1997315.33</v>
      </c>
      <c r="O6" s="3267">
        <f>ROUND(P6/L6,0)</f>
        <v>13017</v>
      </c>
      <c r="P6">
        <v>1163496.58</v>
      </c>
      <c r="Q6" s="3226">
        <v>45493</v>
      </c>
      <c r="R6">
        <f>O6/M6</f>
        <v>0.58252036158596621</v>
      </c>
    </row>
    <row r="20" spans="1:18">
      <c r="A20" s="3285" t="s">
        <v>4374</v>
      </c>
    </row>
    <row r="23" spans="1:18">
      <c r="L23" s="1403" t="s">
        <v>4338</v>
      </c>
      <c r="M23" s="1403" t="s">
        <v>4349</v>
      </c>
      <c r="N23" s="1403" t="s">
        <v>4371</v>
      </c>
      <c r="O23" s="3289" t="s">
        <v>4339</v>
      </c>
      <c r="P23" s="1403" t="s">
        <v>4372</v>
      </c>
      <c r="Q23" s="1403" t="s">
        <v>4373</v>
      </c>
    </row>
    <row r="24" spans="1:18">
      <c r="L24">
        <v>89.38</v>
      </c>
      <c r="M24">
        <f>ROUND(N24/L24,0)</f>
        <v>22346</v>
      </c>
      <c r="N24">
        <v>1997315.33</v>
      </c>
      <c r="O24" s="3267">
        <f>ROUND(P24/L24,0)</f>
        <v>13185</v>
      </c>
      <c r="P24">
        <v>1178496.58</v>
      </c>
      <c r="Q24" s="3226">
        <v>45493</v>
      </c>
      <c r="R24">
        <f>O24/M24</f>
        <v>0.59003848563501293</v>
      </c>
    </row>
    <row r="38" spans="1:18">
      <c r="A38" s="3285" t="s">
        <v>4375</v>
      </c>
    </row>
    <row r="40" spans="1:18">
      <c r="L40" s="1403" t="s">
        <v>4338</v>
      </c>
      <c r="M40" s="1403" t="s">
        <v>4349</v>
      </c>
      <c r="N40" s="1403" t="s">
        <v>4371</v>
      </c>
      <c r="O40" s="3289" t="s">
        <v>4339</v>
      </c>
      <c r="P40" s="1403" t="s">
        <v>4372</v>
      </c>
      <c r="Q40" s="1403" t="s">
        <v>4373</v>
      </c>
    </row>
    <row r="41" spans="1:18">
      <c r="L41">
        <v>116.83</v>
      </c>
      <c r="M41">
        <f>ROUND(N41/L41,0)</f>
        <v>20371</v>
      </c>
      <c r="N41">
        <v>2380000</v>
      </c>
      <c r="O41" s="3267">
        <f>ROUND(P41/L41,0)</f>
        <v>12908</v>
      </c>
      <c r="P41">
        <v>1508000</v>
      </c>
      <c r="Q41" s="3226">
        <v>44939</v>
      </c>
      <c r="R41">
        <f>O41/M41</f>
        <v>0.6336458691276815</v>
      </c>
    </row>
    <row r="58" spans="1:18">
      <c r="A58" s="3285" t="s">
        <v>4376</v>
      </c>
    </row>
    <row r="61" spans="1:18">
      <c r="L61" s="1403" t="s">
        <v>4338</v>
      </c>
      <c r="M61" s="1403" t="s">
        <v>4349</v>
      </c>
      <c r="N61" s="1403" t="s">
        <v>4371</v>
      </c>
      <c r="O61" s="3289" t="s">
        <v>4339</v>
      </c>
      <c r="P61" s="1403" t="s">
        <v>4372</v>
      </c>
      <c r="Q61" s="1403" t="s">
        <v>4373</v>
      </c>
    </row>
    <row r="62" spans="1:18">
      <c r="L62">
        <v>89.77</v>
      </c>
      <c r="M62">
        <f>ROUND(N62/L62,0)</f>
        <v>20813</v>
      </c>
      <c r="N62">
        <v>1868383</v>
      </c>
      <c r="O62" s="3267">
        <f>ROUND(P62/L62,0)</f>
        <v>14571</v>
      </c>
      <c r="P62">
        <v>1308000</v>
      </c>
      <c r="Q62" s="322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4309</v>
      </c>
      <c r="B1" s="3265" t="s">
        <v>4310</v>
      </c>
      <c r="C1" s="3265" t="s">
        <v>4311</v>
      </c>
      <c r="D1" s="3265" t="s">
        <v>4312</v>
      </c>
      <c r="E1" s="3265" t="s">
        <v>4313</v>
      </c>
      <c r="F1" s="3265" t="s">
        <v>4314</v>
      </c>
      <c r="G1" s="3265" t="s">
        <v>4315</v>
      </c>
      <c r="H1" s="3265" t="s">
        <v>4316</v>
      </c>
      <c r="I1" s="3266" t="s">
        <v>4317</v>
      </c>
      <c r="J1" s="3265" t="s">
        <v>4318</v>
      </c>
      <c r="K1" s="3265" t="s">
        <v>3480</v>
      </c>
      <c r="L1" s="3265" t="s">
        <v>4319</v>
      </c>
    </row>
    <row r="2" spans="1:12">
      <c r="A2" s="3267" t="s">
        <v>4320</v>
      </c>
      <c r="B2" s="3267" t="s">
        <v>3908</v>
      </c>
      <c r="C2" s="3267">
        <v>7800000</v>
      </c>
      <c r="D2" s="3267">
        <v>97.36</v>
      </c>
      <c r="E2" s="3267" t="s">
        <v>4321</v>
      </c>
      <c r="F2" s="3267" t="s">
        <v>4322</v>
      </c>
      <c r="G2" s="3267" t="s">
        <v>4273</v>
      </c>
      <c r="H2" s="3267">
        <v>20</v>
      </c>
      <c r="I2" s="3268">
        <v>42802</v>
      </c>
      <c r="J2" s="3267">
        <v>80116</v>
      </c>
      <c r="K2" s="3267" t="s">
        <v>4323</v>
      </c>
      <c r="L2" s="3267">
        <v>24</v>
      </c>
    </row>
    <row r="3" spans="1:12">
      <c r="A3" s="3269" t="s">
        <v>4320</v>
      </c>
      <c r="B3" s="3269" t="s">
        <v>3908</v>
      </c>
      <c r="C3" s="3269">
        <v>3450000</v>
      </c>
      <c r="D3" s="3269">
        <v>48.95</v>
      </c>
      <c r="E3" s="3269" t="s">
        <v>4321</v>
      </c>
      <c r="F3" s="3269" t="s">
        <v>4324</v>
      </c>
      <c r="G3" s="3269" t="s">
        <v>4274</v>
      </c>
      <c r="H3" s="3269">
        <v>12</v>
      </c>
      <c r="I3" s="3270">
        <v>42810</v>
      </c>
      <c r="J3" s="3269">
        <v>70481</v>
      </c>
      <c r="K3" s="3269" t="s">
        <v>4325</v>
      </c>
      <c r="L3" s="3269">
        <v>24</v>
      </c>
    </row>
    <row r="4" spans="1:12">
      <c r="A4" t="s">
        <v>4320</v>
      </c>
      <c r="B4" t="s">
        <v>4326</v>
      </c>
      <c r="C4">
        <v>6150000</v>
      </c>
      <c r="D4">
        <v>93</v>
      </c>
      <c r="E4" t="s">
        <v>4321</v>
      </c>
      <c r="F4" t="s">
        <v>4327</v>
      </c>
      <c r="G4" t="s">
        <v>4292</v>
      </c>
      <c r="H4">
        <v>20</v>
      </c>
      <c r="I4" s="3226">
        <v>42863</v>
      </c>
      <c r="J4">
        <v>66130</v>
      </c>
      <c r="K4" t="s">
        <v>4323</v>
      </c>
      <c r="L4">
        <v>24</v>
      </c>
    </row>
    <row r="5" spans="1:12">
      <c r="A5" s="3269" t="s">
        <v>4320</v>
      </c>
      <c r="B5" s="3269" t="s">
        <v>4326</v>
      </c>
      <c r="C5" s="3269">
        <v>5950000</v>
      </c>
      <c r="D5" s="3269">
        <v>82.11</v>
      </c>
      <c r="E5" s="3269" t="s">
        <v>4321</v>
      </c>
      <c r="F5" s="3269" t="s">
        <v>4327</v>
      </c>
      <c r="G5" s="3269" t="s">
        <v>4292</v>
      </c>
      <c r="H5" s="3269">
        <v>8</v>
      </c>
      <c r="I5" s="3270">
        <v>42797</v>
      </c>
      <c r="J5" s="3269">
        <v>72464</v>
      </c>
      <c r="K5" s="3269" t="s">
        <v>4325</v>
      </c>
      <c r="L5" s="3269">
        <v>16</v>
      </c>
    </row>
    <row r="6" spans="1:12">
      <c r="A6" t="s">
        <v>4320</v>
      </c>
      <c r="B6" t="s">
        <v>4326</v>
      </c>
      <c r="C6">
        <v>9700000</v>
      </c>
      <c r="D6">
        <v>185.55</v>
      </c>
      <c r="E6" t="s">
        <v>4321</v>
      </c>
      <c r="F6" t="s">
        <v>4328</v>
      </c>
      <c r="G6" t="s">
        <v>4308</v>
      </c>
      <c r="H6" t="s">
        <v>4329</v>
      </c>
      <c r="I6" s="3226">
        <v>42806</v>
      </c>
      <c r="J6">
        <v>52278</v>
      </c>
      <c r="K6" t="s">
        <v>4330</v>
      </c>
      <c r="L6">
        <v>6</v>
      </c>
    </row>
    <row r="7" spans="1:12">
      <c r="A7" t="s">
        <v>4320</v>
      </c>
      <c r="B7" t="s">
        <v>4326</v>
      </c>
      <c r="C7">
        <v>6900000</v>
      </c>
      <c r="D7">
        <v>82.11</v>
      </c>
      <c r="E7" t="s">
        <v>4321</v>
      </c>
      <c r="F7" t="s">
        <v>4327</v>
      </c>
      <c r="G7" t="s">
        <v>4267</v>
      </c>
      <c r="H7">
        <v>20</v>
      </c>
      <c r="I7" s="3226">
        <v>42815</v>
      </c>
      <c r="J7">
        <v>84034</v>
      </c>
      <c r="K7" t="s">
        <v>4323</v>
      </c>
      <c r="L7">
        <v>24</v>
      </c>
    </row>
    <row r="8" spans="1:12">
      <c r="A8" s="3267" t="s">
        <v>4320</v>
      </c>
      <c r="B8" s="3267" t="s">
        <v>4326</v>
      </c>
      <c r="C8" s="3267">
        <v>9380000</v>
      </c>
      <c r="D8" s="3267">
        <v>126.88</v>
      </c>
      <c r="E8" s="3267" t="s">
        <v>4321</v>
      </c>
      <c r="F8" s="3267" t="s">
        <v>4322</v>
      </c>
      <c r="G8" s="3267" t="s">
        <v>4292</v>
      </c>
      <c r="H8" s="3267">
        <v>4</v>
      </c>
      <c r="I8" s="3268">
        <v>42810</v>
      </c>
      <c r="J8" s="3267">
        <v>73929</v>
      </c>
      <c r="K8" s="3267" t="s">
        <v>4331</v>
      </c>
      <c r="L8" s="3267">
        <v>24</v>
      </c>
    </row>
    <row r="9" spans="1:12">
      <c r="A9" s="3271" t="s">
        <v>4320</v>
      </c>
      <c r="B9" s="3271" t="s">
        <v>4326</v>
      </c>
      <c r="C9" s="3271">
        <v>6120000</v>
      </c>
      <c r="D9" s="3271">
        <v>80.709999999999994</v>
      </c>
      <c r="E9" s="3271" t="s">
        <v>4321</v>
      </c>
      <c r="F9" s="3271" t="s">
        <v>4327</v>
      </c>
      <c r="G9" s="3271" t="s">
        <v>4308</v>
      </c>
      <c r="H9" s="3271">
        <v>3</v>
      </c>
      <c r="I9" s="3272">
        <v>42798</v>
      </c>
      <c r="J9" s="3271">
        <v>75828</v>
      </c>
      <c r="K9" s="3271" t="s">
        <v>4325</v>
      </c>
      <c r="L9" s="3271">
        <v>6</v>
      </c>
    </row>
    <row r="10" spans="1:12">
      <c r="A10" s="3269" t="s">
        <v>4320</v>
      </c>
      <c r="B10" s="3269" t="s">
        <v>4326</v>
      </c>
      <c r="C10" s="3269">
        <v>6100000</v>
      </c>
      <c r="D10" s="3269">
        <v>81.61</v>
      </c>
      <c r="E10" s="3269" t="s">
        <v>4321</v>
      </c>
      <c r="F10" s="3269" t="s">
        <v>4327</v>
      </c>
      <c r="G10" s="3269" t="s">
        <v>4267</v>
      </c>
      <c r="H10" s="3269">
        <v>3</v>
      </c>
      <c r="I10" s="3270">
        <v>42814</v>
      </c>
      <c r="J10" s="3269">
        <v>74746</v>
      </c>
      <c r="K10" s="3269" t="s">
        <v>4331</v>
      </c>
      <c r="L10" s="3269">
        <v>16</v>
      </c>
    </row>
    <row r="11" spans="1:12">
      <c r="A11" t="s">
        <v>4320</v>
      </c>
      <c r="B11" t="s">
        <v>4326</v>
      </c>
      <c r="C11">
        <v>5800000</v>
      </c>
      <c r="D11">
        <v>81.61</v>
      </c>
      <c r="E11" t="s">
        <v>4321</v>
      </c>
      <c r="F11" t="s">
        <v>4327</v>
      </c>
      <c r="G11" t="s">
        <v>4267</v>
      </c>
      <c r="H11">
        <v>20</v>
      </c>
      <c r="I11" s="3226">
        <v>42770</v>
      </c>
      <c r="J11">
        <v>71070</v>
      </c>
      <c r="K11" t="s">
        <v>4323</v>
      </c>
      <c r="L11">
        <v>24</v>
      </c>
    </row>
    <row r="12" spans="1:12">
      <c r="A12" t="s">
        <v>4320</v>
      </c>
      <c r="B12" t="s">
        <v>4326</v>
      </c>
      <c r="C12">
        <v>9200000</v>
      </c>
      <c r="D12">
        <v>139.16999999999999</v>
      </c>
      <c r="E12" t="s">
        <v>4321</v>
      </c>
      <c r="F12" t="s">
        <v>4332</v>
      </c>
      <c r="G12" t="s">
        <v>4267</v>
      </c>
      <c r="H12">
        <v>12</v>
      </c>
      <c r="I12" s="3226">
        <v>42821</v>
      </c>
      <c r="J12">
        <v>66107</v>
      </c>
      <c r="K12" t="s">
        <v>4325</v>
      </c>
      <c r="L12">
        <v>24</v>
      </c>
    </row>
    <row r="13" spans="1:12">
      <c r="A13" t="s">
        <v>4320</v>
      </c>
      <c r="B13" t="s">
        <v>4326</v>
      </c>
      <c r="C13">
        <v>6350000</v>
      </c>
      <c r="D13">
        <v>93.63</v>
      </c>
      <c r="E13" t="s">
        <v>4321</v>
      </c>
      <c r="F13" t="s">
        <v>4327</v>
      </c>
      <c r="G13" t="s">
        <v>4292</v>
      </c>
      <c r="H13">
        <v>12</v>
      </c>
      <c r="I13" s="3226">
        <v>42813</v>
      </c>
      <c r="J13">
        <v>67821</v>
      </c>
      <c r="K13" t="s">
        <v>4325</v>
      </c>
      <c r="L13">
        <v>24</v>
      </c>
    </row>
    <row r="14" spans="1:12">
      <c r="A14" t="s">
        <v>4320</v>
      </c>
      <c r="B14" t="s">
        <v>4326</v>
      </c>
      <c r="C14">
        <v>6000000</v>
      </c>
      <c r="D14">
        <v>80</v>
      </c>
      <c r="E14" t="s">
        <v>4321</v>
      </c>
      <c r="F14" t="s">
        <v>4327</v>
      </c>
      <c r="G14" t="s">
        <v>4308</v>
      </c>
      <c r="H14">
        <v>1</v>
      </c>
      <c r="I14" s="3226">
        <v>42801</v>
      </c>
      <c r="J14">
        <v>75000</v>
      </c>
      <c r="K14" t="s">
        <v>4331</v>
      </c>
      <c r="L14">
        <v>6</v>
      </c>
    </row>
    <row r="15" spans="1:12">
      <c r="A15" t="s">
        <v>4333</v>
      </c>
      <c r="B15" t="s">
        <v>4326</v>
      </c>
      <c r="C15">
        <v>5950000</v>
      </c>
      <c r="D15">
        <v>101.87</v>
      </c>
      <c r="E15" t="s">
        <v>4321</v>
      </c>
      <c r="F15" t="s">
        <v>4322</v>
      </c>
      <c r="G15" t="s">
        <v>4334</v>
      </c>
      <c r="H15">
        <v>4</v>
      </c>
      <c r="I15" s="3226">
        <v>42751</v>
      </c>
      <c r="J15">
        <v>58408</v>
      </c>
      <c r="K15" t="s">
        <v>4331</v>
      </c>
      <c r="L15">
        <v>21</v>
      </c>
    </row>
    <row r="16" spans="1:12">
      <c r="A16" t="s">
        <v>4320</v>
      </c>
      <c r="B16" t="s">
        <v>3493</v>
      </c>
      <c r="C16">
        <v>6250000</v>
      </c>
      <c r="D16">
        <v>104.67</v>
      </c>
      <c r="E16" t="s">
        <v>4321</v>
      </c>
      <c r="F16" t="s">
        <v>4322</v>
      </c>
      <c r="G16" t="s">
        <v>4308</v>
      </c>
      <c r="H16" t="s">
        <v>4329</v>
      </c>
      <c r="I16" s="3226">
        <v>42802</v>
      </c>
      <c r="J16">
        <v>59712</v>
      </c>
      <c r="K16" t="s">
        <v>4330</v>
      </c>
      <c r="L16">
        <v>6</v>
      </c>
    </row>
    <row r="17" spans="1:12">
      <c r="A17" t="s">
        <v>4320</v>
      </c>
      <c r="B17" t="s">
        <v>3493</v>
      </c>
      <c r="C17">
        <v>3530000</v>
      </c>
      <c r="D17">
        <v>41.86</v>
      </c>
      <c r="E17" t="s">
        <v>4321</v>
      </c>
      <c r="F17" t="s">
        <v>4324</v>
      </c>
      <c r="G17" t="s">
        <v>4308</v>
      </c>
      <c r="H17" t="s">
        <v>4335</v>
      </c>
      <c r="I17" s="3226">
        <v>42844</v>
      </c>
      <c r="J17">
        <v>84329</v>
      </c>
      <c r="K17" t="s">
        <v>4336</v>
      </c>
      <c r="L17">
        <v>6</v>
      </c>
    </row>
    <row r="18" spans="1:12">
      <c r="A18" t="s">
        <v>4320</v>
      </c>
      <c r="B18" t="s">
        <v>3493</v>
      </c>
      <c r="C18">
        <v>4200000</v>
      </c>
      <c r="D18">
        <v>59.47</v>
      </c>
      <c r="E18" t="s">
        <v>4321</v>
      </c>
      <c r="F18" t="s">
        <v>4327</v>
      </c>
      <c r="G18" t="s">
        <v>4308</v>
      </c>
      <c r="H18">
        <v>5</v>
      </c>
      <c r="I18" s="3226">
        <v>42793</v>
      </c>
      <c r="J18">
        <v>70624</v>
      </c>
      <c r="K18" t="s">
        <v>4323</v>
      </c>
      <c r="L18">
        <v>6</v>
      </c>
    </row>
    <row r="19" spans="1:12">
      <c r="A19" t="s">
        <v>4320</v>
      </c>
      <c r="B19" t="s">
        <v>3493</v>
      </c>
      <c r="C19">
        <v>3960000</v>
      </c>
      <c r="D19">
        <v>59.47</v>
      </c>
      <c r="E19" t="s">
        <v>4321</v>
      </c>
      <c r="F19" t="s">
        <v>4327</v>
      </c>
      <c r="G19" t="s">
        <v>4308</v>
      </c>
      <c r="H19">
        <v>3</v>
      </c>
      <c r="I19" s="3226">
        <v>42788</v>
      </c>
      <c r="J19">
        <v>66588</v>
      </c>
      <c r="K19" t="s">
        <v>4325</v>
      </c>
      <c r="L19">
        <v>6</v>
      </c>
    </row>
    <row r="20" spans="1:12">
      <c r="A20" t="s">
        <v>4320</v>
      </c>
      <c r="B20" t="s">
        <v>3493</v>
      </c>
      <c r="C20">
        <v>3810000</v>
      </c>
      <c r="D20">
        <v>59.47</v>
      </c>
      <c r="E20" t="s">
        <v>4321</v>
      </c>
      <c r="F20" t="s">
        <v>4327</v>
      </c>
      <c r="G20" t="s">
        <v>4308</v>
      </c>
      <c r="H20">
        <v>1</v>
      </c>
      <c r="I20" s="3226">
        <v>42746</v>
      </c>
      <c r="J20">
        <v>64066</v>
      </c>
      <c r="K20" t="s">
        <v>4331</v>
      </c>
      <c r="L20">
        <v>6</v>
      </c>
    </row>
    <row r="21" spans="1:12">
      <c r="A21" t="s">
        <v>4320</v>
      </c>
      <c r="B21" t="s">
        <v>3494</v>
      </c>
      <c r="C21">
        <v>6000000</v>
      </c>
      <c r="D21">
        <v>90.99</v>
      </c>
      <c r="E21" t="s">
        <v>4321</v>
      </c>
      <c r="F21" t="s">
        <v>4327</v>
      </c>
      <c r="G21" t="s">
        <v>4292</v>
      </c>
      <c r="H21">
        <v>17</v>
      </c>
      <c r="I21" s="3226">
        <v>42830</v>
      </c>
      <c r="J21">
        <v>65942</v>
      </c>
      <c r="K21" t="s">
        <v>4323</v>
      </c>
      <c r="L21">
        <v>20</v>
      </c>
    </row>
    <row r="22" spans="1:12">
      <c r="A22" t="s">
        <v>4320</v>
      </c>
      <c r="B22" t="s">
        <v>3494</v>
      </c>
      <c r="C22">
        <v>5490000</v>
      </c>
      <c r="D22">
        <v>90.5</v>
      </c>
      <c r="E22" t="s">
        <v>4321</v>
      </c>
      <c r="F22" t="s">
        <v>4327</v>
      </c>
      <c r="G22" t="s">
        <v>4292</v>
      </c>
      <c r="H22">
        <v>10</v>
      </c>
      <c r="I22" s="3226">
        <v>42987</v>
      </c>
      <c r="J22">
        <v>60663</v>
      </c>
      <c r="K22" t="s">
        <v>4325</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受贵公司委托，我公司对北京市房地产市场价值进行了预评估。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2024年12月20日（评估专业人员实地查勘之日）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0" t="str">
        <f>IF(项目基本情况!B9="房地产市场价值","——",IF(项目基本情况!E8="房地产抵押价值",定义!C54,IF(项目基本情况!E8="已注销",定义!C55,定义!C56)))</f>
        <v>——</v>
      </c>
    </row>
    <row r="21" spans="1:1" ht="17.399999999999999">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0" t="str">
        <f>IF(项目基本情况!B9="房地产市场价值","——",IF(项目基本情况!E9="——","",定义!C57))</f>
        <v>——</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3" customWidth="1"/>
    <col min="2" max="3" width="0" style="3183" hidden="1" customWidth="1"/>
    <col min="4" max="4" width="3.33203125" style="3183" hidden="1" customWidth="1"/>
    <col min="5" max="5" width="9" style="3183"/>
    <col min="6" max="6" width="20.6640625" style="3183" customWidth="1"/>
    <col min="7" max="7" width="9" style="3183"/>
    <col min="8" max="8" width="0" style="3183" hidden="1" customWidth="1"/>
    <col min="9" max="9" width="9" style="3183"/>
    <col min="10" max="10" width="7.109375" style="3183" customWidth="1"/>
    <col min="11" max="11" width="9" style="3183"/>
    <col min="12" max="12" width="7.33203125" style="3183" customWidth="1"/>
    <col min="13" max="13" width="7.6640625" style="3183" customWidth="1"/>
    <col min="14" max="14" width="15.21875" style="3183" customWidth="1"/>
    <col min="15" max="15" width="7.77734375" style="3183" customWidth="1"/>
    <col min="16" max="17" width="0" style="3183" hidden="1" customWidth="1"/>
    <col min="18" max="18" width="8.109375" style="3183" customWidth="1"/>
    <col min="19" max="19" width="7.88671875" style="3183" customWidth="1"/>
    <col min="20" max="20" width="7.44140625" style="3183" customWidth="1"/>
    <col min="21" max="21" width="12.77734375" style="3183" customWidth="1"/>
    <col min="22" max="16384" width="9" style="3183"/>
  </cols>
  <sheetData>
    <row r="1" spans="1:21" ht="27" customHeight="1" thickBot="1">
      <c r="A1" s="3182" t="s">
        <v>4218</v>
      </c>
      <c r="B1" s="3182" t="s">
        <v>4219</v>
      </c>
      <c r="C1" s="3182" t="s">
        <v>3882</v>
      </c>
      <c r="D1" s="3182" t="s">
        <v>3883</v>
      </c>
      <c r="E1" s="3182" t="s">
        <v>3884</v>
      </c>
      <c r="F1" s="3182" t="s">
        <v>3473</v>
      </c>
      <c r="G1" s="3182" t="s">
        <v>3474</v>
      </c>
      <c r="H1" s="3182" t="s">
        <v>3475</v>
      </c>
      <c r="I1" s="3182" t="s">
        <v>3476</v>
      </c>
      <c r="J1" s="3182" t="s">
        <v>3477</v>
      </c>
      <c r="K1" s="3182" t="s">
        <v>3478</v>
      </c>
      <c r="L1" s="3182" t="s">
        <v>3479</v>
      </c>
      <c r="M1" s="3182" t="s">
        <v>3480</v>
      </c>
      <c r="N1" s="3182" t="s">
        <v>3481</v>
      </c>
      <c r="O1" s="3182" t="s">
        <v>3482</v>
      </c>
      <c r="P1" s="3182" t="s">
        <v>3885</v>
      </c>
      <c r="Q1" s="3182" t="s">
        <v>3886</v>
      </c>
      <c r="R1" s="3182" t="s">
        <v>3483</v>
      </c>
      <c r="S1" s="3182" t="s">
        <v>3484</v>
      </c>
      <c r="T1" s="3182" t="s">
        <v>3485</v>
      </c>
      <c r="U1" s="3182" t="s">
        <v>3486</v>
      </c>
    </row>
    <row r="2" spans="1:21" ht="27" hidden="1" customHeight="1" thickBot="1">
      <c r="A2" s="3184">
        <v>1</v>
      </c>
      <c r="B2" s="3185" t="s">
        <v>3887</v>
      </c>
      <c r="C2" s="3184" t="s">
        <v>3888</v>
      </c>
      <c r="D2" s="3184" t="s">
        <v>3889</v>
      </c>
      <c r="E2" s="3184" t="s">
        <v>3890</v>
      </c>
      <c r="F2" s="3184" t="s">
        <v>3891</v>
      </c>
      <c r="G2" s="3184" t="s">
        <v>3493</v>
      </c>
      <c r="H2" s="3184" t="s">
        <v>3489</v>
      </c>
      <c r="I2" s="3184" t="s">
        <v>3490</v>
      </c>
      <c r="J2" s="3184">
        <v>72.59</v>
      </c>
      <c r="K2" s="3184" t="s">
        <v>3386</v>
      </c>
      <c r="L2" s="3184">
        <v>7</v>
      </c>
      <c r="M2" s="3184">
        <v>4</v>
      </c>
      <c r="N2" s="3184">
        <v>1999</v>
      </c>
      <c r="O2" s="3184" t="s">
        <v>633</v>
      </c>
      <c r="P2" s="3184" t="s">
        <v>633</v>
      </c>
      <c r="Q2" s="3184" t="s">
        <v>633</v>
      </c>
      <c r="R2" s="3184">
        <v>46838</v>
      </c>
      <c r="S2" s="3184">
        <v>46887</v>
      </c>
      <c r="T2" s="3184">
        <v>3403527</v>
      </c>
      <c r="U2" s="3186">
        <v>45385</v>
      </c>
    </row>
    <row r="3" spans="1:21" ht="27" customHeight="1" thickBot="1">
      <c r="A3" s="3179">
        <v>2</v>
      </c>
      <c r="B3" s="3180" t="s">
        <v>3887</v>
      </c>
      <c r="C3" s="3179" t="s">
        <v>3892</v>
      </c>
      <c r="D3" s="3179" t="s">
        <v>3893</v>
      </c>
      <c r="E3" s="3179" t="s">
        <v>3890</v>
      </c>
      <c r="F3" s="3179" t="s">
        <v>3894</v>
      </c>
      <c r="G3" s="3179" t="s">
        <v>3494</v>
      </c>
      <c r="H3" s="3179" t="s">
        <v>3489</v>
      </c>
      <c r="I3" s="3179" t="s">
        <v>3498</v>
      </c>
      <c r="J3" s="3179">
        <v>76.66</v>
      </c>
      <c r="K3" s="3179" t="s">
        <v>3386</v>
      </c>
      <c r="L3" s="3179" t="s">
        <v>3499</v>
      </c>
      <c r="M3" s="3179">
        <v>1</v>
      </c>
      <c r="N3" s="3179">
        <v>2005</v>
      </c>
      <c r="O3" s="3179" t="s">
        <v>3895</v>
      </c>
      <c r="P3" s="3179" t="s">
        <v>633</v>
      </c>
      <c r="Q3" s="3179" t="s">
        <v>633</v>
      </c>
      <c r="R3" s="3179">
        <v>49309</v>
      </c>
      <c r="S3" s="3179">
        <v>48759</v>
      </c>
      <c r="T3" s="3179">
        <v>3737865</v>
      </c>
      <c r="U3" s="3181">
        <v>45370</v>
      </c>
    </row>
    <row r="4" spans="1:21" ht="27" hidden="1" customHeight="1" thickBot="1">
      <c r="A4" s="3184">
        <v>3</v>
      </c>
      <c r="B4" s="3185" t="s">
        <v>3887</v>
      </c>
      <c r="C4" s="3184" t="s">
        <v>3896</v>
      </c>
      <c r="D4" s="3184" t="s">
        <v>3897</v>
      </c>
      <c r="E4" s="3184" t="s">
        <v>3890</v>
      </c>
      <c r="F4" s="3184" t="s">
        <v>3898</v>
      </c>
      <c r="G4" s="3184" t="s">
        <v>3493</v>
      </c>
      <c r="H4" s="3184" t="s">
        <v>3489</v>
      </c>
      <c r="I4" s="3184" t="s">
        <v>3490</v>
      </c>
      <c r="J4" s="3184">
        <v>55.35</v>
      </c>
      <c r="K4" s="3184" t="s">
        <v>3386</v>
      </c>
      <c r="L4" s="3184">
        <v>6</v>
      </c>
      <c r="M4" s="3184">
        <v>6</v>
      </c>
      <c r="N4" s="3184" t="s">
        <v>633</v>
      </c>
      <c r="O4" s="3184">
        <v>1998</v>
      </c>
      <c r="P4" s="3184" t="s">
        <v>633</v>
      </c>
      <c r="Q4" s="3184" t="s">
        <v>633</v>
      </c>
      <c r="R4" s="3184">
        <v>60524</v>
      </c>
      <c r="S4" s="3184">
        <v>58230</v>
      </c>
      <c r="T4" s="3184">
        <v>3223031</v>
      </c>
      <c r="U4" s="3186">
        <v>45022</v>
      </c>
    </row>
    <row r="5" spans="1:21" ht="27" customHeight="1" thickBot="1">
      <c r="A5" s="3179">
        <v>4</v>
      </c>
      <c r="B5" s="3180" t="s">
        <v>3887</v>
      </c>
      <c r="C5" s="3179" t="s">
        <v>3899</v>
      </c>
      <c r="D5" s="3179" t="s">
        <v>3900</v>
      </c>
      <c r="E5" s="3179" t="s">
        <v>3890</v>
      </c>
      <c r="F5" s="3179" t="s">
        <v>3901</v>
      </c>
      <c r="G5" s="3179" t="s">
        <v>3494</v>
      </c>
      <c r="H5" s="3179" t="s">
        <v>3489</v>
      </c>
      <c r="I5" s="3179" t="s">
        <v>3495</v>
      </c>
      <c r="J5" s="3179">
        <v>88.43</v>
      </c>
      <c r="K5" s="3179" t="s">
        <v>3386</v>
      </c>
      <c r="L5" s="3179" t="s">
        <v>3499</v>
      </c>
      <c r="M5" s="3179">
        <v>10</v>
      </c>
      <c r="N5" s="3179">
        <v>2005</v>
      </c>
      <c r="O5" s="3179" t="s">
        <v>633</v>
      </c>
      <c r="P5" s="3179" t="s">
        <v>633</v>
      </c>
      <c r="Q5" s="3179" t="s">
        <v>633</v>
      </c>
      <c r="R5" s="3179">
        <v>61631</v>
      </c>
      <c r="S5" s="3179">
        <v>58819</v>
      </c>
      <c r="T5" s="3179">
        <v>5201364</v>
      </c>
      <c r="U5" s="3181">
        <v>45006</v>
      </c>
    </row>
    <row r="6" spans="1:21" ht="27" hidden="1" customHeight="1" thickBot="1">
      <c r="A6" s="3184">
        <v>5</v>
      </c>
      <c r="B6" s="3185" t="s">
        <v>3887</v>
      </c>
      <c r="C6" s="3184" t="s">
        <v>3902</v>
      </c>
      <c r="D6" s="3184" t="s">
        <v>3903</v>
      </c>
      <c r="E6" s="3184" t="s">
        <v>3890</v>
      </c>
      <c r="F6" s="3184" t="s">
        <v>3904</v>
      </c>
      <c r="G6" s="3184" t="s">
        <v>3502</v>
      </c>
      <c r="H6" s="3184" t="s">
        <v>3489</v>
      </c>
      <c r="I6" s="3184" t="s">
        <v>3498</v>
      </c>
      <c r="J6" s="3184">
        <v>68.790000000000006</v>
      </c>
      <c r="K6" s="3184" t="s">
        <v>3386</v>
      </c>
      <c r="L6" s="3184">
        <v>27</v>
      </c>
      <c r="M6" s="3184">
        <v>25</v>
      </c>
      <c r="N6" s="3184">
        <v>2011</v>
      </c>
      <c r="O6" s="3184" t="s">
        <v>633</v>
      </c>
      <c r="P6" s="3184" t="s">
        <v>633</v>
      </c>
      <c r="Q6" s="3184" t="s">
        <v>633</v>
      </c>
      <c r="R6" s="3184">
        <v>69632</v>
      </c>
      <c r="S6" s="3184">
        <v>64834</v>
      </c>
      <c r="T6" s="3184">
        <v>4459931</v>
      </c>
      <c r="U6" s="3186">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4">
        <v>7</v>
      </c>
      <c r="B8" s="3185" t="s">
        <v>3887</v>
      </c>
      <c r="C8" s="3184" t="s">
        <v>3910</v>
      </c>
      <c r="D8" s="3184" t="s">
        <v>3911</v>
      </c>
      <c r="E8" s="3184" t="s">
        <v>3890</v>
      </c>
      <c r="F8" s="3184" t="s">
        <v>3912</v>
      </c>
      <c r="G8" s="3184" t="s">
        <v>3493</v>
      </c>
      <c r="H8" s="3184" t="s">
        <v>3489</v>
      </c>
      <c r="I8" s="3184" t="s">
        <v>3498</v>
      </c>
      <c r="J8" s="3184">
        <v>59.47</v>
      </c>
      <c r="K8" s="3184" t="s">
        <v>3386</v>
      </c>
      <c r="L8" s="3184">
        <v>6</v>
      </c>
      <c r="M8" s="3184">
        <v>2</v>
      </c>
      <c r="N8" s="3184" t="s">
        <v>633</v>
      </c>
      <c r="O8" s="3184">
        <v>1998</v>
      </c>
      <c r="P8" s="3184" t="s">
        <v>633</v>
      </c>
      <c r="Q8" s="3184" t="s">
        <v>633</v>
      </c>
      <c r="R8" s="3184">
        <v>65579</v>
      </c>
      <c r="S8" s="3184">
        <v>61852</v>
      </c>
      <c r="T8" s="3184">
        <v>3678338</v>
      </c>
      <c r="U8" s="3186">
        <v>44979</v>
      </c>
    </row>
    <row r="9" spans="1:21" ht="27" customHeight="1" thickBot="1">
      <c r="A9" s="3179">
        <v>8</v>
      </c>
      <c r="B9" s="3180" t="s">
        <v>3887</v>
      </c>
      <c r="C9" s="3179" t="s">
        <v>3913</v>
      </c>
      <c r="D9" s="3179" t="s">
        <v>3914</v>
      </c>
      <c r="E9" s="3179" t="s">
        <v>3890</v>
      </c>
      <c r="F9" s="3179" t="s">
        <v>3915</v>
      </c>
      <c r="G9" s="3179" t="s">
        <v>3494</v>
      </c>
      <c r="H9" s="3179" t="s">
        <v>3489</v>
      </c>
      <c r="I9" s="3179" t="s">
        <v>3498</v>
      </c>
      <c r="J9" s="3179">
        <v>83.43</v>
      </c>
      <c r="K9" s="3179" t="s">
        <v>3386</v>
      </c>
      <c r="L9" s="3179" t="s">
        <v>3499</v>
      </c>
      <c r="M9" s="3179">
        <v>9</v>
      </c>
      <c r="N9" s="3179">
        <v>2005</v>
      </c>
      <c r="O9" s="3179" t="s">
        <v>633</v>
      </c>
      <c r="P9" s="3179" t="s">
        <v>633</v>
      </c>
      <c r="Q9" s="3179" t="s">
        <v>633</v>
      </c>
      <c r="R9" s="3179">
        <v>53698</v>
      </c>
      <c r="S9" s="3179">
        <v>52206</v>
      </c>
      <c r="T9" s="3179">
        <v>4355547</v>
      </c>
      <c r="U9" s="3181">
        <v>44976</v>
      </c>
    </row>
    <row r="10" spans="1:21" ht="27" hidden="1" customHeight="1" thickBot="1">
      <c r="A10" s="3184">
        <v>9</v>
      </c>
      <c r="B10" s="3185" t="s">
        <v>3887</v>
      </c>
      <c r="C10" s="3184" t="s">
        <v>3916</v>
      </c>
      <c r="D10" s="3184" t="s">
        <v>3917</v>
      </c>
      <c r="E10" s="3184" t="s">
        <v>3890</v>
      </c>
      <c r="F10" s="3184" t="s">
        <v>3918</v>
      </c>
      <c r="G10" s="3184" t="s">
        <v>3502</v>
      </c>
      <c r="H10" s="3184" t="s">
        <v>3919</v>
      </c>
      <c r="I10" s="3184" t="s">
        <v>3498</v>
      </c>
      <c r="J10" s="3184">
        <v>88.12</v>
      </c>
      <c r="K10" s="3184" t="s">
        <v>3386</v>
      </c>
      <c r="L10" s="3184" t="s">
        <v>3920</v>
      </c>
      <c r="M10" s="3184">
        <v>12</v>
      </c>
      <c r="N10" s="3184">
        <v>2011</v>
      </c>
      <c r="O10" s="3184" t="s">
        <v>633</v>
      </c>
      <c r="P10" s="3184" t="s">
        <v>633</v>
      </c>
      <c r="Q10" s="3184" t="s">
        <v>633</v>
      </c>
      <c r="R10" s="3184">
        <v>72061</v>
      </c>
      <c r="S10" s="3184">
        <v>67350</v>
      </c>
      <c r="T10" s="3184">
        <v>5934882</v>
      </c>
      <c r="U10" s="3186">
        <v>44959</v>
      </c>
    </row>
    <row r="11" spans="1:21" ht="27" hidden="1" customHeight="1" thickBot="1">
      <c r="A11" s="3184">
        <v>10</v>
      </c>
      <c r="B11" s="3185" t="s">
        <v>3887</v>
      </c>
      <c r="C11" s="3184" t="s">
        <v>3921</v>
      </c>
      <c r="D11" s="3184" t="s">
        <v>3922</v>
      </c>
      <c r="E11" s="3184" t="s">
        <v>3890</v>
      </c>
      <c r="F11" s="3184" t="s">
        <v>3923</v>
      </c>
      <c r="G11" s="3184" t="s">
        <v>3502</v>
      </c>
      <c r="H11" s="3184" t="s">
        <v>3489</v>
      </c>
      <c r="I11" s="3184" t="s">
        <v>3498</v>
      </c>
      <c r="J11" s="3184">
        <v>68.790000000000006</v>
      </c>
      <c r="K11" s="3184" t="s">
        <v>3386</v>
      </c>
      <c r="L11" s="3184" t="s">
        <v>3503</v>
      </c>
      <c r="M11" s="3184">
        <v>18</v>
      </c>
      <c r="N11" s="3184" t="s">
        <v>633</v>
      </c>
      <c r="O11" s="3184">
        <v>2011</v>
      </c>
      <c r="P11" s="3184" t="s">
        <v>633</v>
      </c>
      <c r="Q11" s="3184" t="s">
        <v>633</v>
      </c>
      <c r="R11" s="3184">
        <v>69487</v>
      </c>
      <c r="S11" s="3184">
        <v>66899</v>
      </c>
      <c r="T11" s="3184">
        <v>4601982</v>
      </c>
      <c r="U11" s="3186">
        <v>44929</v>
      </c>
    </row>
    <row r="12" spans="1:21" ht="27" hidden="1" customHeight="1" thickBot="1">
      <c r="A12" s="3184">
        <v>11</v>
      </c>
      <c r="B12" s="3185" t="s">
        <v>3887</v>
      </c>
      <c r="C12" s="3184" t="s">
        <v>3924</v>
      </c>
      <c r="D12" s="3184" t="s">
        <v>3925</v>
      </c>
      <c r="E12" s="3184" t="s">
        <v>3890</v>
      </c>
      <c r="F12" s="3184" t="s">
        <v>3926</v>
      </c>
      <c r="G12" s="3184" t="s">
        <v>3493</v>
      </c>
      <c r="H12" s="3184" t="s">
        <v>3489</v>
      </c>
      <c r="I12" s="3184" t="s">
        <v>3490</v>
      </c>
      <c r="J12" s="3184">
        <v>149.15</v>
      </c>
      <c r="K12" s="3184" t="s">
        <v>3386</v>
      </c>
      <c r="L12" s="3184">
        <v>7</v>
      </c>
      <c r="M12" s="3187">
        <v>45450</v>
      </c>
      <c r="N12" s="3184">
        <v>1996</v>
      </c>
      <c r="O12" s="3184" t="s">
        <v>633</v>
      </c>
      <c r="P12" s="3184" t="s">
        <v>633</v>
      </c>
      <c r="Q12" s="3184" t="s">
        <v>633</v>
      </c>
      <c r="R12" s="3184">
        <v>43580</v>
      </c>
      <c r="S12" s="3184">
        <v>41497</v>
      </c>
      <c r="T12" s="3184">
        <v>6189278</v>
      </c>
      <c r="U12" s="3186">
        <v>44904</v>
      </c>
    </row>
    <row r="13" spans="1:21" ht="27" hidden="1" customHeight="1" thickBot="1">
      <c r="A13" s="3184">
        <v>12</v>
      </c>
      <c r="B13" s="3185" t="s">
        <v>3887</v>
      </c>
      <c r="C13" s="3184" t="s">
        <v>3927</v>
      </c>
      <c r="D13" s="3184" t="s">
        <v>3928</v>
      </c>
      <c r="E13" s="3184" t="s">
        <v>3890</v>
      </c>
      <c r="F13" s="3184" t="s">
        <v>3929</v>
      </c>
      <c r="G13" s="3184" t="s">
        <v>3493</v>
      </c>
      <c r="H13" s="3184" t="s">
        <v>3489</v>
      </c>
      <c r="I13" s="3184" t="s">
        <v>3490</v>
      </c>
      <c r="J13" s="3184">
        <v>97.76</v>
      </c>
      <c r="K13" s="3184" t="s">
        <v>3386</v>
      </c>
      <c r="L13" s="3184">
        <v>7</v>
      </c>
      <c r="M13" s="3184">
        <v>3</v>
      </c>
      <c r="N13" s="3184">
        <v>1996</v>
      </c>
      <c r="O13" s="3184" t="s">
        <v>633</v>
      </c>
      <c r="P13" s="3184" t="s">
        <v>633</v>
      </c>
      <c r="Q13" s="3184" t="s">
        <v>633</v>
      </c>
      <c r="R13" s="3184">
        <v>58920</v>
      </c>
      <c r="S13" s="3184">
        <v>57864</v>
      </c>
      <c r="T13" s="3184">
        <v>5656785</v>
      </c>
      <c r="U13" s="3186">
        <v>44850</v>
      </c>
    </row>
    <row r="14" spans="1:21" ht="27" hidden="1" customHeight="1" thickBot="1">
      <c r="A14" s="3184">
        <v>13</v>
      </c>
      <c r="B14" s="3185" t="s">
        <v>3887</v>
      </c>
      <c r="C14" s="3184" t="s">
        <v>3930</v>
      </c>
      <c r="D14" s="3184" t="s">
        <v>3931</v>
      </c>
      <c r="E14" s="3184" t="s">
        <v>3890</v>
      </c>
      <c r="F14" s="3184" t="s">
        <v>3932</v>
      </c>
      <c r="G14" s="3184" t="s">
        <v>3502</v>
      </c>
      <c r="H14" s="3184" t="s">
        <v>3489</v>
      </c>
      <c r="I14" s="3184" t="s">
        <v>3498</v>
      </c>
      <c r="J14" s="3184">
        <v>95.41</v>
      </c>
      <c r="K14" s="3184" t="s">
        <v>3386</v>
      </c>
      <c r="L14" s="3184" t="s">
        <v>3933</v>
      </c>
      <c r="M14" s="3184">
        <v>14</v>
      </c>
      <c r="N14" s="3184">
        <v>2011</v>
      </c>
      <c r="O14" s="3184" t="s">
        <v>633</v>
      </c>
      <c r="P14" s="3184" t="s">
        <v>633</v>
      </c>
      <c r="Q14" s="3184" t="s">
        <v>633</v>
      </c>
      <c r="R14" s="3184">
        <v>72319</v>
      </c>
      <c r="S14" s="3184">
        <v>68651</v>
      </c>
      <c r="T14" s="3184">
        <v>6549992</v>
      </c>
      <c r="U14" s="3186">
        <v>44790</v>
      </c>
    </row>
    <row r="15" spans="1:21" ht="27" hidden="1" customHeight="1" thickBot="1">
      <c r="A15" s="3184">
        <v>14</v>
      </c>
      <c r="B15" s="3185" t="s">
        <v>3887</v>
      </c>
      <c r="C15" s="3184" t="s">
        <v>3934</v>
      </c>
      <c r="D15" s="3184" t="s">
        <v>3935</v>
      </c>
      <c r="E15" s="3184" t="s">
        <v>3890</v>
      </c>
      <c r="F15" s="3184" t="s">
        <v>3936</v>
      </c>
      <c r="G15" s="3184" t="s">
        <v>3502</v>
      </c>
      <c r="H15" s="3184" t="s">
        <v>3489</v>
      </c>
      <c r="I15" s="3184" t="s">
        <v>3498</v>
      </c>
      <c r="J15" s="3184">
        <v>76.67</v>
      </c>
      <c r="K15" s="3184" t="s">
        <v>3386</v>
      </c>
      <c r="L15" s="3184" t="s">
        <v>3933</v>
      </c>
      <c r="M15" s="3184">
        <v>23</v>
      </c>
      <c r="N15" s="3184">
        <v>2011</v>
      </c>
      <c r="O15" s="3184" t="s">
        <v>633</v>
      </c>
      <c r="P15" s="3184" t="s">
        <v>633</v>
      </c>
      <c r="Q15" s="3184" t="s">
        <v>633</v>
      </c>
      <c r="R15" s="3184">
        <v>68736</v>
      </c>
      <c r="S15" s="3184">
        <v>64943</v>
      </c>
      <c r="T15" s="3184">
        <v>4979180</v>
      </c>
      <c r="U15" s="3186">
        <v>44770</v>
      </c>
    </row>
    <row r="16" spans="1:21" ht="27" hidden="1" customHeight="1" thickBot="1">
      <c r="A16" s="3184">
        <v>15</v>
      </c>
      <c r="B16" s="3185" t="s">
        <v>3887</v>
      </c>
      <c r="C16" s="3184" t="s">
        <v>3937</v>
      </c>
      <c r="D16" s="3184" t="s">
        <v>3938</v>
      </c>
      <c r="E16" s="3184" t="s">
        <v>3890</v>
      </c>
      <c r="F16" s="3184" t="s">
        <v>3939</v>
      </c>
      <c r="G16" s="3184" t="s">
        <v>3502</v>
      </c>
      <c r="H16" s="3184" t="s">
        <v>3489</v>
      </c>
      <c r="I16" s="3184" t="s">
        <v>3498</v>
      </c>
      <c r="J16" s="3184">
        <v>68.790000000000006</v>
      </c>
      <c r="K16" s="3184" t="s">
        <v>3386</v>
      </c>
      <c r="L16" s="3184" t="s">
        <v>3940</v>
      </c>
      <c r="M16" s="3184">
        <v>6</v>
      </c>
      <c r="N16" s="3184" t="s">
        <v>633</v>
      </c>
      <c r="O16" s="3184">
        <v>2011</v>
      </c>
      <c r="P16" s="3184" t="s">
        <v>633</v>
      </c>
      <c r="Q16" s="3184" t="s">
        <v>633</v>
      </c>
      <c r="R16" s="3184">
        <v>69312</v>
      </c>
      <c r="S16" s="3184">
        <v>63698</v>
      </c>
      <c r="T16" s="3184">
        <v>4381785</v>
      </c>
      <c r="U16" s="3186">
        <v>44801</v>
      </c>
    </row>
    <row r="17" spans="1:21" ht="27" hidden="1" customHeight="1" thickBot="1">
      <c r="A17" s="3188">
        <v>16</v>
      </c>
      <c r="B17" s="3189" t="s">
        <v>3887</v>
      </c>
      <c r="C17" s="3188" t="s">
        <v>3941</v>
      </c>
      <c r="D17" s="3188" t="s">
        <v>3942</v>
      </c>
      <c r="E17" s="3188" t="s">
        <v>3890</v>
      </c>
      <c r="F17" s="3188" t="s">
        <v>3943</v>
      </c>
      <c r="G17" s="3188" t="s">
        <v>3502</v>
      </c>
      <c r="H17" s="3188" t="s">
        <v>3489</v>
      </c>
      <c r="I17" s="3188" t="s">
        <v>3498</v>
      </c>
      <c r="J17" s="3188">
        <v>93.69</v>
      </c>
      <c r="K17" s="3188" t="s">
        <v>3386</v>
      </c>
      <c r="L17" s="3188" t="s">
        <v>3503</v>
      </c>
      <c r="M17" s="3188">
        <v>21</v>
      </c>
      <c r="N17" s="3188" t="s">
        <v>633</v>
      </c>
      <c r="O17" s="3188">
        <v>2011</v>
      </c>
      <c r="P17" s="3188" t="s">
        <v>633</v>
      </c>
      <c r="Q17" s="3188" t="s">
        <v>633</v>
      </c>
      <c r="R17" s="3188">
        <v>67883</v>
      </c>
      <c r="S17" s="3188">
        <v>64315</v>
      </c>
      <c r="T17" s="3188">
        <v>6025672</v>
      </c>
      <c r="U17" s="3190">
        <v>44768</v>
      </c>
    </row>
    <row r="18" spans="1:21" ht="27" hidden="1" customHeight="1" thickBot="1">
      <c r="A18" s="3184">
        <v>17</v>
      </c>
      <c r="B18" s="3185" t="s">
        <v>3887</v>
      </c>
      <c r="C18" s="3184" t="s">
        <v>3944</v>
      </c>
      <c r="D18" s="3184" t="s">
        <v>3945</v>
      </c>
      <c r="E18" s="3184" t="s">
        <v>3890</v>
      </c>
      <c r="F18" s="3184" t="s">
        <v>3946</v>
      </c>
      <c r="G18" s="3184" t="s">
        <v>3502</v>
      </c>
      <c r="H18" s="3184" t="s">
        <v>3489</v>
      </c>
      <c r="I18" s="3184" t="s">
        <v>3498</v>
      </c>
      <c r="J18" s="3184">
        <v>68.790000000000006</v>
      </c>
      <c r="K18" s="3184" t="s">
        <v>3386</v>
      </c>
      <c r="L18" s="3184" t="s">
        <v>3503</v>
      </c>
      <c r="M18" s="3184">
        <v>12</v>
      </c>
      <c r="N18" s="3184" t="s">
        <v>633</v>
      </c>
      <c r="O18" s="3184">
        <v>2011</v>
      </c>
      <c r="P18" s="3184" t="s">
        <v>633</v>
      </c>
      <c r="Q18" s="3184" t="s">
        <v>633</v>
      </c>
      <c r="R18" s="3184">
        <v>73485</v>
      </c>
      <c r="S18" s="3184">
        <v>73452</v>
      </c>
      <c r="T18" s="3184">
        <v>5052763</v>
      </c>
      <c r="U18" s="3186">
        <v>44764</v>
      </c>
    </row>
    <row r="19" spans="1:21" ht="27" customHeight="1" thickBot="1">
      <c r="A19" s="3179">
        <v>18</v>
      </c>
      <c r="B19" s="3180" t="s">
        <v>3887</v>
      </c>
      <c r="C19" s="3179" t="s">
        <v>3947</v>
      </c>
      <c r="D19" s="3179" t="s">
        <v>3948</v>
      </c>
      <c r="E19" s="3179" t="s">
        <v>3890</v>
      </c>
      <c r="F19" s="3179" t="s">
        <v>3949</v>
      </c>
      <c r="G19" s="3179" t="s">
        <v>3494</v>
      </c>
      <c r="H19" s="3179" t="s">
        <v>3489</v>
      </c>
      <c r="I19" s="3179" t="s">
        <v>3495</v>
      </c>
      <c r="J19" s="3179">
        <v>89.19</v>
      </c>
      <c r="K19" s="3179" t="s">
        <v>3386</v>
      </c>
      <c r="L19" s="3179" t="s">
        <v>3496</v>
      </c>
      <c r="M19" s="3179">
        <v>16</v>
      </c>
      <c r="N19" s="3179" t="s">
        <v>633</v>
      </c>
      <c r="O19" s="3179">
        <v>2006</v>
      </c>
      <c r="P19" s="3179" t="s">
        <v>633</v>
      </c>
      <c r="Q19" s="3179" t="s">
        <v>633</v>
      </c>
      <c r="R19" s="3179">
        <v>59087</v>
      </c>
      <c r="S19" s="3179">
        <v>55407</v>
      </c>
      <c r="T19" s="3179">
        <v>4941750</v>
      </c>
      <c r="U19" s="3181">
        <v>44761</v>
      </c>
    </row>
    <row r="20" spans="1:21" s="3197"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4">
        <v>25</v>
      </c>
      <c r="B26" s="3185" t="s">
        <v>3887</v>
      </c>
      <c r="C26" s="3184" t="s">
        <v>3970</v>
      </c>
      <c r="D26" s="3184" t="s">
        <v>3971</v>
      </c>
      <c r="E26" s="3184" t="s">
        <v>3890</v>
      </c>
      <c r="F26" s="3184" t="s">
        <v>3972</v>
      </c>
      <c r="G26" s="3184" t="s">
        <v>3502</v>
      </c>
      <c r="H26" s="3184" t="s">
        <v>3489</v>
      </c>
      <c r="I26" s="3184" t="s">
        <v>3498</v>
      </c>
      <c r="J26" s="3184">
        <v>77.58</v>
      </c>
      <c r="K26" s="3184" t="s">
        <v>3386</v>
      </c>
      <c r="L26" s="3184" t="s">
        <v>3933</v>
      </c>
      <c r="M26" s="3184">
        <v>11</v>
      </c>
      <c r="N26" s="3184">
        <v>2011</v>
      </c>
      <c r="O26" s="3184" t="s">
        <v>633</v>
      </c>
      <c r="P26" s="3184" t="s">
        <v>633</v>
      </c>
      <c r="Q26" s="3184" t="s">
        <v>633</v>
      </c>
      <c r="R26" s="3184">
        <v>71926</v>
      </c>
      <c r="S26" s="3184">
        <v>65319</v>
      </c>
      <c r="T26" s="3184">
        <v>5067448</v>
      </c>
      <c r="U26" s="3186">
        <v>44674</v>
      </c>
    </row>
    <row r="27" spans="1:21" ht="27" hidden="1" customHeight="1" thickBot="1">
      <c r="A27" s="3184">
        <v>26</v>
      </c>
      <c r="B27" s="3185" t="s">
        <v>3887</v>
      </c>
      <c r="C27" s="3184" t="s">
        <v>3973</v>
      </c>
      <c r="D27" s="3184" t="s">
        <v>3974</v>
      </c>
      <c r="E27" s="3184" t="s">
        <v>3890</v>
      </c>
      <c r="F27" s="3184" t="s">
        <v>3975</v>
      </c>
      <c r="G27" s="3184" t="s">
        <v>3493</v>
      </c>
      <c r="H27" s="3184" t="s">
        <v>3489</v>
      </c>
      <c r="I27" s="3184" t="s">
        <v>3490</v>
      </c>
      <c r="J27" s="3184">
        <v>72.59</v>
      </c>
      <c r="K27" s="3184" t="s">
        <v>3386</v>
      </c>
      <c r="L27" s="3184">
        <v>7</v>
      </c>
      <c r="M27" s="3184">
        <v>3</v>
      </c>
      <c r="N27" s="3184">
        <v>1999</v>
      </c>
      <c r="O27" s="3184" t="s">
        <v>633</v>
      </c>
      <c r="P27" s="3184" t="s">
        <v>633</v>
      </c>
      <c r="Q27" s="3184" t="s">
        <v>633</v>
      </c>
      <c r="R27" s="3184">
        <v>57859</v>
      </c>
      <c r="S27" s="3184">
        <v>55210</v>
      </c>
      <c r="T27" s="3184">
        <v>4007694</v>
      </c>
      <c r="U27" s="3186">
        <v>44642</v>
      </c>
    </row>
    <row r="28" spans="1:21" ht="27" customHeight="1" thickBot="1">
      <c r="A28" s="3179">
        <v>27</v>
      </c>
      <c r="B28" s="3180" t="s">
        <v>3887</v>
      </c>
      <c r="C28" s="3179" t="s">
        <v>3976</v>
      </c>
      <c r="D28" s="3179" t="s">
        <v>3977</v>
      </c>
      <c r="E28" s="3179" t="s">
        <v>3890</v>
      </c>
      <c r="F28" s="3179" t="s">
        <v>3978</v>
      </c>
      <c r="G28" s="3179" t="s">
        <v>3494</v>
      </c>
      <c r="H28" s="3179" t="s">
        <v>3489</v>
      </c>
      <c r="I28" s="3179" t="s">
        <v>3498</v>
      </c>
      <c r="J28" s="3179">
        <v>83.43</v>
      </c>
      <c r="K28" s="3179" t="s">
        <v>3386</v>
      </c>
      <c r="L28" s="3179" t="s">
        <v>3499</v>
      </c>
      <c r="M28" s="3179">
        <v>14</v>
      </c>
      <c r="N28" s="3179">
        <v>2005</v>
      </c>
      <c r="O28" s="3179" t="s">
        <v>633</v>
      </c>
      <c r="P28" s="3179" t="s">
        <v>633</v>
      </c>
      <c r="Q28" s="3179" t="s">
        <v>633</v>
      </c>
      <c r="R28" s="3179">
        <v>56095</v>
      </c>
      <c r="S28" s="3179">
        <v>56110</v>
      </c>
      <c r="T28" s="3179">
        <v>4681257</v>
      </c>
      <c r="U28" s="3181">
        <v>44653</v>
      </c>
    </row>
    <row r="29" spans="1:21" ht="27" customHeight="1" thickBot="1">
      <c r="A29" s="3179">
        <v>28</v>
      </c>
      <c r="B29" s="3180" t="s">
        <v>3887</v>
      </c>
      <c r="C29" s="3179" t="s">
        <v>3979</v>
      </c>
      <c r="D29" s="3179" t="s">
        <v>3980</v>
      </c>
      <c r="E29" s="3179" t="s">
        <v>3890</v>
      </c>
      <c r="F29" s="3179" t="s">
        <v>3981</v>
      </c>
      <c r="G29" s="3179" t="s">
        <v>3494</v>
      </c>
      <c r="H29" s="3179" t="s">
        <v>3489</v>
      </c>
      <c r="I29" s="3179" t="s">
        <v>3498</v>
      </c>
      <c r="J29" s="3179">
        <v>88.43</v>
      </c>
      <c r="K29" s="3179" t="s">
        <v>3386</v>
      </c>
      <c r="L29" s="3179">
        <v>22</v>
      </c>
      <c r="M29" s="3179">
        <v>2</v>
      </c>
      <c r="N29" s="3179">
        <v>2005</v>
      </c>
      <c r="O29" s="3179" t="s">
        <v>633</v>
      </c>
      <c r="P29" s="3179" t="s">
        <v>633</v>
      </c>
      <c r="Q29" s="3179" t="s">
        <v>633</v>
      </c>
      <c r="R29" s="3179">
        <v>0</v>
      </c>
      <c r="S29" s="3179">
        <v>52421</v>
      </c>
      <c r="T29" s="3179">
        <v>4635589</v>
      </c>
      <c r="U29" s="3181">
        <v>44631</v>
      </c>
    </row>
    <row r="30" spans="1:21" ht="27" customHeight="1" thickBot="1">
      <c r="A30" s="3179">
        <v>29</v>
      </c>
      <c r="B30" s="3180" t="s">
        <v>3887</v>
      </c>
      <c r="C30" s="3179" t="s">
        <v>3982</v>
      </c>
      <c r="D30" s="3179" t="s">
        <v>3983</v>
      </c>
      <c r="E30" s="3179" t="s">
        <v>3890</v>
      </c>
      <c r="F30" s="3179" t="s">
        <v>3984</v>
      </c>
      <c r="G30" s="3179" t="s">
        <v>3494</v>
      </c>
      <c r="H30" s="3179" t="s">
        <v>3489</v>
      </c>
      <c r="I30" s="3179" t="s">
        <v>3495</v>
      </c>
      <c r="J30" s="3179">
        <v>101.82</v>
      </c>
      <c r="K30" s="3179" t="s">
        <v>3386</v>
      </c>
      <c r="L30" s="3179" t="s">
        <v>3985</v>
      </c>
      <c r="M30" s="3179">
        <v>8</v>
      </c>
      <c r="N30" s="3179">
        <v>2006</v>
      </c>
      <c r="O30" s="3179" t="s">
        <v>633</v>
      </c>
      <c r="P30" s="3179" t="s">
        <v>633</v>
      </c>
      <c r="Q30" s="3179" t="s">
        <v>633</v>
      </c>
      <c r="R30" s="3179">
        <v>54852</v>
      </c>
      <c r="S30" s="3179">
        <v>52272</v>
      </c>
      <c r="T30" s="3179">
        <v>5322335</v>
      </c>
      <c r="U30" s="3181">
        <v>44623</v>
      </c>
    </row>
    <row r="31" spans="1:21" ht="27" hidden="1" customHeight="1" thickBot="1">
      <c r="A31" s="3184">
        <v>30</v>
      </c>
      <c r="B31" s="3185" t="s">
        <v>3887</v>
      </c>
      <c r="C31" s="3184" t="s">
        <v>3986</v>
      </c>
      <c r="D31" s="3184" t="s">
        <v>3987</v>
      </c>
      <c r="E31" s="3184" t="s">
        <v>3890</v>
      </c>
      <c r="F31" s="3184" t="s">
        <v>3988</v>
      </c>
      <c r="G31" s="3184" t="s">
        <v>3502</v>
      </c>
      <c r="H31" s="3184" t="s">
        <v>3489</v>
      </c>
      <c r="I31" s="3184" t="s">
        <v>3498</v>
      </c>
      <c r="J31" s="3184">
        <v>92.2</v>
      </c>
      <c r="K31" s="3184" t="s">
        <v>3386</v>
      </c>
      <c r="L31" s="3184" t="s">
        <v>3503</v>
      </c>
      <c r="M31" s="3184">
        <v>23</v>
      </c>
      <c r="N31" s="3184" t="s">
        <v>633</v>
      </c>
      <c r="O31" s="3184">
        <v>2011</v>
      </c>
      <c r="P31" s="3184" t="s">
        <v>633</v>
      </c>
      <c r="Q31" s="3184" t="s">
        <v>633</v>
      </c>
      <c r="R31" s="3184">
        <v>71800</v>
      </c>
      <c r="S31" s="3184">
        <v>66557</v>
      </c>
      <c r="T31" s="3184">
        <v>6136555</v>
      </c>
      <c r="U31" s="3186">
        <v>44616</v>
      </c>
    </row>
    <row r="32" spans="1:21" ht="27" customHeight="1" thickBot="1">
      <c r="A32" s="3194">
        <v>31</v>
      </c>
      <c r="B32" s="3195" t="s">
        <v>3887</v>
      </c>
      <c r="C32" s="3194" t="s">
        <v>3989</v>
      </c>
      <c r="D32" s="3194" t="s">
        <v>3990</v>
      </c>
      <c r="E32" s="3194" t="s">
        <v>3890</v>
      </c>
      <c r="F32" s="3194" t="s">
        <v>3991</v>
      </c>
      <c r="G32" s="3194" t="s">
        <v>3494</v>
      </c>
      <c r="H32" s="3194" t="s">
        <v>3992</v>
      </c>
      <c r="I32" s="3194" t="s">
        <v>3498</v>
      </c>
      <c r="J32" s="3194">
        <v>89.5</v>
      </c>
      <c r="K32" s="3194" t="s">
        <v>3386</v>
      </c>
      <c r="L32" s="3194" t="s">
        <v>3499</v>
      </c>
      <c r="M32" s="3194">
        <v>13</v>
      </c>
      <c r="N32" s="3194">
        <v>2005</v>
      </c>
      <c r="O32" s="3194" t="s">
        <v>633</v>
      </c>
      <c r="P32" s="3194" t="s">
        <v>633</v>
      </c>
      <c r="Q32" s="3194" t="s">
        <v>633</v>
      </c>
      <c r="R32" s="3194">
        <v>55028</v>
      </c>
      <c r="S32" s="3194">
        <v>52510</v>
      </c>
      <c r="T32" s="3194">
        <v>4699645</v>
      </c>
      <c r="U32" s="3196">
        <v>44610</v>
      </c>
    </row>
    <row r="33" spans="1:21" ht="27" hidden="1" customHeight="1" thickBot="1">
      <c r="A33" s="3184">
        <v>32</v>
      </c>
      <c r="B33" s="3185" t="s">
        <v>3887</v>
      </c>
      <c r="C33" s="3184" t="s">
        <v>3993</v>
      </c>
      <c r="D33" s="3184" t="s">
        <v>3994</v>
      </c>
      <c r="E33" s="3184" t="s">
        <v>3890</v>
      </c>
      <c r="F33" s="3184" t="s">
        <v>3995</v>
      </c>
      <c r="G33" s="3184" t="s">
        <v>3493</v>
      </c>
      <c r="H33" s="3184" t="s">
        <v>3489</v>
      </c>
      <c r="I33" s="3184" t="s">
        <v>3490</v>
      </c>
      <c r="J33" s="3184">
        <v>101.95</v>
      </c>
      <c r="K33" s="3184" t="s">
        <v>3386</v>
      </c>
      <c r="L33" s="3184">
        <v>7</v>
      </c>
      <c r="M33" s="3187">
        <v>45450</v>
      </c>
      <c r="N33" s="3184">
        <v>1999</v>
      </c>
      <c r="O33" s="3184" t="s">
        <v>633</v>
      </c>
      <c r="P33" s="3184" t="s">
        <v>633</v>
      </c>
      <c r="Q33" s="3184" t="s">
        <v>633</v>
      </c>
      <c r="R33" s="3184">
        <v>43355</v>
      </c>
      <c r="S33" s="3184">
        <v>43353</v>
      </c>
      <c r="T33" s="3184">
        <v>4419838</v>
      </c>
      <c r="U33" s="3186">
        <v>44568</v>
      </c>
    </row>
    <row r="34" spans="1:21" ht="27" customHeight="1" thickBot="1">
      <c r="A34" s="3179">
        <v>33</v>
      </c>
      <c r="B34" s="3180" t="s">
        <v>3887</v>
      </c>
      <c r="C34" s="3179" t="s">
        <v>3996</v>
      </c>
      <c r="D34" s="3179" t="s">
        <v>3997</v>
      </c>
      <c r="E34" s="3179" t="s">
        <v>3890</v>
      </c>
      <c r="F34" s="3179" t="s">
        <v>3998</v>
      </c>
      <c r="G34" s="3179" t="s">
        <v>3494</v>
      </c>
      <c r="H34" s="3179" t="s">
        <v>3489</v>
      </c>
      <c r="I34" s="3179" t="s">
        <v>3495</v>
      </c>
      <c r="J34" s="3179">
        <v>102.08</v>
      </c>
      <c r="K34" s="3179" t="s">
        <v>3386</v>
      </c>
      <c r="L34" s="3179">
        <v>14</v>
      </c>
      <c r="M34" s="3179">
        <v>6</v>
      </c>
      <c r="N34" s="3179">
        <v>2006</v>
      </c>
      <c r="O34" s="3179" t="s">
        <v>633</v>
      </c>
      <c r="P34" s="3179" t="s">
        <v>633</v>
      </c>
      <c r="Q34" s="3179" t="s">
        <v>633</v>
      </c>
      <c r="R34" s="3179">
        <v>53536</v>
      </c>
      <c r="S34" s="3179">
        <v>52484</v>
      </c>
      <c r="T34" s="3179">
        <v>5357567</v>
      </c>
      <c r="U34" s="3181">
        <v>44540</v>
      </c>
    </row>
    <row r="35" spans="1:21" s="3197"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7"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7"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79">
        <v>37</v>
      </c>
      <c r="B38" s="3180" t="s">
        <v>3887</v>
      </c>
      <c r="C38" s="3179" t="s">
        <v>4008</v>
      </c>
      <c r="D38" s="3179" t="s">
        <v>3980</v>
      </c>
      <c r="E38" s="3179" t="s">
        <v>3890</v>
      </c>
      <c r="F38" s="3179" t="s">
        <v>4009</v>
      </c>
      <c r="G38" s="3179" t="s">
        <v>3494</v>
      </c>
      <c r="H38" s="3179" t="s">
        <v>3489</v>
      </c>
      <c r="I38" s="3179" t="s">
        <v>3495</v>
      </c>
      <c r="J38" s="3179">
        <v>83.29</v>
      </c>
      <c r="K38" s="3179" t="s">
        <v>3386</v>
      </c>
      <c r="L38" s="3179" t="s">
        <v>3499</v>
      </c>
      <c r="M38" s="3179">
        <v>1</v>
      </c>
      <c r="N38" s="3179">
        <v>2006</v>
      </c>
      <c r="O38" s="3179" t="s">
        <v>633</v>
      </c>
      <c r="P38" s="3179" t="s">
        <v>633</v>
      </c>
      <c r="Q38" s="3179" t="s">
        <v>633</v>
      </c>
      <c r="R38" s="3179">
        <v>0</v>
      </c>
      <c r="S38" s="3179">
        <v>52971</v>
      </c>
      <c r="T38" s="3179">
        <v>4411955</v>
      </c>
      <c r="U38" s="3181">
        <v>44419</v>
      </c>
    </row>
    <row r="39" spans="1:21" ht="27" hidden="1" customHeight="1" thickBot="1">
      <c r="A39" s="3184">
        <v>38</v>
      </c>
      <c r="B39" s="3185" t="s">
        <v>3887</v>
      </c>
      <c r="C39" s="3184" t="s">
        <v>4010</v>
      </c>
      <c r="D39" s="3184" t="s">
        <v>4011</v>
      </c>
      <c r="E39" s="3184" t="s">
        <v>3890</v>
      </c>
      <c r="F39" s="3184" t="s">
        <v>4012</v>
      </c>
      <c r="G39" s="3184" t="s">
        <v>3502</v>
      </c>
      <c r="H39" s="3184" t="s">
        <v>3919</v>
      </c>
      <c r="I39" s="3184" t="s">
        <v>3498</v>
      </c>
      <c r="J39" s="3184">
        <v>93.69</v>
      </c>
      <c r="K39" s="3184" t="s">
        <v>3386</v>
      </c>
      <c r="L39" s="3184" t="s">
        <v>3503</v>
      </c>
      <c r="M39" s="3184">
        <v>19</v>
      </c>
      <c r="N39" s="3184" t="s">
        <v>633</v>
      </c>
      <c r="O39" s="3184">
        <v>2011</v>
      </c>
      <c r="P39" s="3184" t="s">
        <v>633</v>
      </c>
      <c r="Q39" s="3184" t="s">
        <v>633</v>
      </c>
      <c r="R39" s="3184">
        <v>70445</v>
      </c>
      <c r="S39" s="3184">
        <v>61804</v>
      </c>
      <c r="T39" s="3184">
        <v>5790417</v>
      </c>
      <c r="U39" s="3186">
        <v>44405</v>
      </c>
    </row>
    <row r="40" spans="1:21" ht="27" hidden="1" customHeight="1" thickBot="1">
      <c r="A40" s="3184">
        <v>39</v>
      </c>
      <c r="B40" s="3185" t="s">
        <v>3887</v>
      </c>
      <c r="C40" s="3184" t="s">
        <v>4013</v>
      </c>
      <c r="D40" s="3184" t="s">
        <v>4014</v>
      </c>
      <c r="E40" s="3184" t="s">
        <v>3890</v>
      </c>
      <c r="F40" s="3184" t="s">
        <v>4015</v>
      </c>
      <c r="G40" s="3184" t="s">
        <v>3493</v>
      </c>
      <c r="H40" s="3184" t="s">
        <v>3489</v>
      </c>
      <c r="I40" s="3184" t="s">
        <v>3490</v>
      </c>
      <c r="J40" s="3184">
        <v>101.95</v>
      </c>
      <c r="K40" s="3184" t="s">
        <v>3386</v>
      </c>
      <c r="L40" s="3184">
        <v>7</v>
      </c>
      <c r="M40" s="3187">
        <v>45450</v>
      </c>
      <c r="N40" s="3184">
        <v>1999</v>
      </c>
      <c r="O40" s="3184" t="s">
        <v>633</v>
      </c>
      <c r="P40" s="3184" t="s">
        <v>633</v>
      </c>
      <c r="Q40" s="3184" t="s">
        <v>633</v>
      </c>
      <c r="R40" s="3184">
        <v>45120</v>
      </c>
      <c r="S40" s="3184">
        <v>45014</v>
      </c>
      <c r="T40" s="3184">
        <v>4589177</v>
      </c>
      <c r="U40" s="3186">
        <v>44378</v>
      </c>
    </row>
    <row r="41" spans="1:21" ht="27" customHeight="1" thickBot="1">
      <c r="A41" s="3179">
        <v>40</v>
      </c>
      <c r="B41" s="3180" t="s">
        <v>3887</v>
      </c>
      <c r="C41" s="3179" t="s">
        <v>4016</v>
      </c>
      <c r="D41" s="3179" t="s">
        <v>4017</v>
      </c>
      <c r="E41" s="3179" t="s">
        <v>3890</v>
      </c>
      <c r="F41" s="3179" t="s">
        <v>4018</v>
      </c>
      <c r="G41" s="3179" t="s">
        <v>3494</v>
      </c>
      <c r="H41" s="3179" t="s">
        <v>3489</v>
      </c>
      <c r="I41" s="3179" t="s">
        <v>3495</v>
      </c>
      <c r="J41" s="3179">
        <v>101.08</v>
      </c>
      <c r="K41" s="3179" t="s">
        <v>3386</v>
      </c>
      <c r="L41" s="3179" t="s">
        <v>3985</v>
      </c>
      <c r="M41" s="3179">
        <v>5</v>
      </c>
      <c r="N41" s="3179">
        <v>2006</v>
      </c>
      <c r="O41" s="3179" t="s">
        <v>633</v>
      </c>
      <c r="P41" s="3179" t="s">
        <v>633</v>
      </c>
      <c r="Q41" s="3179" t="s">
        <v>633</v>
      </c>
      <c r="R41" s="3179">
        <v>50455</v>
      </c>
      <c r="S41" s="3179">
        <v>47961</v>
      </c>
      <c r="T41" s="3179">
        <v>4847898</v>
      </c>
      <c r="U41" s="3181">
        <v>44370</v>
      </c>
    </row>
    <row r="42" spans="1:21" ht="27" customHeight="1" thickBot="1">
      <c r="A42" s="3179">
        <v>41</v>
      </c>
      <c r="B42" s="3180" t="s">
        <v>3887</v>
      </c>
      <c r="C42" s="3179" t="s">
        <v>4019</v>
      </c>
      <c r="D42" s="3179" t="s">
        <v>4020</v>
      </c>
      <c r="E42" s="3179" t="s">
        <v>3890</v>
      </c>
      <c r="F42" s="3179" t="s">
        <v>4021</v>
      </c>
      <c r="G42" s="3179" t="s">
        <v>3494</v>
      </c>
      <c r="H42" s="3179" t="s">
        <v>3489</v>
      </c>
      <c r="I42" s="3179" t="s">
        <v>3495</v>
      </c>
      <c r="J42" s="3179">
        <v>103.3</v>
      </c>
      <c r="K42" s="3179" t="s">
        <v>3386</v>
      </c>
      <c r="L42" s="3179" t="s">
        <v>3496</v>
      </c>
      <c r="M42" s="3179">
        <v>5</v>
      </c>
      <c r="N42" s="3179" t="s">
        <v>633</v>
      </c>
      <c r="O42" s="3179">
        <v>2005</v>
      </c>
      <c r="P42" s="3179" t="s">
        <v>633</v>
      </c>
      <c r="Q42" s="3179" t="s">
        <v>633</v>
      </c>
      <c r="R42" s="3179">
        <v>51016</v>
      </c>
      <c r="S42" s="3179">
        <v>50487</v>
      </c>
      <c r="T42" s="3179">
        <v>5215307</v>
      </c>
      <c r="U42" s="3181">
        <v>44363</v>
      </c>
    </row>
    <row r="43" spans="1:21" s="3197"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79">
        <v>43</v>
      </c>
      <c r="B44" s="3180" t="s">
        <v>3887</v>
      </c>
      <c r="C44" s="3179" t="s">
        <v>4025</v>
      </c>
      <c r="D44" s="3179" t="s">
        <v>4026</v>
      </c>
      <c r="E44" s="3179" t="s">
        <v>3890</v>
      </c>
      <c r="F44" s="3179" t="s">
        <v>4027</v>
      </c>
      <c r="G44" s="3179" t="s">
        <v>3494</v>
      </c>
      <c r="H44" s="3179" t="s">
        <v>3489</v>
      </c>
      <c r="I44" s="3179" t="s">
        <v>3495</v>
      </c>
      <c r="J44" s="3179">
        <v>88.68</v>
      </c>
      <c r="K44" s="3179" t="s">
        <v>3386</v>
      </c>
      <c r="L44" s="3179" t="s">
        <v>3499</v>
      </c>
      <c r="M44" s="3179">
        <v>3</v>
      </c>
      <c r="N44" s="3179">
        <v>2005</v>
      </c>
      <c r="O44" s="3179" t="s">
        <v>633</v>
      </c>
      <c r="P44" s="3179" t="s">
        <v>633</v>
      </c>
      <c r="Q44" s="3179" t="s">
        <v>633</v>
      </c>
      <c r="R44" s="3179">
        <v>56270</v>
      </c>
      <c r="S44" s="3179">
        <v>47830</v>
      </c>
      <c r="T44" s="3179">
        <v>4241564</v>
      </c>
      <c r="U44" s="3181">
        <v>44330</v>
      </c>
    </row>
    <row r="45" spans="1:21" ht="27" customHeight="1" thickBot="1">
      <c r="A45" s="3179">
        <v>44</v>
      </c>
      <c r="B45" s="3180" t="s">
        <v>3887</v>
      </c>
      <c r="C45" s="3179" t="s">
        <v>4028</v>
      </c>
      <c r="D45" s="3179" t="s">
        <v>4029</v>
      </c>
      <c r="E45" s="3179" t="s">
        <v>3890</v>
      </c>
      <c r="F45" s="3179" t="s">
        <v>4030</v>
      </c>
      <c r="G45" s="3179" t="s">
        <v>3494</v>
      </c>
      <c r="H45" s="3179" t="s">
        <v>3489</v>
      </c>
      <c r="I45" s="3179" t="s">
        <v>3498</v>
      </c>
      <c r="J45" s="3179">
        <v>100.82</v>
      </c>
      <c r="K45" s="3179" t="s">
        <v>3386</v>
      </c>
      <c r="L45" s="3179" t="s">
        <v>4031</v>
      </c>
      <c r="M45" s="3179">
        <v>3</v>
      </c>
      <c r="N45" s="3179">
        <v>2006</v>
      </c>
      <c r="O45" s="3179" t="s">
        <v>633</v>
      </c>
      <c r="P45" s="3179" t="s">
        <v>633</v>
      </c>
      <c r="Q45" s="3179" t="s">
        <v>633</v>
      </c>
      <c r="R45" s="3179">
        <v>54553</v>
      </c>
      <c r="S45" s="3179">
        <v>48770</v>
      </c>
      <c r="T45" s="3179">
        <v>4916991</v>
      </c>
      <c r="U45" s="3181">
        <v>44307</v>
      </c>
    </row>
    <row r="46" spans="1:21" ht="27" hidden="1" customHeight="1" thickBot="1">
      <c r="A46" s="3184">
        <v>45</v>
      </c>
      <c r="B46" s="3185" t="s">
        <v>3887</v>
      </c>
      <c r="C46" s="3184" t="s">
        <v>4032</v>
      </c>
      <c r="D46" s="3184" t="s">
        <v>4033</v>
      </c>
      <c r="E46" s="3184" t="s">
        <v>3890</v>
      </c>
      <c r="F46" s="3184" t="s">
        <v>4034</v>
      </c>
      <c r="G46" s="3184" t="s">
        <v>3493</v>
      </c>
      <c r="H46" s="3184" t="s">
        <v>3489</v>
      </c>
      <c r="I46" s="3184" t="s">
        <v>3490</v>
      </c>
      <c r="J46" s="3184">
        <v>82.04</v>
      </c>
      <c r="K46" s="3184" t="s">
        <v>3386</v>
      </c>
      <c r="L46" s="3184" t="s">
        <v>4035</v>
      </c>
      <c r="M46" s="3184">
        <v>2</v>
      </c>
      <c r="N46" s="3184">
        <v>1998</v>
      </c>
      <c r="O46" s="3184" t="s">
        <v>633</v>
      </c>
      <c r="P46" s="3184" t="s">
        <v>633</v>
      </c>
      <c r="Q46" s="3184" t="s">
        <v>633</v>
      </c>
      <c r="R46" s="3184">
        <v>58508</v>
      </c>
      <c r="S46" s="3184">
        <v>54838</v>
      </c>
      <c r="T46" s="3184">
        <v>4498910</v>
      </c>
      <c r="U46" s="3186">
        <v>44287</v>
      </c>
    </row>
    <row r="47" spans="1:21" ht="27" hidden="1" customHeight="1" thickBot="1">
      <c r="A47" s="3188">
        <v>46</v>
      </c>
      <c r="B47" s="3189" t="s">
        <v>3887</v>
      </c>
      <c r="C47" s="3188" t="s">
        <v>4036</v>
      </c>
      <c r="D47" s="3188" t="s">
        <v>4037</v>
      </c>
      <c r="E47" s="3188" t="s">
        <v>3890</v>
      </c>
      <c r="F47" s="3188" t="s">
        <v>4038</v>
      </c>
      <c r="G47" s="3188" t="s">
        <v>3493</v>
      </c>
      <c r="H47" s="3188" t="s">
        <v>3489</v>
      </c>
      <c r="I47" s="3188" t="s">
        <v>3490</v>
      </c>
      <c r="J47" s="3188">
        <v>45.66</v>
      </c>
      <c r="K47" s="3188" t="s">
        <v>3386</v>
      </c>
      <c r="L47" s="3188">
        <v>6</v>
      </c>
      <c r="M47" s="3188">
        <v>5</v>
      </c>
      <c r="N47" s="3188" t="s">
        <v>633</v>
      </c>
      <c r="O47" s="3188">
        <v>1995</v>
      </c>
      <c r="P47" s="3188" t="s">
        <v>633</v>
      </c>
      <c r="Q47" s="3188" t="s">
        <v>633</v>
      </c>
      <c r="R47" s="3188">
        <v>58038</v>
      </c>
      <c r="S47" s="3188">
        <v>54901</v>
      </c>
      <c r="T47" s="3188">
        <v>2506780</v>
      </c>
      <c r="U47" s="3190">
        <v>44278</v>
      </c>
    </row>
    <row r="48" spans="1:21" ht="27" hidden="1" customHeight="1" thickBot="1">
      <c r="A48" s="3184">
        <v>47</v>
      </c>
      <c r="B48" s="3185" t="s">
        <v>3887</v>
      </c>
      <c r="C48" s="3184" t="s">
        <v>4039</v>
      </c>
      <c r="D48" s="3184" t="s">
        <v>4040</v>
      </c>
      <c r="E48" s="3184" t="s">
        <v>3890</v>
      </c>
      <c r="F48" s="3184" t="s">
        <v>4041</v>
      </c>
      <c r="G48" s="3184" t="s">
        <v>3493</v>
      </c>
      <c r="H48" s="3184" t="s">
        <v>3489</v>
      </c>
      <c r="I48" s="3184" t="s">
        <v>3498</v>
      </c>
      <c r="J48" s="3184">
        <v>59.47</v>
      </c>
      <c r="K48" s="3184" t="s">
        <v>3386</v>
      </c>
      <c r="L48" s="3184">
        <v>6</v>
      </c>
      <c r="M48" s="3184">
        <v>5</v>
      </c>
      <c r="N48" s="3184" t="s">
        <v>633</v>
      </c>
      <c r="O48" s="3184">
        <v>1998</v>
      </c>
      <c r="P48" s="3184" t="s">
        <v>633</v>
      </c>
      <c r="Q48" s="3184" t="s">
        <v>633</v>
      </c>
      <c r="R48" s="3184">
        <v>57004</v>
      </c>
      <c r="S48" s="3184">
        <v>55810</v>
      </c>
      <c r="T48" s="3184">
        <v>3319021</v>
      </c>
      <c r="U48" s="3186">
        <v>44274</v>
      </c>
    </row>
    <row r="49" spans="1:21" ht="27" customHeight="1" thickBot="1">
      <c r="A49" s="3179">
        <v>48</v>
      </c>
      <c r="B49" s="3180" t="s">
        <v>3887</v>
      </c>
      <c r="C49" s="3179" t="s">
        <v>4042</v>
      </c>
      <c r="D49" s="3179" t="s">
        <v>3980</v>
      </c>
      <c r="E49" s="3179" t="s">
        <v>3890</v>
      </c>
      <c r="F49" s="3179" t="s">
        <v>4043</v>
      </c>
      <c r="G49" s="3179" t="s">
        <v>3494</v>
      </c>
      <c r="H49" s="3179" t="s">
        <v>3489</v>
      </c>
      <c r="I49" s="3179" t="s">
        <v>3495</v>
      </c>
      <c r="J49" s="3179">
        <v>101.48</v>
      </c>
      <c r="K49" s="3179" t="s">
        <v>3386</v>
      </c>
      <c r="L49" s="3179" t="s">
        <v>4044</v>
      </c>
      <c r="M49" s="3179">
        <v>10</v>
      </c>
      <c r="N49" s="3179">
        <v>2005</v>
      </c>
      <c r="O49" s="3179" t="s">
        <v>633</v>
      </c>
      <c r="P49" s="3179" t="s">
        <v>633</v>
      </c>
      <c r="Q49" s="3179" t="s">
        <v>633</v>
      </c>
      <c r="R49" s="3179">
        <v>44639</v>
      </c>
      <c r="S49" s="3179">
        <v>48163</v>
      </c>
      <c r="T49" s="3179">
        <v>4887581</v>
      </c>
      <c r="U49" s="3181">
        <v>44227</v>
      </c>
    </row>
    <row r="50" spans="1:21" ht="27" customHeight="1" thickBot="1">
      <c r="A50" s="3179">
        <v>49</v>
      </c>
      <c r="B50" s="3180" t="s">
        <v>3887</v>
      </c>
      <c r="C50" s="3179" t="s">
        <v>4045</v>
      </c>
      <c r="D50" s="3179" t="s">
        <v>4046</v>
      </c>
      <c r="E50" s="3179" t="s">
        <v>3890</v>
      </c>
      <c r="F50" s="3179" t="s">
        <v>4047</v>
      </c>
      <c r="G50" s="3179" t="s">
        <v>3494</v>
      </c>
      <c r="H50" s="3179" t="s">
        <v>3489</v>
      </c>
      <c r="I50" s="3179" t="s">
        <v>3495</v>
      </c>
      <c r="J50" s="3179">
        <v>94.37</v>
      </c>
      <c r="K50" s="3179" t="s">
        <v>3386</v>
      </c>
      <c r="L50" s="3179" t="s">
        <v>4048</v>
      </c>
      <c r="M50" s="3179">
        <v>11</v>
      </c>
      <c r="N50" s="3179" t="s">
        <v>633</v>
      </c>
      <c r="O50" s="3179">
        <v>2005</v>
      </c>
      <c r="P50" s="3179" t="s">
        <v>633</v>
      </c>
      <c r="Q50" s="3179" t="s">
        <v>633</v>
      </c>
      <c r="R50" s="3179">
        <v>0</v>
      </c>
      <c r="S50" s="3179">
        <v>49593</v>
      </c>
      <c r="T50" s="3179">
        <v>4680091</v>
      </c>
      <c r="U50" s="3181">
        <v>44168</v>
      </c>
    </row>
    <row r="51" spans="1:21" ht="27" customHeight="1" thickBot="1">
      <c r="A51" s="3179">
        <v>50</v>
      </c>
      <c r="B51" s="3180" t="s">
        <v>3887</v>
      </c>
      <c r="C51" s="3179" t="s">
        <v>4049</v>
      </c>
      <c r="D51" s="3179" t="s">
        <v>4050</v>
      </c>
      <c r="E51" s="3179" t="s">
        <v>3890</v>
      </c>
      <c r="F51" s="3179" t="s">
        <v>4051</v>
      </c>
      <c r="G51" s="3179" t="s">
        <v>3494</v>
      </c>
      <c r="H51" s="3179" t="s">
        <v>3489</v>
      </c>
      <c r="I51" s="3179" t="s">
        <v>3495</v>
      </c>
      <c r="J51" s="3179">
        <v>127.22</v>
      </c>
      <c r="K51" s="3179" t="s">
        <v>3386</v>
      </c>
      <c r="L51" s="3179" t="s">
        <v>4052</v>
      </c>
      <c r="M51" s="3179">
        <v>15</v>
      </c>
      <c r="N51" s="3179">
        <v>2006</v>
      </c>
      <c r="O51" s="3179" t="s">
        <v>633</v>
      </c>
      <c r="P51" s="3179" t="s">
        <v>633</v>
      </c>
      <c r="Q51" s="3179" t="s">
        <v>633</v>
      </c>
      <c r="R51" s="3179">
        <v>0</v>
      </c>
      <c r="S51" s="3179">
        <v>50656</v>
      </c>
      <c r="T51" s="3179">
        <v>6444456</v>
      </c>
      <c r="U51" s="3181">
        <v>44168</v>
      </c>
    </row>
    <row r="52" spans="1:21" ht="27" customHeight="1" thickBot="1">
      <c r="A52" s="3179">
        <v>51</v>
      </c>
      <c r="B52" s="3180" t="s">
        <v>3887</v>
      </c>
      <c r="C52" s="3179" t="s">
        <v>4053</v>
      </c>
      <c r="D52" s="3179" t="s">
        <v>4054</v>
      </c>
      <c r="E52" s="3179" t="s">
        <v>3890</v>
      </c>
      <c r="F52" s="3179" t="s">
        <v>4055</v>
      </c>
      <c r="G52" s="3179" t="s">
        <v>3494</v>
      </c>
      <c r="H52" s="3179" t="s">
        <v>3489</v>
      </c>
      <c r="I52" s="3179" t="s">
        <v>3498</v>
      </c>
      <c r="J52" s="3179">
        <v>125.02</v>
      </c>
      <c r="K52" s="3179" t="s">
        <v>3386</v>
      </c>
      <c r="L52" s="3179" t="s">
        <v>4031</v>
      </c>
      <c r="M52" s="3179">
        <v>11</v>
      </c>
      <c r="N52" s="3179">
        <v>2006</v>
      </c>
      <c r="O52" s="3179" t="s">
        <v>633</v>
      </c>
      <c r="P52" s="3179" t="s">
        <v>633</v>
      </c>
      <c r="Q52" s="3179" t="s">
        <v>633</v>
      </c>
      <c r="R52" s="3179">
        <v>0</v>
      </c>
      <c r="S52" s="3179">
        <v>46445</v>
      </c>
      <c r="T52" s="3179">
        <v>5806554</v>
      </c>
      <c r="U52" s="3181">
        <v>44159</v>
      </c>
    </row>
    <row r="53" spans="1:21" ht="27" customHeight="1" thickBot="1">
      <c r="A53" s="3179">
        <v>52</v>
      </c>
      <c r="B53" s="3180" t="s">
        <v>3887</v>
      </c>
      <c r="C53" s="3179" t="s">
        <v>4056</v>
      </c>
      <c r="D53" s="3179" t="s">
        <v>4057</v>
      </c>
      <c r="E53" s="3179" t="s">
        <v>3890</v>
      </c>
      <c r="F53" s="3179" t="s">
        <v>4058</v>
      </c>
      <c r="G53" s="3179" t="s">
        <v>3494</v>
      </c>
      <c r="H53" s="3179" t="s">
        <v>4059</v>
      </c>
      <c r="I53" s="3179" t="s">
        <v>3498</v>
      </c>
      <c r="J53" s="3179">
        <v>89.19</v>
      </c>
      <c r="K53" s="3179" t="s">
        <v>3386</v>
      </c>
      <c r="L53" s="3179" t="s">
        <v>3496</v>
      </c>
      <c r="M53" s="3179">
        <v>7</v>
      </c>
      <c r="N53" s="3179" t="s">
        <v>633</v>
      </c>
      <c r="O53" s="3179">
        <v>2005</v>
      </c>
      <c r="P53" s="3179" t="s">
        <v>633</v>
      </c>
      <c r="Q53" s="3179" t="s">
        <v>633</v>
      </c>
      <c r="R53" s="3179">
        <v>53593</v>
      </c>
      <c r="S53" s="3179">
        <v>45182</v>
      </c>
      <c r="T53" s="3179">
        <v>4029783</v>
      </c>
      <c r="U53" s="3181">
        <v>44078</v>
      </c>
    </row>
    <row r="54" spans="1:21" s="3197"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7" customFormat="1" ht="27" customHeight="1" thickBot="1">
      <c r="A55" s="3179">
        <v>54</v>
      </c>
      <c r="B55" s="3185" t="s">
        <v>3887</v>
      </c>
      <c r="C55" s="3184" t="s">
        <v>4062</v>
      </c>
      <c r="D55" s="3184" t="s">
        <v>4063</v>
      </c>
      <c r="E55" s="3179" t="s">
        <v>3890</v>
      </c>
      <c r="F55" s="3179" t="s">
        <v>4064</v>
      </c>
      <c r="G55" s="3179" t="s">
        <v>3494</v>
      </c>
      <c r="H55" s="3184" t="s">
        <v>3489</v>
      </c>
      <c r="I55" s="3179" t="s">
        <v>3495</v>
      </c>
      <c r="J55" s="3179">
        <v>96.85</v>
      </c>
      <c r="K55" s="3179" t="s">
        <v>3386</v>
      </c>
      <c r="L55" s="3179" t="s">
        <v>4052</v>
      </c>
      <c r="M55" s="3179">
        <v>6</v>
      </c>
      <c r="N55" s="3179" t="s">
        <v>633</v>
      </c>
      <c r="O55" s="3179">
        <v>2006</v>
      </c>
      <c r="P55" s="3184" t="s">
        <v>633</v>
      </c>
      <c r="Q55" s="3184" t="s">
        <v>633</v>
      </c>
      <c r="R55" s="3179">
        <v>52555</v>
      </c>
      <c r="S55" s="3179">
        <v>49865</v>
      </c>
      <c r="T55" s="3179">
        <v>4829425</v>
      </c>
      <c r="U55" s="3181">
        <v>44033</v>
      </c>
    </row>
    <row r="56" spans="1:21" ht="27" hidden="1" customHeight="1" thickBot="1">
      <c r="A56" s="3184">
        <v>55</v>
      </c>
      <c r="B56" s="3185" t="s">
        <v>3887</v>
      </c>
      <c r="C56" s="3184" t="s">
        <v>4065</v>
      </c>
      <c r="D56" s="3184" t="s">
        <v>4066</v>
      </c>
      <c r="E56" s="3184" t="s">
        <v>3890</v>
      </c>
      <c r="F56" s="3184" t="s">
        <v>4067</v>
      </c>
      <c r="G56" s="3184" t="s">
        <v>3493</v>
      </c>
      <c r="H56" s="3184" t="s">
        <v>3489</v>
      </c>
      <c r="I56" s="3184" t="s">
        <v>3490</v>
      </c>
      <c r="J56" s="3184">
        <v>78.22</v>
      </c>
      <c r="K56" s="3184" t="s">
        <v>3386</v>
      </c>
      <c r="L56" s="3184">
        <v>7</v>
      </c>
      <c r="M56" s="3184">
        <v>2</v>
      </c>
      <c r="N56" s="3184">
        <v>1999</v>
      </c>
      <c r="O56" s="3184" t="s">
        <v>633</v>
      </c>
      <c r="P56" s="3184" t="s">
        <v>633</v>
      </c>
      <c r="Q56" s="3184" t="s">
        <v>633</v>
      </c>
      <c r="R56" s="3184">
        <v>0</v>
      </c>
      <c r="S56" s="3184">
        <v>43074</v>
      </c>
      <c r="T56" s="3184">
        <v>3369248</v>
      </c>
      <c r="U56" s="3186">
        <v>43999</v>
      </c>
    </row>
    <row r="57" spans="1:21" s="3197" customFormat="1" ht="27" customHeight="1" thickBot="1">
      <c r="A57" s="3179">
        <v>56</v>
      </c>
      <c r="B57" s="3180" t="s">
        <v>3887</v>
      </c>
      <c r="C57" s="3179" t="s">
        <v>4068</v>
      </c>
      <c r="D57" s="3179" t="s">
        <v>4069</v>
      </c>
      <c r="E57" s="3179" t="s">
        <v>3890</v>
      </c>
      <c r="F57" s="3179" t="s">
        <v>4070</v>
      </c>
      <c r="G57" s="3179" t="s">
        <v>3494</v>
      </c>
      <c r="H57" s="3179" t="s">
        <v>3489</v>
      </c>
      <c r="I57" s="3179" t="s">
        <v>3495</v>
      </c>
      <c r="J57" s="3179">
        <v>76.87</v>
      </c>
      <c r="K57" s="3179" t="s">
        <v>3386</v>
      </c>
      <c r="L57" s="3179" t="s">
        <v>3499</v>
      </c>
      <c r="M57" s="3179">
        <v>1</v>
      </c>
      <c r="N57" s="3179">
        <v>2005</v>
      </c>
      <c r="O57" s="3179" t="s">
        <v>633</v>
      </c>
      <c r="P57" s="3179" t="s">
        <v>633</v>
      </c>
      <c r="Q57" s="3179" t="s">
        <v>633</v>
      </c>
      <c r="R57" s="3179">
        <v>44621</v>
      </c>
      <c r="S57" s="3179">
        <v>41854</v>
      </c>
      <c r="T57" s="3179">
        <v>3217317</v>
      </c>
      <c r="U57" s="3181">
        <v>43960</v>
      </c>
    </row>
    <row r="58" spans="1:21" ht="27" hidden="1" customHeight="1" thickBot="1">
      <c r="A58" s="3184">
        <v>57</v>
      </c>
      <c r="B58" s="3185" t="s">
        <v>3887</v>
      </c>
      <c r="C58" s="3184" t="s">
        <v>4071</v>
      </c>
      <c r="D58" s="3184" t="s">
        <v>4072</v>
      </c>
      <c r="E58" s="3184" t="s">
        <v>3890</v>
      </c>
      <c r="F58" s="3184" t="s">
        <v>4073</v>
      </c>
      <c r="G58" s="3184" t="s">
        <v>3493</v>
      </c>
      <c r="H58" s="3184" t="s">
        <v>3489</v>
      </c>
      <c r="I58" s="3184" t="s">
        <v>3490</v>
      </c>
      <c r="J58" s="3184">
        <v>78.22</v>
      </c>
      <c r="K58" s="3184" t="s">
        <v>3386</v>
      </c>
      <c r="L58" s="3184">
        <v>7</v>
      </c>
      <c r="M58" s="3184">
        <v>4</v>
      </c>
      <c r="N58" s="3184">
        <v>1999</v>
      </c>
      <c r="O58" s="3184" t="s">
        <v>633</v>
      </c>
      <c r="P58" s="3184" t="s">
        <v>633</v>
      </c>
      <c r="Q58" s="3184" t="s">
        <v>633</v>
      </c>
      <c r="R58" s="3184">
        <v>44746</v>
      </c>
      <c r="S58" s="3184">
        <v>44068</v>
      </c>
      <c r="T58" s="3184">
        <v>3446999</v>
      </c>
      <c r="U58" s="3186">
        <v>43838</v>
      </c>
    </row>
    <row r="59" spans="1:21" s="3197" customFormat="1" ht="27" customHeight="1" thickBot="1">
      <c r="A59" s="3179">
        <v>58</v>
      </c>
      <c r="B59" s="3180" t="s">
        <v>3887</v>
      </c>
      <c r="C59" s="3179" t="s">
        <v>4074</v>
      </c>
      <c r="D59" s="3179" t="s">
        <v>4075</v>
      </c>
      <c r="E59" s="3179" t="s">
        <v>3890</v>
      </c>
      <c r="F59" s="3179" t="s">
        <v>4076</v>
      </c>
      <c r="G59" s="3179" t="s">
        <v>3494</v>
      </c>
      <c r="H59" s="3179" t="s">
        <v>3489</v>
      </c>
      <c r="I59" s="3179" t="s">
        <v>3498</v>
      </c>
      <c r="J59" s="3179">
        <v>88.43</v>
      </c>
      <c r="K59" s="3179" t="s">
        <v>3386</v>
      </c>
      <c r="L59" s="3179">
        <v>22</v>
      </c>
      <c r="M59" s="3179">
        <v>1</v>
      </c>
      <c r="N59" s="3179">
        <v>2005</v>
      </c>
      <c r="O59" s="3179" t="s">
        <v>633</v>
      </c>
      <c r="P59" s="3179" t="s">
        <v>633</v>
      </c>
      <c r="Q59" s="3179" t="s">
        <v>633</v>
      </c>
      <c r="R59" s="3179">
        <v>54619</v>
      </c>
      <c r="S59" s="3179">
        <v>51208</v>
      </c>
      <c r="T59" s="3179">
        <v>4528323</v>
      </c>
      <c r="U59" s="3181">
        <v>43817</v>
      </c>
    </row>
    <row r="60" spans="1:21" s="3197" customFormat="1" ht="27" customHeight="1" thickBot="1">
      <c r="A60" s="3179">
        <v>59</v>
      </c>
      <c r="B60" s="3180" t="s">
        <v>3887</v>
      </c>
      <c r="C60" s="3179" t="s">
        <v>4077</v>
      </c>
      <c r="D60" s="3179" t="s">
        <v>4078</v>
      </c>
      <c r="E60" s="3179" t="s">
        <v>3890</v>
      </c>
      <c r="F60" s="3179" t="s">
        <v>4079</v>
      </c>
      <c r="G60" s="3179" t="s">
        <v>3494</v>
      </c>
      <c r="H60" s="3179" t="s">
        <v>3489</v>
      </c>
      <c r="I60" s="3179" t="s">
        <v>3495</v>
      </c>
      <c r="J60" s="3179">
        <v>101.48</v>
      </c>
      <c r="K60" s="3179" t="s">
        <v>3386</v>
      </c>
      <c r="L60" s="3179" t="s">
        <v>4048</v>
      </c>
      <c r="M60" s="3179">
        <v>3</v>
      </c>
      <c r="N60" s="3179" t="s">
        <v>633</v>
      </c>
      <c r="O60" s="3179">
        <v>2005</v>
      </c>
      <c r="P60" s="3179" t="s">
        <v>633</v>
      </c>
      <c r="Q60" s="3179" t="s">
        <v>633</v>
      </c>
      <c r="R60" s="3179">
        <v>51045</v>
      </c>
      <c r="S60" s="3179">
        <v>48261</v>
      </c>
      <c r="T60" s="3179">
        <v>4897526</v>
      </c>
      <c r="U60" s="3181">
        <v>43792</v>
      </c>
    </row>
    <row r="61" spans="1:21" ht="27" hidden="1" customHeight="1" thickBot="1">
      <c r="A61" s="3184">
        <v>60</v>
      </c>
      <c r="B61" s="3185" t="s">
        <v>3887</v>
      </c>
      <c r="C61" s="3184" t="s">
        <v>4080</v>
      </c>
      <c r="D61" s="3184" t="s">
        <v>4081</v>
      </c>
      <c r="E61" s="3184" t="s">
        <v>3890</v>
      </c>
      <c r="F61" s="3184" t="s">
        <v>4082</v>
      </c>
      <c r="G61" s="3184" t="s">
        <v>3502</v>
      </c>
      <c r="H61" s="3184" t="s">
        <v>3489</v>
      </c>
      <c r="I61" s="3184" t="s">
        <v>3498</v>
      </c>
      <c r="J61" s="3184">
        <v>72.77</v>
      </c>
      <c r="K61" s="3184" t="s">
        <v>3386</v>
      </c>
      <c r="L61" s="3184" t="s">
        <v>3503</v>
      </c>
      <c r="M61" s="3184">
        <v>9</v>
      </c>
      <c r="N61" s="3184" t="s">
        <v>633</v>
      </c>
      <c r="O61" s="3184">
        <v>2011</v>
      </c>
      <c r="P61" s="3184" t="s">
        <v>633</v>
      </c>
      <c r="Q61" s="3184" t="s">
        <v>633</v>
      </c>
      <c r="R61" s="3184">
        <v>0</v>
      </c>
      <c r="S61" s="3184">
        <v>58049</v>
      </c>
      <c r="T61" s="3184">
        <v>4224226</v>
      </c>
      <c r="U61" s="3186">
        <v>43778</v>
      </c>
    </row>
    <row r="62" spans="1:21" ht="27" hidden="1" customHeight="1" thickBot="1">
      <c r="A62" s="3188">
        <v>61</v>
      </c>
      <c r="B62" s="3189" t="s">
        <v>3887</v>
      </c>
      <c r="C62" s="3188" t="s">
        <v>4083</v>
      </c>
      <c r="D62" s="3188" t="s">
        <v>4084</v>
      </c>
      <c r="E62" s="3188" t="s">
        <v>3890</v>
      </c>
      <c r="F62" s="3188" t="s">
        <v>4085</v>
      </c>
      <c r="G62" s="3188" t="s">
        <v>3493</v>
      </c>
      <c r="H62" s="3188" t="s">
        <v>3489</v>
      </c>
      <c r="I62" s="3188" t="s">
        <v>3490</v>
      </c>
      <c r="J62" s="3188">
        <v>97.76</v>
      </c>
      <c r="K62" s="3188" t="s">
        <v>3386</v>
      </c>
      <c r="L62" s="3188">
        <v>7</v>
      </c>
      <c r="M62" s="3188">
        <v>5</v>
      </c>
      <c r="N62" s="3188">
        <v>1996</v>
      </c>
      <c r="O62" s="3188" t="s">
        <v>633</v>
      </c>
      <c r="P62" s="3188" t="s">
        <v>633</v>
      </c>
      <c r="Q62" s="3188" t="s">
        <v>633</v>
      </c>
      <c r="R62" s="3188">
        <v>51299</v>
      </c>
      <c r="S62" s="3188">
        <v>48196</v>
      </c>
      <c r="T62" s="3188">
        <v>4711641</v>
      </c>
      <c r="U62" s="3190">
        <v>43770</v>
      </c>
    </row>
    <row r="63" spans="1:21" ht="27" hidden="1" customHeight="1" thickBot="1">
      <c r="A63" s="3184">
        <v>62</v>
      </c>
      <c r="B63" s="3185" t="s">
        <v>3887</v>
      </c>
      <c r="C63" s="3184" t="s">
        <v>4086</v>
      </c>
      <c r="D63" s="3184" t="s">
        <v>4087</v>
      </c>
      <c r="E63" s="3184" t="s">
        <v>3890</v>
      </c>
      <c r="F63" s="3184" t="s">
        <v>4088</v>
      </c>
      <c r="G63" s="3184" t="s">
        <v>3502</v>
      </c>
      <c r="H63" s="3184" t="s">
        <v>3489</v>
      </c>
      <c r="I63" s="3184" t="s">
        <v>3498</v>
      </c>
      <c r="J63" s="3184">
        <v>72.77</v>
      </c>
      <c r="K63" s="3184" t="s">
        <v>3386</v>
      </c>
      <c r="L63" s="3184" t="s">
        <v>3503</v>
      </c>
      <c r="M63" s="3184">
        <v>5</v>
      </c>
      <c r="N63" s="3184" t="s">
        <v>633</v>
      </c>
      <c r="O63" s="3184">
        <v>2011</v>
      </c>
      <c r="P63" s="3184" t="s">
        <v>633</v>
      </c>
      <c r="Q63" s="3184" t="s">
        <v>633</v>
      </c>
      <c r="R63" s="3184">
        <v>0</v>
      </c>
      <c r="S63" s="3184">
        <v>58629</v>
      </c>
      <c r="T63" s="3184">
        <v>4266432</v>
      </c>
      <c r="U63" s="3186">
        <v>43686</v>
      </c>
    </row>
    <row r="64" spans="1:21" ht="27" hidden="1" customHeight="1" thickBot="1">
      <c r="A64" s="3184">
        <v>63</v>
      </c>
      <c r="B64" s="3185" t="s">
        <v>3887</v>
      </c>
      <c r="C64" s="3184" t="s">
        <v>4089</v>
      </c>
      <c r="D64" s="3184" t="s">
        <v>4090</v>
      </c>
      <c r="E64" s="3184" t="s">
        <v>3890</v>
      </c>
      <c r="F64" s="3184" t="s">
        <v>4091</v>
      </c>
      <c r="G64" s="3184" t="s">
        <v>3493</v>
      </c>
      <c r="H64" s="3184" t="s">
        <v>3489</v>
      </c>
      <c r="I64" s="3184" t="s">
        <v>3490</v>
      </c>
      <c r="J64" s="3184">
        <v>72.59</v>
      </c>
      <c r="K64" s="3184" t="s">
        <v>3386</v>
      </c>
      <c r="L64" s="3184">
        <v>7</v>
      </c>
      <c r="M64" s="3184">
        <v>5</v>
      </c>
      <c r="N64" s="3184">
        <v>1999</v>
      </c>
      <c r="O64" s="3184" t="s">
        <v>633</v>
      </c>
      <c r="P64" s="3184" t="s">
        <v>633</v>
      </c>
      <c r="Q64" s="3184" t="s">
        <v>633</v>
      </c>
      <c r="R64" s="3184">
        <v>51247</v>
      </c>
      <c r="S64" s="3184">
        <v>49423</v>
      </c>
      <c r="T64" s="3184">
        <v>3587616</v>
      </c>
      <c r="U64" s="3186">
        <v>43679</v>
      </c>
    </row>
    <row r="65" spans="1:21" s="3197"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4">
        <v>65</v>
      </c>
      <c r="B66" s="3185" t="s">
        <v>3887</v>
      </c>
      <c r="C66" s="3184" t="s">
        <v>4095</v>
      </c>
      <c r="D66" s="3184" t="s">
        <v>4096</v>
      </c>
      <c r="E66" s="3184" t="s">
        <v>3890</v>
      </c>
      <c r="F66" s="3184" t="s">
        <v>4097</v>
      </c>
      <c r="G66" s="3184" t="s">
        <v>3493</v>
      </c>
      <c r="H66" s="3184" t="s">
        <v>3489</v>
      </c>
      <c r="I66" s="3184" t="s">
        <v>3490</v>
      </c>
      <c r="J66" s="3184">
        <v>45.66</v>
      </c>
      <c r="K66" s="3184" t="s">
        <v>3386</v>
      </c>
      <c r="L66" s="3184">
        <v>6</v>
      </c>
      <c r="M66" s="3184">
        <v>4</v>
      </c>
      <c r="N66" s="3184" t="s">
        <v>633</v>
      </c>
      <c r="O66" s="3184">
        <v>1996</v>
      </c>
      <c r="P66" s="3184" t="s">
        <v>633</v>
      </c>
      <c r="Q66" s="3184" t="s">
        <v>633</v>
      </c>
      <c r="R66" s="3184">
        <v>58914</v>
      </c>
      <c r="S66" s="3184">
        <v>55946</v>
      </c>
      <c r="T66" s="3184">
        <v>2554494</v>
      </c>
      <c r="U66" s="3186">
        <v>43595</v>
      </c>
    </row>
    <row r="67" spans="1:21" s="3197" customFormat="1" ht="27" customHeight="1" thickBot="1">
      <c r="A67" s="3179">
        <v>66</v>
      </c>
      <c r="B67" s="3185" t="s">
        <v>3887</v>
      </c>
      <c r="C67" s="3184" t="s">
        <v>4098</v>
      </c>
      <c r="D67" s="3184" t="s">
        <v>4099</v>
      </c>
      <c r="E67" s="3179" t="s">
        <v>3890</v>
      </c>
      <c r="F67" s="3179" t="s">
        <v>4100</v>
      </c>
      <c r="G67" s="3179" t="s">
        <v>3494</v>
      </c>
      <c r="H67" s="3184" t="s">
        <v>3489</v>
      </c>
      <c r="I67" s="3179" t="s">
        <v>3495</v>
      </c>
      <c r="J67" s="3179">
        <v>88.24</v>
      </c>
      <c r="K67" s="3179" t="s">
        <v>3386</v>
      </c>
      <c r="L67" s="3179" t="s">
        <v>3496</v>
      </c>
      <c r="M67" s="3179">
        <v>16</v>
      </c>
      <c r="N67" s="3179" t="s">
        <v>633</v>
      </c>
      <c r="O67" s="3179">
        <v>2005</v>
      </c>
      <c r="P67" s="3184" t="s">
        <v>633</v>
      </c>
      <c r="Q67" s="3184" t="s">
        <v>633</v>
      </c>
      <c r="R67" s="3179">
        <v>58930</v>
      </c>
      <c r="S67" s="3179">
        <v>54808</v>
      </c>
      <c r="T67" s="3179">
        <v>4836258</v>
      </c>
      <c r="U67" s="3181">
        <v>43581</v>
      </c>
    </row>
    <row r="68" spans="1:21" ht="27" hidden="1" customHeight="1" thickBot="1">
      <c r="A68" s="3184">
        <v>67</v>
      </c>
      <c r="B68" s="3185" t="s">
        <v>3887</v>
      </c>
      <c r="C68" s="3191" t="s">
        <v>4101</v>
      </c>
      <c r="D68" s="3191" t="s">
        <v>4102</v>
      </c>
      <c r="E68" s="3191" t="s">
        <v>3890</v>
      </c>
      <c r="F68" s="3191" t="s">
        <v>4103</v>
      </c>
      <c r="G68" s="3191" t="s">
        <v>3493</v>
      </c>
      <c r="H68" s="3191" t="s">
        <v>3489</v>
      </c>
      <c r="I68" s="3191" t="s">
        <v>3490</v>
      </c>
      <c r="J68" s="3191">
        <v>78.22</v>
      </c>
      <c r="K68" s="3191" t="s">
        <v>3386</v>
      </c>
      <c r="L68" s="3191">
        <v>7</v>
      </c>
      <c r="M68" s="3191">
        <v>5</v>
      </c>
      <c r="N68" s="3191">
        <v>1999</v>
      </c>
      <c r="O68" s="3191" t="s">
        <v>633</v>
      </c>
      <c r="P68" s="3191" t="s">
        <v>633</v>
      </c>
      <c r="Q68" s="3191" t="s">
        <v>633</v>
      </c>
      <c r="R68" s="3191">
        <v>44106</v>
      </c>
      <c r="S68" s="3191">
        <v>44082</v>
      </c>
      <c r="T68" s="3191">
        <v>3448094</v>
      </c>
      <c r="U68" s="3192">
        <v>43572</v>
      </c>
    </row>
    <row r="69" spans="1:21" s="3197" customFormat="1" ht="27" customHeight="1" thickBot="1">
      <c r="A69" s="3179">
        <v>68</v>
      </c>
      <c r="B69" s="3185" t="s">
        <v>3887</v>
      </c>
      <c r="C69" s="3184" t="s">
        <v>4104</v>
      </c>
      <c r="D69" s="3184" t="s">
        <v>4105</v>
      </c>
      <c r="E69" s="3179" t="s">
        <v>3890</v>
      </c>
      <c r="F69" s="3179" t="s">
        <v>4106</v>
      </c>
      <c r="G69" s="3179" t="s">
        <v>3494</v>
      </c>
      <c r="H69" s="3184" t="s">
        <v>3867</v>
      </c>
      <c r="I69" s="3179" t="s">
        <v>3498</v>
      </c>
      <c r="J69" s="3179">
        <v>83.43</v>
      </c>
      <c r="K69" s="3179" t="s">
        <v>3386</v>
      </c>
      <c r="L69" s="3179" t="s">
        <v>3499</v>
      </c>
      <c r="M69" s="3179">
        <v>20</v>
      </c>
      <c r="N69" s="3179">
        <v>2005</v>
      </c>
      <c r="O69" s="3179" t="s">
        <v>633</v>
      </c>
      <c r="P69" s="3184" t="s">
        <v>633</v>
      </c>
      <c r="Q69" s="3184" t="s">
        <v>633</v>
      </c>
      <c r="R69" s="3179">
        <v>56095</v>
      </c>
      <c r="S69" s="3179">
        <v>50726</v>
      </c>
      <c r="T69" s="3179">
        <v>4232070</v>
      </c>
      <c r="U69" s="3181">
        <v>43559</v>
      </c>
    </row>
    <row r="70" spans="1:21" s="3197" customFormat="1" ht="27" customHeight="1" thickBot="1">
      <c r="A70" s="3179">
        <v>69</v>
      </c>
      <c r="B70" s="3185" t="s">
        <v>3887</v>
      </c>
      <c r="C70" s="3184" t="s">
        <v>4107</v>
      </c>
      <c r="D70" s="3184" t="s">
        <v>4108</v>
      </c>
      <c r="E70" s="3179" t="s">
        <v>3890</v>
      </c>
      <c r="F70" s="3179" t="s">
        <v>4109</v>
      </c>
      <c r="G70" s="3179" t="s">
        <v>3494</v>
      </c>
      <c r="H70" s="3184" t="s">
        <v>3867</v>
      </c>
      <c r="I70" s="3179" t="s">
        <v>3498</v>
      </c>
      <c r="J70" s="3179">
        <v>89.5</v>
      </c>
      <c r="K70" s="3179" t="s">
        <v>3386</v>
      </c>
      <c r="L70" s="3179" t="s">
        <v>3499</v>
      </c>
      <c r="M70" s="3179">
        <v>6</v>
      </c>
      <c r="N70" s="3179">
        <v>2005</v>
      </c>
      <c r="O70" s="3179" t="s">
        <v>633</v>
      </c>
      <c r="P70" s="3184" t="s">
        <v>633</v>
      </c>
      <c r="Q70" s="3184" t="s">
        <v>633</v>
      </c>
      <c r="R70" s="3179">
        <v>53520</v>
      </c>
      <c r="S70" s="3179">
        <v>48237</v>
      </c>
      <c r="T70" s="3179">
        <v>4317212</v>
      </c>
      <c r="U70" s="3181">
        <v>43558</v>
      </c>
    </row>
    <row r="71" spans="1:21" ht="27" hidden="1" customHeight="1" thickBot="1">
      <c r="A71" s="3184">
        <v>70</v>
      </c>
      <c r="B71" s="3185" t="s">
        <v>3887</v>
      </c>
      <c r="C71" s="3184" t="s">
        <v>4110</v>
      </c>
      <c r="D71" s="3184" t="s">
        <v>4111</v>
      </c>
      <c r="E71" s="3184" t="s">
        <v>3890</v>
      </c>
      <c r="F71" s="3184" t="s">
        <v>4112</v>
      </c>
      <c r="G71" s="3184" t="s">
        <v>3493</v>
      </c>
      <c r="H71" s="3184" t="s">
        <v>3867</v>
      </c>
      <c r="I71" s="3184" t="s">
        <v>3490</v>
      </c>
      <c r="J71" s="3184">
        <v>82.96</v>
      </c>
      <c r="K71" s="3184" t="s">
        <v>3386</v>
      </c>
      <c r="L71" s="3184" t="s">
        <v>4035</v>
      </c>
      <c r="M71" s="3184">
        <v>2</v>
      </c>
      <c r="N71" s="3184">
        <v>1998</v>
      </c>
      <c r="O71" s="3184" t="s">
        <v>633</v>
      </c>
      <c r="P71" s="3184" t="s">
        <v>633</v>
      </c>
      <c r="Q71" s="3184" t="s">
        <v>633</v>
      </c>
      <c r="R71" s="3184">
        <v>57257</v>
      </c>
      <c r="S71" s="3184">
        <v>52531</v>
      </c>
      <c r="T71" s="3184">
        <v>4357972</v>
      </c>
      <c r="U71" s="3186">
        <v>43553</v>
      </c>
    </row>
    <row r="72" spans="1:21" ht="27" hidden="1" customHeight="1" thickBot="1">
      <c r="A72" s="3184">
        <v>71</v>
      </c>
      <c r="B72" s="3185" t="s">
        <v>3887</v>
      </c>
      <c r="C72" s="3184" t="s">
        <v>4113</v>
      </c>
      <c r="D72" s="3184" t="s">
        <v>4114</v>
      </c>
      <c r="E72" s="3184" t="s">
        <v>3890</v>
      </c>
      <c r="F72" s="3184" t="s">
        <v>4115</v>
      </c>
      <c r="G72" s="3184" t="s">
        <v>3493</v>
      </c>
      <c r="H72" s="3184" t="s">
        <v>3867</v>
      </c>
      <c r="I72" s="3184" t="s">
        <v>3490</v>
      </c>
      <c r="J72" s="3184">
        <v>75.260000000000005</v>
      </c>
      <c r="K72" s="3184" t="s">
        <v>3386</v>
      </c>
      <c r="L72" s="3184">
        <v>6</v>
      </c>
      <c r="M72" s="3184">
        <v>5</v>
      </c>
      <c r="N72" s="3184" t="s">
        <v>633</v>
      </c>
      <c r="O72" s="3184">
        <v>1996</v>
      </c>
      <c r="P72" s="3184" t="s">
        <v>633</v>
      </c>
      <c r="Q72" s="3184" t="s">
        <v>633</v>
      </c>
      <c r="R72" s="3184">
        <v>57135</v>
      </c>
      <c r="S72" s="3184">
        <v>52496</v>
      </c>
      <c r="T72" s="3184">
        <v>3950849</v>
      </c>
      <c r="U72" s="3186">
        <v>43536</v>
      </c>
    </row>
    <row r="73" spans="1:21" ht="27" hidden="1" customHeight="1" thickBot="1">
      <c r="A73" s="3184">
        <v>72</v>
      </c>
      <c r="B73" s="3185" t="s">
        <v>3887</v>
      </c>
      <c r="C73" s="3184" t="s">
        <v>4116</v>
      </c>
      <c r="D73" s="3184" t="s">
        <v>4117</v>
      </c>
      <c r="E73" s="3184" t="s">
        <v>3890</v>
      </c>
      <c r="F73" s="3184" t="s">
        <v>4118</v>
      </c>
      <c r="G73" s="3184" t="s">
        <v>3493</v>
      </c>
      <c r="H73" s="3184" t="s">
        <v>3867</v>
      </c>
      <c r="I73" s="3184" t="s">
        <v>3490</v>
      </c>
      <c r="J73" s="3184">
        <v>115.81</v>
      </c>
      <c r="K73" s="3184" t="s">
        <v>3386</v>
      </c>
      <c r="L73" s="3184">
        <v>7</v>
      </c>
      <c r="M73" s="3187">
        <v>45450</v>
      </c>
      <c r="N73" s="3184">
        <v>1999</v>
      </c>
      <c r="O73" s="3184" t="s">
        <v>633</v>
      </c>
      <c r="P73" s="3184" t="s">
        <v>633</v>
      </c>
      <c r="Q73" s="3184" t="s">
        <v>633</v>
      </c>
      <c r="R73" s="3184">
        <v>45592</v>
      </c>
      <c r="S73" s="3184">
        <v>50898</v>
      </c>
      <c r="T73" s="3184">
        <v>5894497</v>
      </c>
      <c r="U73" s="3186">
        <v>43516</v>
      </c>
    </row>
    <row r="74" spans="1:21" ht="27" hidden="1" customHeight="1" thickBot="1">
      <c r="A74" s="3184">
        <v>73</v>
      </c>
      <c r="B74" s="3185" t="s">
        <v>3887</v>
      </c>
      <c r="C74" s="3184" t="s">
        <v>4119</v>
      </c>
      <c r="D74" s="3184" t="s">
        <v>4120</v>
      </c>
      <c r="E74" s="3184" t="s">
        <v>3890</v>
      </c>
      <c r="F74" s="3184" t="s">
        <v>4121</v>
      </c>
      <c r="G74" s="3184" t="s">
        <v>3493</v>
      </c>
      <c r="H74" s="3184" t="s">
        <v>3867</v>
      </c>
      <c r="I74" s="3184" t="s">
        <v>3498</v>
      </c>
      <c r="J74" s="3184">
        <v>45.66</v>
      </c>
      <c r="K74" s="3184" t="s">
        <v>3386</v>
      </c>
      <c r="L74" s="3184">
        <v>6</v>
      </c>
      <c r="M74" s="3184">
        <v>5</v>
      </c>
      <c r="N74" s="3184" t="s">
        <v>633</v>
      </c>
      <c r="O74" s="3184">
        <v>1996</v>
      </c>
      <c r="P74" s="3184" t="s">
        <v>633</v>
      </c>
      <c r="Q74" s="3184" t="s">
        <v>633</v>
      </c>
      <c r="R74" s="3184">
        <v>57381</v>
      </c>
      <c r="S74" s="3184">
        <v>54291</v>
      </c>
      <c r="T74" s="3184">
        <v>2478927</v>
      </c>
      <c r="U74" s="3186">
        <v>43445</v>
      </c>
    </row>
    <row r="75" spans="1:21" ht="27" hidden="1" customHeight="1" thickBot="1">
      <c r="A75" s="3184">
        <v>74</v>
      </c>
      <c r="B75" s="3185" t="s">
        <v>3887</v>
      </c>
      <c r="C75" s="3184" t="s">
        <v>4122</v>
      </c>
      <c r="D75" s="3184" t="s">
        <v>4123</v>
      </c>
      <c r="E75" s="3184" t="s">
        <v>3890</v>
      </c>
      <c r="F75" s="3184" t="s">
        <v>4124</v>
      </c>
      <c r="G75" s="3184" t="s">
        <v>3493</v>
      </c>
      <c r="H75" s="3184" t="s">
        <v>3867</v>
      </c>
      <c r="I75" s="3184" t="s">
        <v>3498</v>
      </c>
      <c r="J75" s="3184">
        <v>72.59</v>
      </c>
      <c r="K75" s="3184" t="s">
        <v>3386</v>
      </c>
      <c r="L75" s="3184">
        <v>7</v>
      </c>
      <c r="M75" s="3184">
        <v>5</v>
      </c>
      <c r="N75" s="3184">
        <v>1999</v>
      </c>
      <c r="O75" s="3184" t="s">
        <v>633</v>
      </c>
      <c r="P75" s="3184" t="s">
        <v>633</v>
      </c>
      <c r="Q75" s="3184" t="s">
        <v>633</v>
      </c>
      <c r="R75" s="3184">
        <v>0</v>
      </c>
      <c r="S75" s="3184">
        <v>53046</v>
      </c>
      <c r="T75" s="3184">
        <v>3850609</v>
      </c>
      <c r="U75" s="3186">
        <v>43442</v>
      </c>
    </row>
    <row r="76" spans="1:21" ht="27" hidden="1" customHeight="1" thickBot="1">
      <c r="A76" s="3184">
        <v>75</v>
      </c>
      <c r="B76" s="3185" t="s">
        <v>3887</v>
      </c>
      <c r="C76" s="3184" t="s">
        <v>4125</v>
      </c>
      <c r="D76" s="3184" t="s">
        <v>4126</v>
      </c>
      <c r="E76" s="3184" t="s">
        <v>3890</v>
      </c>
      <c r="F76" s="3184" t="s">
        <v>4127</v>
      </c>
      <c r="G76" s="3184" t="s">
        <v>3502</v>
      </c>
      <c r="H76" s="3184" t="s">
        <v>3867</v>
      </c>
      <c r="I76" s="3184" t="s">
        <v>3498</v>
      </c>
      <c r="J76" s="3184">
        <v>71.06</v>
      </c>
      <c r="K76" s="3184" t="s">
        <v>3386</v>
      </c>
      <c r="L76" s="3184" t="s">
        <v>3503</v>
      </c>
      <c r="M76" s="3184">
        <v>14</v>
      </c>
      <c r="N76" s="3184" t="s">
        <v>633</v>
      </c>
      <c r="O76" s="3184">
        <v>2011</v>
      </c>
      <c r="P76" s="3184" t="s">
        <v>633</v>
      </c>
      <c r="Q76" s="3184" t="s">
        <v>633</v>
      </c>
      <c r="R76" s="3184">
        <v>61920</v>
      </c>
      <c r="S76" s="3184">
        <v>55919</v>
      </c>
      <c r="T76" s="3184">
        <v>3973604</v>
      </c>
      <c r="U76" s="3186">
        <v>43404</v>
      </c>
    </row>
    <row r="77" spans="1:21" ht="27" hidden="1" customHeight="1" thickBot="1">
      <c r="A77" s="3188">
        <v>76</v>
      </c>
      <c r="B77" s="3189" t="s">
        <v>3887</v>
      </c>
      <c r="C77" s="3188" t="s">
        <v>4128</v>
      </c>
      <c r="D77" s="3188" t="s">
        <v>4129</v>
      </c>
      <c r="E77" s="3188" t="s">
        <v>3890</v>
      </c>
      <c r="F77" s="3188" t="s">
        <v>4130</v>
      </c>
      <c r="G77" s="3188" t="s">
        <v>3502</v>
      </c>
      <c r="H77" s="3188" t="s">
        <v>3867</v>
      </c>
      <c r="I77" s="3188" t="s">
        <v>3498</v>
      </c>
      <c r="J77" s="3188">
        <v>76.67</v>
      </c>
      <c r="K77" s="3188" t="s">
        <v>3386</v>
      </c>
      <c r="L77" s="3188" t="s">
        <v>3503</v>
      </c>
      <c r="M77" s="3188">
        <v>21</v>
      </c>
      <c r="N77" s="3188" t="s">
        <v>633</v>
      </c>
      <c r="O77" s="3188">
        <v>2011</v>
      </c>
      <c r="P77" s="3188" t="s">
        <v>633</v>
      </c>
      <c r="Q77" s="3188" t="s">
        <v>633</v>
      </c>
      <c r="R77" s="3188">
        <v>60258</v>
      </c>
      <c r="S77" s="3188">
        <v>56720</v>
      </c>
      <c r="T77" s="3188">
        <v>4348722</v>
      </c>
      <c r="U77" s="3190">
        <v>43361</v>
      </c>
    </row>
    <row r="78" spans="1:21" ht="27" hidden="1" customHeight="1" thickBot="1">
      <c r="A78" s="3184">
        <v>77</v>
      </c>
      <c r="B78" s="3185" t="s">
        <v>3887</v>
      </c>
      <c r="C78" s="3184" t="s">
        <v>4131</v>
      </c>
      <c r="D78" s="3184" t="s">
        <v>4132</v>
      </c>
      <c r="E78" s="3184" t="s">
        <v>3890</v>
      </c>
      <c r="F78" s="3184" t="s">
        <v>4133</v>
      </c>
      <c r="G78" s="3184" t="s">
        <v>3502</v>
      </c>
      <c r="H78" s="3184" t="s">
        <v>3867</v>
      </c>
      <c r="I78" s="3184" t="s">
        <v>3498</v>
      </c>
      <c r="J78" s="3184">
        <v>95.41</v>
      </c>
      <c r="K78" s="3184" t="s">
        <v>3386</v>
      </c>
      <c r="L78" s="3184" t="s">
        <v>3503</v>
      </c>
      <c r="M78" s="3184">
        <v>20</v>
      </c>
      <c r="N78" s="3184" t="s">
        <v>633</v>
      </c>
      <c r="O78" s="3184">
        <v>2011</v>
      </c>
      <c r="P78" s="3184" t="s">
        <v>633</v>
      </c>
      <c r="Q78" s="3184" t="s">
        <v>633</v>
      </c>
      <c r="R78" s="3184">
        <v>69699</v>
      </c>
      <c r="S78" s="3184">
        <v>61863</v>
      </c>
      <c r="T78" s="3184">
        <v>5902349</v>
      </c>
      <c r="U78" s="3186">
        <v>43287</v>
      </c>
    </row>
    <row r="79" spans="1:21" ht="27" hidden="1" customHeight="1" thickBot="1">
      <c r="A79" s="3184">
        <v>78</v>
      </c>
      <c r="B79" s="3185" t="s">
        <v>3887</v>
      </c>
      <c r="C79" s="3184" t="s">
        <v>4134</v>
      </c>
      <c r="D79" s="3184" t="s">
        <v>4135</v>
      </c>
      <c r="E79" s="3184" t="s">
        <v>3890</v>
      </c>
      <c r="F79" s="3184" t="s">
        <v>4136</v>
      </c>
      <c r="G79" s="3184" t="s">
        <v>3493</v>
      </c>
      <c r="H79" s="3184" t="s">
        <v>3867</v>
      </c>
      <c r="I79" s="3184" t="s">
        <v>3490</v>
      </c>
      <c r="J79" s="3184">
        <v>72.59</v>
      </c>
      <c r="K79" s="3184" t="s">
        <v>3386</v>
      </c>
      <c r="L79" s="3184">
        <v>7</v>
      </c>
      <c r="M79" s="3184">
        <v>2</v>
      </c>
      <c r="N79" s="3184">
        <v>1999</v>
      </c>
      <c r="O79" s="3184" t="s">
        <v>633</v>
      </c>
      <c r="P79" s="3184" t="s">
        <v>633</v>
      </c>
      <c r="Q79" s="3184" t="s">
        <v>633</v>
      </c>
      <c r="R79" s="3184">
        <v>57721</v>
      </c>
      <c r="S79" s="3184">
        <v>52940</v>
      </c>
      <c r="T79" s="3184">
        <v>3842915</v>
      </c>
      <c r="U79" s="3186">
        <v>43287</v>
      </c>
    </row>
    <row r="80" spans="1:21" s="3197" customFormat="1" ht="27" customHeight="1" thickBot="1">
      <c r="A80" s="3179">
        <v>79</v>
      </c>
      <c r="B80" s="3185" t="s">
        <v>3887</v>
      </c>
      <c r="C80" s="3184" t="s">
        <v>4137</v>
      </c>
      <c r="D80" s="3184" t="s">
        <v>4138</v>
      </c>
      <c r="E80" s="3179" t="s">
        <v>3890</v>
      </c>
      <c r="F80" s="3179" t="s">
        <v>4139</v>
      </c>
      <c r="G80" s="3179" t="s">
        <v>3494</v>
      </c>
      <c r="H80" s="3184" t="s">
        <v>3489</v>
      </c>
      <c r="I80" s="3179" t="s">
        <v>3495</v>
      </c>
      <c r="J80" s="3179">
        <v>96.85</v>
      </c>
      <c r="K80" s="3179" t="s">
        <v>3386</v>
      </c>
      <c r="L80" s="3179" t="s">
        <v>4052</v>
      </c>
      <c r="M80" s="3179">
        <v>11</v>
      </c>
      <c r="N80" s="3179" t="s">
        <v>633</v>
      </c>
      <c r="O80" s="3179">
        <v>2006</v>
      </c>
      <c r="P80" s="3184" t="s">
        <v>633</v>
      </c>
      <c r="Q80" s="3184" t="s">
        <v>633</v>
      </c>
      <c r="R80" s="3179">
        <v>0</v>
      </c>
      <c r="S80" s="3179">
        <v>47620</v>
      </c>
      <c r="T80" s="3179">
        <v>4611997</v>
      </c>
      <c r="U80" s="3181">
        <v>43161</v>
      </c>
    </row>
    <row r="81" spans="1:23" s="3197" customFormat="1" ht="27" customHeight="1" thickBot="1">
      <c r="A81" s="3199">
        <v>80</v>
      </c>
      <c r="B81" s="3256" t="s">
        <v>3887</v>
      </c>
      <c r="C81" s="3199" t="s">
        <v>4140</v>
      </c>
      <c r="D81" s="3199" t="s">
        <v>4141</v>
      </c>
      <c r="E81" s="3199" t="s">
        <v>4142</v>
      </c>
      <c r="F81" s="3199" t="s">
        <v>4143</v>
      </c>
      <c r="G81" s="3199" t="s">
        <v>3494</v>
      </c>
      <c r="H81" s="3199" t="s">
        <v>3489</v>
      </c>
      <c r="I81" s="3199" t="s">
        <v>3498</v>
      </c>
      <c r="J81" s="3199">
        <v>90.5</v>
      </c>
      <c r="K81" s="3199" t="s">
        <v>3386</v>
      </c>
      <c r="L81" s="3199" t="s">
        <v>3496</v>
      </c>
      <c r="M81" s="3199">
        <v>14</v>
      </c>
      <c r="N81" s="3199" t="s">
        <v>633</v>
      </c>
      <c r="O81" s="3199">
        <v>2005</v>
      </c>
      <c r="P81" s="3199" t="s">
        <v>633</v>
      </c>
      <c r="Q81" s="3199" t="s">
        <v>633</v>
      </c>
      <c r="R81" s="3199">
        <v>60663</v>
      </c>
      <c r="S81" s="3199">
        <v>53319</v>
      </c>
      <c r="T81" s="3199">
        <v>4825370</v>
      </c>
      <c r="U81" s="3200">
        <v>43003</v>
      </c>
    </row>
    <row r="82" spans="1:23" ht="27" hidden="1" customHeight="1" thickBot="1">
      <c r="A82" s="3199">
        <v>81</v>
      </c>
      <c r="B82" s="3256" t="s">
        <v>3887</v>
      </c>
      <c r="C82" s="3199" t="s">
        <v>4144</v>
      </c>
      <c r="D82" s="3199" t="s">
        <v>4145</v>
      </c>
      <c r="E82" s="3199" t="s">
        <v>3890</v>
      </c>
      <c r="F82" s="3199" t="s">
        <v>4146</v>
      </c>
      <c r="G82" s="3199" t="s">
        <v>3493</v>
      </c>
      <c r="H82" s="3199" t="s">
        <v>3489</v>
      </c>
      <c r="I82" s="3199" t="s">
        <v>3490</v>
      </c>
      <c r="J82" s="3199">
        <v>41.86</v>
      </c>
      <c r="K82" s="3199" t="s">
        <v>3386</v>
      </c>
      <c r="L82" s="3199">
        <v>6</v>
      </c>
      <c r="M82" s="3199">
        <v>1</v>
      </c>
      <c r="N82" s="3199" t="s">
        <v>633</v>
      </c>
      <c r="O82" s="3199">
        <v>1996</v>
      </c>
      <c r="P82" s="3199" t="s">
        <v>633</v>
      </c>
      <c r="Q82" s="3199" t="s">
        <v>633</v>
      </c>
      <c r="R82" s="3199">
        <v>84329</v>
      </c>
      <c r="S82" s="3199">
        <v>64261</v>
      </c>
      <c r="T82" s="3199">
        <v>2689965</v>
      </c>
      <c r="U82" s="3200">
        <v>42846</v>
      </c>
    </row>
    <row r="83" spans="1:23" s="3197" customFormat="1" ht="27" customHeight="1" thickBot="1">
      <c r="A83" s="3199">
        <v>82</v>
      </c>
      <c r="B83" s="3256" t="s">
        <v>3887</v>
      </c>
      <c r="C83" s="3199" t="s">
        <v>4147</v>
      </c>
      <c r="D83" s="3199" t="s">
        <v>4148</v>
      </c>
      <c r="E83" s="3199" t="s">
        <v>3890</v>
      </c>
      <c r="F83" s="3199" t="s">
        <v>4149</v>
      </c>
      <c r="G83" s="3199" t="s">
        <v>3494</v>
      </c>
      <c r="H83" s="3199" t="s">
        <v>3489</v>
      </c>
      <c r="I83" s="3199" t="s">
        <v>3495</v>
      </c>
      <c r="J83" s="3199">
        <v>90.99</v>
      </c>
      <c r="K83" s="3199" t="s">
        <v>3386</v>
      </c>
      <c r="L83" s="3199" t="s">
        <v>3496</v>
      </c>
      <c r="M83" s="3199">
        <v>16</v>
      </c>
      <c r="N83" s="3199">
        <v>2005</v>
      </c>
      <c r="O83" s="3199" t="s">
        <v>633</v>
      </c>
      <c r="P83" s="3199" t="s">
        <v>633</v>
      </c>
      <c r="Q83" s="3199" t="s">
        <v>633</v>
      </c>
      <c r="R83" s="3199">
        <v>65941</v>
      </c>
      <c r="S83" s="3199">
        <v>59463</v>
      </c>
      <c r="T83" s="3199">
        <v>5410538</v>
      </c>
      <c r="U83" s="3200">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1">
        <v>84</v>
      </c>
      <c r="B85" s="3258" t="s">
        <v>3887</v>
      </c>
      <c r="C85" s="3191" t="s">
        <v>4152</v>
      </c>
      <c r="D85" s="3191" t="s">
        <v>4153</v>
      </c>
      <c r="E85" s="3191" t="s">
        <v>3890</v>
      </c>
      <c r="F85" s="3191" t="s">
        <v>3501</v>
      </c>
      <c r="G85" s="3191" t="s">
        <v>3502</v>
      </c>
      <c r="H85" s="3191" t="s">
        <v>3489</v>
      </c>
      <c r="I85" s="3191" t="s">
        <v>3498</v>
      </c>
      <c r="J85" s="3191">
        <v>71.06</v>
      </c>
      <c r="K85" s="3191" t="s">
        <v>3386</v>
      </c>
      <c r="L85" s="3191" t="s">
        <v>3503</v>
      </c>
      <c r="M85" s="3191">
        <v>16</v>
      </c>
      <c r="N85" s="3191" t="s">
        <v>633</v>
      </c>
      <c r="O85" s="3191">
        <v>2011</v>
      </c>
      <c r="P85" s="3191" t="s">
        <v>633</v>
      </c>
      <c r="Q85" s="3191" t="s">
        <v>633</v>
      </c>
      <c r="R85" s="3191">
        <v>61216</v>
      </c>
      <c r="S85" s="3191">
        <v>50338</v>
      </c>
      <c r="T85" s="3191">
        <v>3577018</v>
      </c>
      <c r="U85" s="3192">
        <v>42754</v>
      </c>
    </row>
    <row r="86" spans="1:23" ht="27" customHeight="1" thickBot="1">
      <c r="A86" s="3259">
        <v>85</v>
      </c>
      <c r="B86" s="3260" t="s">
        <v>3887</v>
      </c>
      <c r="C86" s="3259" t="s">
        <v>4154</v>
      </c>
      <c r="D86" s="3259" t="s">
        <v>4155</v>
      </c>
      <c r="E86" s="3259" t="s">
        <v>3890</v>
      </c>
      <c r="F86" s="3259" t="s">
        <v>4307</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3" t="s">
        <v>4275</v>
      </c>
      <c r="W86" s="3183">
        <f>R86-15.6</f>
        <v>49482.400000000001</v>
      </c>
    </row>
    <row r="87" spans="1:23" s="3197"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7" customFormat="1" ht="27" customHeight="1" thickBot="1">
      <c r="A88" s="3199">
        <v>87</v>
      </c>
      <c r="B88" s="3256" t="s">
        <v>3887</v>
      </c>
      <c r="C88" s="3199" t="s">
        <v>4158</v>
      </c>
      <c r="D88" s="3199" t="s">
        <v>4159</v>
      </c>
      <c r="E88" s="3199" t="s">
        <v>3890</v>
      </c>
      <c r="F88" s="3199" t="s">
        <v>3497</v>
      </c>
      <c r="G88" s="3199" t="s">
        <v>3494</v>
      </c>
      <c r="H88" s="3199" t="s">
        <v>3489</v>
      </c>
      <c r="I88" s="3199" t="s">
        <v>3498</v>
      </c>
      <c r="J88" s="3199">
        <v>83.43</v>
      </c>
      <c r="K88" s="3199" t="s">
        <v>3386</v>
      </c>
      <c r="L88" s="3199" t="s">
        <v>3499</v>
      </c>
      <c r="M88" s="3199">
        <v>7</v>
      </c>
      <c r="N88" s="3199">
        <v>2005</v>
      </c>
      <c r="O88" s="3199" t="s">
        <v>633</v>
      </c>
      <c r="P88" s="3199" t="s">
        <v>633</v>
      </c>
      <c r="Q88" s="3199" t="s">
        <v>633</v>
      </c>
      <c r="R88" s="3199">
        <v>41712</v>
      </c>
      <c r="S88" s="3199">
        <v>37029</v>
      </c>
      <c r="T88" s="3199">
        <v>3089329</v>
      </c>
      <c r="U88" s="3200">
        <v>42703</v>
      </c>
    </row>
    <row r="89" spans="1:23" ht="27" hidden="1" customHeight="1" thickBot="1">
      <c r="A89" s="3199">
        <v>88</v>
      </c>
      <c r="B89" s="3256" t="s">
        <v>3887</v>
      </c>
      <c r="C89" s="3199" t="s">
        <v>4160</v>
      </c>
      <c r="D89" s="3199" t="s">
        <v>4161</v>
      </c>
      <c r="E89" s="3199" t="s">
        <v>3890</v>
      </c>
      <c r="F89" s="3199" t="s">
        <v>3500</v>
      </c>
      <c r="G89" s="3199" t="s">
        <v>3493</v>
      </c>
      <c r="H89" s="3199" t="s">
        <v>3489</v>
      </c>
      <c r="I89" s="3199" t="s">
        <v>3498</v>
      </c>
      <c r="J89" s="3199">
        <v>79.260000000000005</v>
      </c>
      <c r="K89" s="3199" t="s">
        <v>3386</v>
      </c>
      <c r="L89" s="3199">
        <v>6</v>
      </c>
      <c r="M89" s="3199">
        <v>4</v>
      </c>
      <c r="N89" s="3199" t="s">
        <v>633</v>
      </c>
      <c r="O89" s="3199">
        <v>1996</v>
      </c>
      <c r="P89" s="3199" t="s">
        <v>633</v>
      </c>
      <c r="Q89" s="3199" t="s">
        <v>633</v>
      </c>
      <c r="R89" s="3199">
        <v>42897</v>
      </c>
      <c r="S89" s="3199">
        <v>35906</v>
      </c>
      <c r="T89" s="3199">
        <v>2845910</v>
      </c>
      <c r="U89" s="3200">
        <v>42551</v>
      </c>
    </row>
    <row r="90" spans="1:23" s="3197" customFormat="1" ht="27" customHeight="1" thickBot="1">
      <c r="A90" s="3199">
        <v>89</v>
      </c>
      <c r="B90" s="3256" t="s">
        <v>3887</v>
      </c>
      <c r="C90" s="3199" t="s">
        <v>4162</v>
      </c>
      <c r="D90" s="3199" t="s">
        <v>4163</v>
      </c>
      <c r="E90" s="3199" t="s">
        <v>3890</v>
      </c>
      <c r="F90" s="3199" t="s">
        <v>4164</v>
      </c>
      <c r="G90" s="3199" t="s">
        <v>3494</v>
      </c>
      <c r="H90" s="3199" t="s">
        <v>3489</v>
      </c>
      <c r="I90" s="3199" t="s">
        <v>3495</v>
      </c>
      <c r="J90" s="3199">
        <v>83.43</v>
      </c>
      <c r="K90" s="3199" t="s">
        <v>3386</v>
      </c>
      <c r="L90" s="3199" t="s">
        <v>3496</v>
      </c>
      <c r="M90" s="3199">
        <v>6</v>
      </c>
      <c r="N90" s="3199">
        <v>2005</v>
      </c>
      <c r="O90" s="3199" t="s">
        <v>633</v>
      </c>
      <c r="P90" s="3199" t="s">
        <v>633</v>
      </c>
      <c r="Q90" s="3199" t="s">
        <v>633</v>
      </c>
      <c r="R90" s="3199">
        <v>35719</v>
      </c>
      <c r="S90" s="3199">
        <v>30903</v>
      </c>
      <c r="T90" s="3199">
        <v>2578237</v>
      </c>
      <c r="U90" s="3200">
        <v>42510</v>
      </c>
    </row>
    <row r="91" spans="1:23" s="3197" customFormat="1" ht="27" customHeight="1" thickBot="1">
      <c r="A91" s="3199">
        <v>90</v>
      </c>
      <c r="B91" s="3256" t="s">
        <v>3887</v>
      </c>
      <c r="C91" s="3199" t="s">
        <v>4165</v>
      </c>
      <c r="D91" s="3199" t="s">
        <v>4166</v>
      </c>
      <c r="E91" s="3199" t="s">
        <v>3890</v>
      </c>
      <c r="F91" s="3199" t="s">
        <v>4167</v>
      </c>
      <c r="G91" s="3199" t="s">
        <v>3494</v>
      </c>
      <c r="H91" s="3199" t="s">
        <v>3489</v>
      </c>
      <c r="I91" s="3199" t="s">
        <v>3495</v>
      </c>
      <c r="J91" s="3199">
        <v>101.83</v>
      </c>
      <c r="K91" s="3199" t="s">
        <v>3386</v>
      </c>
      <c r="L91" s="3199" t="s">
        <v>4052</v>
      </c>
      <c r="M91" s="3199">
        <v>9</v>
      </c>
      <c r="N91" s="3199">
        <v>2006</v>
      </c>
      <c r="O91" s="3199" t="s">
        <v>633</v>
      </c>
      <c r="P91" s="3199" t="s">
        <v>633</v>
      </c>
      <c r="Q91" s="3199" t="s">
        <v>633</v>
      </c>
      <c r="R91" s="3199">
        <v>35549</v>
      </c>
      <c r="S91" s="3199">
        <v>31148</v>
      </c>
      <c r="T91" s="3199">
        <v>3171801</v>
      </c>
      <c r="U91" s="3200">
        <v>42426</v>
      </c>
    </row>
    <row r="92" spans="1:23" ht="27" hidden="1" customHeight="1" thickBot="1">
      <c r="A92" s="3188">
        <v>91</v>
      </c>
      <c r="B92" s="3189" t="s">
        <v>3887</v>
      </c>
      <c r="C92" s="3188" t="s">
        <v>4168</v>
      </c>
      <c r="D92" s="3188" t="s">
        <v>4169</v>
      </c>
      <c r="E92" s="3188" t="s">
        <v>3890</v>
      </c>
      <c r="F92" s="3188" t="s">
        <v>4220</v>
      </c>
      <c r="G92" s="3188" t="s">
        <v>3502</v>
      </c>
      <c r="H92" s="3188" t="s">
        <v>3489</v>
      </c>
      <c r="I92" s="3188" t="s">
        <v>3498</v>
      </c>
      <c r="J92" s="3188">
        <v>76.67</v>
      </c>
      <c r="K92" s="3188" t="s">
        <v>3386</v>
      </c>
      <c r="L92" s="3188" t="s">
        <v>3503</v>
      </c>
      <c r="M92" s="3188">
        <v>19</v>
      </c>
      <c r="N92" s="3188" t="s">
        <v>633</v>
      </c>
      <c r="O92" s="3188">
        <v>2011</v>
      </c>
      <c r="P92" s="3188" t="s">
        <v>633</v>
      </c>
      <c r="Q92" s="3188" t="s">
        <v>633</v>
      </c>
      <c r="R92" s="3188">
        <v>38477</v>
      </c>
      <c r="S92" s="3188">
        <v>37727</v>
      </c>
      <c r="T92" s="3188">
        <v>2892529</v>
      </c>
      <c r="U92" s="3190">
        <v>42425</v>
      </c>
    </row>
    <row r="93" spans="1:23" ht="27" hidden="1" customHeight="1" thickBot="1">
      <c r="A93" s="3184">
        <v>92</v>
      </c>
      <c r="B93" s="3185" t="s">
        <v>3887</v>
      </c>
      <c r="C93" s="3184" t="s">
        <v>4170</v>
      </c>
      <c r="D93" s="3184" t="s">
        <v>4171</v>
      </c>
      <c r="E93" s="3184" t="s">
        <v>3890</v>
      </c>
      <c r="F93" s="3184" t="s">
        <v>4172</v>
      </c>
      <c r="G93" s="3184" t="s">
        <v>3502</v>
      </c>
      <c r="H93" s="3184" t="s">
        <v>4173</v>
      </c>
      <c r="I93" s="3184" t="s">
        <v>3498</v>
      </c>
      <c r="J93" s="3184">
        <v>98.01</v>
      </c>
      <c r="K93" s="3184" t="s">
        <v>3386</v>
      </c>
      <c r="L93" s="3184" t="s">
        <v>4174</v>
      </c>
      <c r="M93" s="3184">
        <v>13</v>
      </c>
      <c r="N93" s="3184" t="s">
        <v>633</v>
      </c>
      <c r="O93" s="3184">
        <v>2011</v>
      </c>
      <c r="P93" s="3184" t="s">
        <v>633</v>
      </c>
      <c r="Q93" s="3184" t="s">
        <v>633</v>
      </c>
      <c r="R93" s="3184">
        <v>44893</v>
      </c>
      <c r="S93" s="3184">
        <v>39399</v>
      </c>
      <c r="T93" s="3184">
        <v>3861496</v>
      </c>
      <c r="U93" s="3186">
        <v>42418</v>
      </c>
    </row>
    <row r="94" spans="1:23" ht="27" hidden="1" customHeight="1" thickBot="1">
      <c r="A94" s="3184">
        <v>93</v>
      </c>
      <c r="B94" s="3185" t="s">
        <v>3887</v>
      </c>
      <c r="C94" s="3184" t="s">
        <v>4175</v>
      </c>
      <c r="D94" s="3184" t="s">
        <v>4176</v>
      </c>
      <c r="E94" s="3184" t="s">
        <v>3890</v>
      </c>
      <c r="F94" s="3184" t="s">
        <v>4177</v>
      </c>
      <c r="G94" s="3184" t="s">
        <v>3502</v>
      </c>
      <c r="H94" s="3184" t="s">
        <v>4173</v>
      </c>
      <c r="I94" s="3184" t="s">
        <v>3498</v>
      </c>
      <c r="J94" s="3184">
        <v>95.41</v>
      </c>
      <c r="K94" s="3184" t="s">
        <v>3386</v>
      </c>
      <c r="L94" s="3184" t="s">
        <v>3503</v>
      </c>
      <c r="M94" s="3184">
        <v>16</v>
      </c>
      <c r="N94" s="3184" t="s">
        <v>633</v>
      </c>
      <c r="O94" s="3184">
        <v>2011</v>
      </c>
      <c r="P94" s="3184" t="s">
        <v>633</v>
      </c>
      <c r="Q94" s="3184" t="s">
        <v>633</v>
      </c>
      <c r="R94" s="3184">
        <v>45383</v>
      </c>
      <c r="S94" s="3184">
        <v>38585</v>
      </c>
      <c r="T94" s="3184">
        <v>3681395</v>
      </c>
      <c r="U94" s="3186">
        <v>42397</v>
      </c>
    </row>
    <row r="95" spans="1:23" ht="27" hidden="1" customHeight="1" thickBot="1">
      <c r="A95" s="3184">
        <v>94</v>
      </c>
      <c r="B95" s="3185" t="s">
        <v>3887</v>
      </c>
      <c r="C95" s="3184" t="s">
        <v>4178</v>
      </c>
      <c r="D95" s="3184" t="s">
        <v>4179</v>
      </c>
      <c r="E95" s="3184" t="s">
        <v>4180</v>
      </c>
      <c r="F95" s="3184" t="s">
        <v>4181</v>
      </c>
      <c r="G95" s="3184" t="s">
        <v>3502</v>
      </c>
      <c r="H95" s="3184" t="s">
        <v>4173</v>
      </c>
      <c r="I95" s="3184" t="s">
        <v>3498</v>
      </c>
      <c r="J95" s="3184">
        <v>130.43</v>
      </c>
      <c r="K95" s="3184" t="s">
        <v>3386</v>
      </c>
      <c r="L95" s="3184" t="s">
        <v>4174</v>
      </c>
      <c r="M95" s="3184">
        <v>14</v>
      </c>
      <c r="N95" s="3184" t="s">
        <v>633</v>
      </c>
      <c r="O95" s="3184">
        <v>2011</v>
      </c>
      <c r="P95" s="3184" t="s">
        <v>633</v>
      </c>
      <c r="Q95" s="3184" t="s">
        <v>633</v>
      </c>
      <c r="R95" s="3184">
        <v>38335</v>
      </c>
      <c r="S95" s="3184">
        <v>33775</v>
      </c>
      <c r="T95" s="3184">
        <v>4405273</v>
      </c>
      <c r="U95" s="3186">
        <v>42240</v>
      </c>
    </row>
    <row r="96" spans="1:23" ht="27" hidden="1" customHeight="1" thickBot="1">
      <c r="A96" s="3184">
        <v>95</v>
      </c>
      <c r="B96" s="3185" t="s">
        <v>3887</v>
      </c>
      <c r="C96" s="3184" t="s">
        <v>4182</v>
      </c>
      <c r="D96" s="3184" t="s">
        <v>4183</v>
      </c>
      <c r="E96" s="3184" t="s">
        <v>3890</v>
      </c>
      <c r="F96" s="3184" t="s">
        <v>4184</v>
      </c>
      <c r="G96" s="3184" t="s">
        <v>3502</v>
      </c>
      <c r="H96" s="3184" t="s">
        <v>4173</v>
      </c>
      <c r="I96" s="3184" t="s">
        <v>3498</v>
      </c>
      <c r="J96" s="3184">
        <v>74.33</v>
      </c>
      <c r="K96" s="3184" t="s">
        <v>3386</v>
      </c>
      <c r="L96" s="3184" t="s">
        <v>3503</v>
      </c>
      <c r="M96" s="3184">
        <v>7</v>
      </c>
      <c r="N96" s="3184" t="s">
        <v>633</v>
      </c>
      <c r="O96" s="3184">
        <v>2011</v>
      </c>
      <c r="P96" s="3184" t="s">
        <v>633</v>
      </c>
      <c r="Q96" s="3184" t="s">
        <v>633</v>
      </c>
      <c r="R96" s="3184">
        <v>37132</v>
      </c>
      <c r="S96" s="3184">
        <v>34079</v>
      </c>
      <c r="T96" s="3184">
        <v>2533092</v>
      </c>
      <c r="U96" s="3186">
        <v>42234</v>
      </c>
    </row>
    <row r="97" spans="1:21" ht="27" hidden="1" customHeight="1" thickBot="1">
      <c r="A97" s="3184">
        <v>96</v>
      </c>
      <c r="B97" s="3185" t="s">
        <v>3887</v>
      </c>
      <c r="C97" s="3184" t="s">
        <v>4185</v>
      </c>
      <c r="D97" s="3184" t="s">
        <v>4186</v>
      </c>
      <c r="E97" s="3184" t="s">
        <v>3890</v>
      </c>
      <c r="F97" s="3184" t="s">
        <v>4187</v>
      </c>
      <c r="G97" s="3184" t="s">
        <v>3502</v>
      </c>
      <c r="H97" s="3184" t="s">
        <v>4173</v>
      </c>
      <c r="I97" s="3184" t="s">
        <v>3498</v>
      </c>
      <c r="J97" s="3184">
        <v>68.790000000000006</v>
      </c>
      <c r="K97" s="3184" t="s">
        <v>3386</v>
      </c>
      <c r="L97" s="3184" t="s">
        <v>3503</v>
      </c>
      <c r="M97" s="3184">
        <v>16</v>
      </c>
      <c r="N97" s="3184" t="s">
        <v>633</v>
      </c>
      <c r="O97" s="3184">
        <v>2011</v>
      </c>
      <c r="P97" s="3184" t="s">
        <v>633</v>
      </c>
      <c r="Q97" s="3184" t="s">
        <v>633</v>
      </c>
      <c r="R97" s="3184">
        <v>39250</v>
      </c>
      <c r="S97" s="3184">
        <v>34091</v>
      </c>
      <c r="T97" s="3184">
        <v>2345120</v>
      </c>
      <c r="U97" s="3186">
        <v>42214</v>
      </c>
    </row>
    <row r="98" spans="1:21" ht="27" hidden="1" customHeight="1" thickBot="1">
      <c r="A98" s="3184">
        <v>97</v>
      </c>
      <c r="B98" s="3185" t="s">
        <v>3887</v>
      </c>
      <c r="C98" s="3184" t="s">
        <v>4188</v>
      </c>
      <c r="D98" s="3184" t="s">
        <v>4189</v>
      </c>
      <c r="E98" s="3184" t="s">
        <v>3890</v>
      </c>
      <c r="F98" s="3184" t="s">
        <v>4190</v>
      </c>
      <c r="G98" s="3184" t="s">
        <v>3502</v>
      </c>
      <c r="H98" s="3184" t="s">
        <v>4173</v>
      </c>
      <c r="I98" s="3184" t="s">
        <v>3498</v>
      </c>
      <c r="J98" s="3184">
        <v>74.33</v>
      </c>
      <c r="K98" s="3184" t="s">
        <v>3386</v>
      </c>
      <c r="L98" s="3184" t="s">
        <v>3503</v>
      </c>
      <c r="M98" s="3184">
        <v>14</v>
      </c>
      <c r="N98" s="3184" t="s">
        <v>633</v>
      </c>
      <c r="O98" s="3184">
        <v>2011</v>
      </c>
      <c r="P98" s="3184" t="s">
        <v>633</v>
      </c>
      <c r="Q98" s="3184" t="s">
        <v>633</v>
      </c>
      <c r="R98" s="3184">
        <v>37266</v>
      </c>
      <c r="S98" s="3184">
        <v>34338</v>
      </c>
      <c r="T98" s="3184">
        <v>2552344</v>
      </c>
      <c r="U98" s="3186">
        <v>42214</v>
      </c>
    </row>
    <row r="99" spans="1:21" ht="27" hidden="1" customHeight="1" thickBot="1">
      <c r="A99" s="3184">
        <v>98</v>
      </c>
      <c r="B99" s="3185" t="s">
        <v>3887</v>
      </c>
      <c r="C99" s="3184" t="s">
        <v>4191</v>
      </c>
      <c r="D99" s="3184" t="s">
        <v>4192</v>
      </c>
      <c r="E99" s="3184" t="s">
        <v>3890</v>
      </c>
      <c r="F99" s="3184" t="s">
        <v>4181</v>
      </c>
      <c r="G99" s="3184" t="s">
        <v>3502</v>
      </c>
      <c r="H99" s="3184" t="s">
        <v>4193</v>
      </c>
      <c r="I99" s="3184" t="s">
        <v>3498</v>
      </c>
      <c r="J99" s="3184">
        <v>130.43</v>
      </c>
      <c r="K99" s="3184" t="s">
        <v>3386</v>
      </c>
      <c r="L99" s="3184" t="s">
        <v>4174</v>
      </c>
      <c r="M99" s="3184">
        <v>14</v>
      </c>
      <c r="N99" s="3184" t="s">
        <v>633</v>
      </c>
      <c r="O99" s="3184">
        <v>2011</v>
      </c>
      <c r="P99" s="3184" t="s">
        <v>633</v>
      </c>
      <c r="Q99" s="3184" t="s">
        <v>633</v>
      </c>
      <c r="R99" s="3184">
        <v>0</v>
      </c>
      <c r="S99" s="3184">
        <v>33590</v>
      </c>
      <c r="T99" s="3184">
        <v>4381144</v>
      </c>
      <c r="U99" s="3186">
        <v>42023</v>
      </c>
    </row>
    <row r="100" spans="1:21" s="3197"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4">
        <v>100</v>
      </c>
      <c r="B101" s="3185" t="s">
        <v>3887</v>
      </c>
      <c r="C101" s="3184" t="s">
        <v>4198</v>
      </c>
      <c r="D101" s="3184" t="s">
        <v>4199</v>
      </c>
      <c r="E101" s="3184" t="s">
        <v>3890</v>
      </c>
      <c r="F101" s="3184" t="s">
        <v>4200</v>
      </c>
      <c r="G101" s="3184" t="s">
        <v>3502</v>
      </c>
      <c r="H101" s="3184" t="s">
        <v>4197</v>
      </c>
      <c r="I101" s="3184" t="s">
        <v>3498</v>
      </c>
      <c r="J101" s="3184">
        <v>68.790000000000006</v>
      </c>
      <c r="K101" s="3184" t="s">
        <v>3386</v>
      </c>
      <c r="L101" s="3184" t="s">
        <v>3503</v>
      </c>
      <c r="M101" s="3184">
        <v>24</v>
      </c>
      <c r="N101" s="3184" t="s">
        <v>633</v>
      </c>
      <c r="O101" s="3184">
        <v>2011</v>
      </c>
      <c r="P101" s="3184" t="s">
        <v>633</v>
      </c>
      <c r="Q101" s="3184" t="s">
        <v>633</v>
      </c>
      <c r="R101" s="3184">
        <v>0</v>
      </c>
      <c r="S101" s="3184">
        <v>37443</v>
      </c>
      <c r="T101" s="3184">
        <v>2575704</v>
      </c>
      <c r="U101" s="3186">
        <v>41644</v>
      </c>
    </row>
    <row r="102" spans="1:21" ht="27" hidden="1" customHeight="1" thickBot="1">
      <c r="A102" s="3184">
        <v>101</v>
      </c>
      <c r="B102" s="3185" t="s">
        <v>3887</v>
      </c>
      <c r="C102" s="3184" t="s">
        <v>4201</v>
      </c>
      <c r="D102" s="3184" t="s">
        <v>4202</v>
      </c>
      <c r="E102" s="3184" t="s">
        <v>3890</v>
      </c>
      <c r="F102" s="3184" t="s">
        <v>4203</v>
      </c>
      <c r="G102" s="3184" t="s">
        <v>3502</v>
      </c>
      <c r="H102" s="3184" t="s">
        <v>4197</v>
      </c>
      <c r="I102" s="3184" t="s">
        <v>3498</v>
      </c>
      <c r="J102" s="3184">
        <v>93.69</v>
      </c>
      <c r="K102" s="3184" t="s">
        <v>3386</v>
      </c>
      <c r="L102" s="3184" t="s">
        <v>3503</v>
      </c>
      <c r="M102" s="3184">
        <v>17</v>
      </c>
      <c r="N102" s="3184" t="s">
        <v>633</v>
      </c>
      <c r="O102" s="3184">
        <v>2011</v>
      </c>
      <c r="P102" s="3184" t="s">
        <v>633</v>
      </c>
      <c r="Q102" s="3184" t="s">
        <v>633</v>
      </c>
      <c r="R102" s="3184">
        <v>0</v>
      </c>
      <c r="S102" s="3184">
        <v>37059</v>
      </c>
      <c r="T102" s="3184">
        <v>3472058</v>
      </c>
      <c r="U102" s="3186">
        <v>41653</v>
      </c>
    </row>
    <row r="103" spans="1:21" ht="27" hidden="1" customHeight="1" thickBot="1">
      <c r="A103" s="3184">
        <v>102</v>
      </c>
      <c r="B103" s="3185" t="s">
        <v>3887</v>
      </c>
      <c r="C103" s="3184" t="s">
        <v>4204</v>
      </c>
      <c r="D103" s="3184" t="s">
        <v>4205</v>
      </c>
      <c r="E103" s="3184" t="s">
        <v>3890</v>
      </c>
      <c r="F103" s="3184" t="s">
        <v>4206</v>
      </c>
      <c r="G103" s="3184" t="s">
        <v>633</v>
      </c>
      <c r="H103" s="3184" t="s">
        <v>4197</v>
      </c>
      <c r="I103" s="3184" t="s">
        <v>3490</v>
      </c>
      <c r="J103" s="3184">
        <v>45.66</v>
      </c>
      <c r="K103" s="3184" t="s">
        <v>3386</v>
      </c>
      <c r="L103" s="3184">
        <v>7</v>
      </c>
      <c r="M103" s="3184">
        <v>2</v>
      </c>
      <c r="N103" s="3184" t="s">
        <v>633</v>
      </c>
      <c r="O103" s="3184">
        <v>1996</v>
      </c>
      <c r="P103" s="3184" t="s">
        <v>633</v>
      </c>
      <c r="Q103" s="3184" t="s">
        <v>633</v>
      </c>
      <c r="R103" s="3184">
        <v>40079</v>
      </c>
      <c r="S103" s="3184">
        <v>35391</v>
      </c>
      <c r="T103" s="3184">
        <v>1615953</v>
      </c>
      <c r="U103" s="3184" t="s">
        <v>4207</v>
      </c>
    </row>
    <row r="104" spans="1:21" s="3197" customFormat="1" ht="27" customHeight="1" thickBot="1">
      <c r="A104" s="3179">
        <v>103</v>
      </c>
      <c r="B104" s="3185" t="s">
        <v>3887</v>
      </c>
      <c r="C104" s="3184" t="s">
        <v>4208</v>
      </c>
      <c r="D104" s="3184" t="s">
        <v>4209</v>
      </c>
      <c r="E104" s="3179" t="s">
        <v>3890</v>
      </c>
      <c r="F104" s="3179" t="s">
        <v>4210</v>
      </c>
      <c r="G104" s="3179" t="s">
        <v>3494</v>
      </c>
      <c r="H104" s="3184" t="s">
        <v>4197</v>
      </c>
      <c r="I104" s="3179" t="s">
        <v>3495</v>
      </c>
      <c r="J104" s="3179">
        <v>88.68</v>
      </c>
      <c r="K104" s="3179" t="s">
        <v>3386</v>
      </c>
      <c r="L104" s="3179" t="s">
        <v>3496</v>
      </c>
      <c r="M104" s="3179"/>
      <c r="N104" s="3179">
        <v>2005</v>
      </c>
      <c r="O104" s="3179" t="s">
        <v>43</v>
      </c>
      <c r="P104" s="3184" t="s">
        <v>43</v>
      </c>
      <c r="Q104" s="3184" t="s">
        <v>43</v>
      </c>
      <c r="R104" s="3179">
        <v>31574</v>
      </c>
      <c r="S104" s="3179">
        <v>27882</v>
      </c>
      <c r="T104" s="3179">
        <v>2472576</v>
      </c>
      <c r="U104" s="3198">
        <v>41504</v>
      </c>
    </row>
    <row r="105" spans="1:21" ht="27" hidden="1" customHeight="1" thickBot="1">
      <c r="A105" s="3184">
        <v>104</v>
      </c>
      <c r="B105" s="3185" t="s">
        <v>3887</v>
      </c>
      <c r="C105" s="3184" t="s">
        <v>4211</v>
      </c>
      <c r="D105" s="3184" t="s">
        <v>4212</v>
      </c>
      <c r="E105" s="3184" t="s">
        <v>3890</v>
      </c>
      <c r="F105" s="3184" t="s">
        <v>4213</v>
      </c>
      <c r="G105" s="3184" t="s">
        <v>3502</v>
      </c>
      <c r="H105" s="3184" t="s">
        <v>4214</v>
      </c>
      <c r="I105" s="3184" t="s">
        <v>3498</v>
      </c>
      <c r="J105" s="3184">
        <v>93.89</v>
      </c>
      <c r="K105" s="3184" t="s">
        <v>3386</v>
      </c>
      <c r="L105" s="3184" t="s">
        <v>3503</v>
      </c>
      <c r="M105" s="3184"/>
      <c r="N105" s="3184" t="s">
        <v>43</v>
      </c>
      <c r="O105" s="3184">
        <v>2011</v>
      </c>
      <c r="P105" s="3184" t="s">
        <v>43</v>
      </c>
      <c r="Q105" s="3184" t="s">
        <v>43</v>
      </c>
      <c r="R105" s="3184">
        <v>0</v>
      </c>
      <c r="S105" s="3184">
        <v>35061</v>
      </c>
      <c r="T105" s="3184">
        <v>3291877</v>
      </c>
      <c r="U105" s="3193">
        <v>41450</v>
      </c>
    </row>
    <row r="106" spans="1:21" ht="27" hidden="1" customHeight="1" thickBot="1">
      <c r="A106" s="3184">
        <v>105</v>
      </c>
      <c r="B106" s="3185" t="s">
        <v>3887</v>
      </c>
      <c r="C106" s="3184" t="s">
        <v>4215</v>
      </c>
      <c r="D106" s="3184" t="s">
        <v>4216</v>
      </c>
      <c r="E106" s="3184" t="s">
        <v>3890</v>
      </c>
      <c r="F106" s="3184" t="s">
        <v>4130</v>
      </c>
      <c r="G106" s="3184" t="s">
        <v>3502</v>
      </c>
      <c r="H106" s="3184" t="s">
        <v>4217</v>
      </c>
      <c r="I106" s="3184" t="s">
        <v>3498</v>
      </c>
      <c r="J106" s="3184">
        <v>76.67</v>
      </c>
      <c r="K106" s="3184" t="s">
        <v>3386</v>
      </c>
      <c r="L106" s="3184" t="s">
        <v>3503</v>
      </c>
      <c r="M106" s="3184"/>
      <c r="N106" s="3184" t="s">
        <v>43</v>
      </c>
      <c r="O106" s="3184">
        <v>2011</v>
      </c>
      <c r="P106" s="3184" t="s">
        <v>43</v>
      </c>
      <c r="Q106" s="3184" t="s">
        <v>43</v>
      </c>
      <c r="R106" s="3184">
        <v>0</v>
      </c>
      <c r="S106" s="3184">
        <v>31133</v>
      </c>
      <c r="T106" s="3184">
        <v>2386967</v>
      </c>
      <c r="U106" s="3193">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5" t="s">
        <v>3602</v>
      </c>
      <c r="B29" s="3176" t="s">
        <v>3399</v>
      </c>
      <c r="C29" s="3176" t="s">
        <v>3603</v>
      </c>
      <c r="D29" s="3176" t="s">
        <v>3604</v>
      </c>
      <c r="F29" s="3176" t="s">
        <v>3606</v>
      </c>
      <c r="K29" s="3176" t="s">
        <v>3610</v>
      </c>
      <c r="X29" s="3176" t="s">
        <v>3623</v>
      </c>
      <c r="AW29" s="3178" t="s">
        <v>3646</v>
      </c>
    </row>
    <row r="30" spans="1:51" ht="11.25" customHeight="1">
      <c r="A30" s="3205" t="s">
        <v>3409</v>
      </c>
      <c r="B30" s="3205">
        <v>90.5</v>
      </c>
      <c r="C30" s="3205" t="s">
        <v>3410</v>
      </c>
      <c r="D30" s="3205" t="s">
        <v>3411</v>
      </c>
      <c r="E30" s="3183"/>
      <c r="F30" s="3205" t="s">
        <v>3412</v>
      </c>
      <c r="G30" s="3183"/>
      <c r="H30" s="3183"/>
      <c r="I30" s="3183"/>
      <c r="J30" s="3183"/>
      <c r="K30" s="3205" t="s">
        <v>3413</v>
      </c>
      <c r="L30" s="3183"/>
      <c r="M30" s="3183"/>
      <c r="N30" s="3183"/>
      <c r="O30" s="3183"/>
      <c r="P30" s="3183"/>
      <c r="Q30" s="3183"/>
      <c r="R30" s="3183"/>
      <c r="S30" s="3183"/>
      <c r="T30" s="3183"/>
      <c r="U30" s="3183"/>
      <c r="V30" s="3183"/>
      <c r="W30" s="3183"/>
      <c r="X30" s="3205" t="s">
        <v>3864</v>
      </c>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205"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3" t="s">
        <v>4304</v>
      </c>
    </row>
    <row r="32" spans="1:51" s="3183" customFormat="1" ht="11.25" customHeight="1">
      <c r="A32" s="3205" t="s">
        <v>4223</v>
      </c>
      <c r="B32" s="3205">
        <v>77.58</v>
      </c>
      <c r="C32" s="3205" t="s">
        <v>3419</v>
      </c>
      <c r="D32" s="3205" t="s">
        <v>3420</v>
      </c>
      <c r="F32" s="3205" t="s">
        <v>3412</v>
      </c>
      <c r="K32" s="3205" t="s">
        <v>3421</v>
      </c>
      <c r="X32" s="3205" t="s">
        <v>3866</v>
      </c>
      <c r="AW32" s="3205" t="s">
        <v>3422</v>
      </c>
      <c r="AX32" s="3183">
        <v>2011</v>
      </c>
    </row>
    <row r="33" spans="1:70" s="3201"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3">
        <v>2005</v>
      </c>
      <c r="AY33" s="3223" t="s">
        <v>4268</v>
      </c>
      <c r="AZ33" s="3183"/>
      <c r="BA33" s="3183"/>
      <c r="BB33" s="3183"/>
      <c r="BC33" s="3183"/>
      <c r="BD33" s="3183"/>
      <c r="BE33" s="3183"/>
      <c r="BF33" s="3183"/>
      <c r="BG33" s="3183"/>
      <c r="BH33" s="3183"/>
      <c r="BI33" s="3183"/>
      <c r="BJ33" s="3183"/>
      <c r="BK33" s="3183"/>
      <c r="BL33" s="3183"/>
      <c r="BM33" s="3183"/>
      <c r="BN33" s="3183"/>
      <c r="BO33" s="3183"/>
      <c r="BP33" s="3183"/>
      <c r="BQ33" s="3183"/>
      <c r="BR33" s="3183"/>
    </row>
    <row r="34" spans="1:70" ht="11.25" customHeight="1">
      <c r="A34" s="3174" t="s">
        <v>3426</v>
      </c>
      <c r="B34" s="3174">
        <v>59.47</v>
      </c>
      <c r="C34" s="3174" t="s">
        <v>3428</v>
      </c>
      <c r="D34" s="3174" t="s">
        <v>3411</v>
      </c>
      <c r="F34" s="3174" t="s">
        <v>3412</v>
      </c>
      <c r="K34" s="3174" t="s">
        <v>3431</v>
      </c>
      <c r="X34" s="3205" t="s">
        <v>3869</v>
      </c>
      <c r="Y34" s="3183"/>
      <c r="Z34" s="3183"/>
      <c r="AA34" s="3183"/>
      <c r="AB34" s="3183"/>
      <c r="AC34" s="3183"/>
      <c r="AD34" s="3183"/>
      <c r="AE34" s="3183"/>
      <c r="AF34" s="3183"/>
      <c r="AG34" s="3183"/>
      <c r="AH34" s="3183"/>
      <c r="AI34" s="3183"/>
      <c r="AJ34" s="3183"/>
      <c r="AK34" s="3183"/>
      <c r="AL34" s="3183"/>
      <c r="AM34" s="3183"/>
      <c r="AN34" s="3183"/>
      <c r="AO34" s="3183"/>
      <c r="AP34" s="3183"/>
      <c r="AQ34" s="3183"/>
      <c r="AR34" s="3183"/>
      <c r="AS34" s="3183"/>
      <c r="AT34" s="3183"/>
      <c r="AU34" s="3183"/>
      <c r="AV34" s="3183"/>
      <c r="AW34" s="3205" t="s">
        <v>3433</v>
      </c>
      <c r="AX34" s="3183"/>
    </row>
    <row r="35" spans="1:70" ht="11.25" customHeight="1">
      <c r="A35" s="3174" t="s">
        <v>3427</v>
      </c>
      <c r="B35" s="3174">
        <v>153.5</v>
      </c>
      <c r="C35" s="3174" t="s">
        <v>3429</v>
      </c>
      <c r="D35" s="3174" t="s">
        <v>3430</v>
      </c>
      <c r="F35" s="3174" t="s">
        <v>3412</v>
      </c>
      <c r="K35" s="3174" t="s">
        <v>3432</v>
      </c>
      <c r="X35" s="3205" t="s">
        <v>3870</v>
      </c>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205" t="s">
        <v>3434</v>
      </c>
      <c r="AX35" s="3183"/>
    </row>
    <row r="36" spans="1:70" ht="11.25" customHeight="1">
      <c r="A36" s="3174" t="s">
        <v>3435</v>
      </c>
      <c r="B36" s="3174">
        <v>74.33</v>
      </c>
      <c r="C36" s="3174" t="s">
        <v>3428</v>
      </c>
      <c r="D36" s="3174" t="s">
        <v>3420</v>
      </c>
      <c r="F36" s="3174" t="s">
        <v>3412</v>
      </c>
      <c r="K36" s="3174" t="s">
        <v>3436</v>
      </c>
      <c r="X36" s="3205" t="s">
        <v>3871</v>
      </c>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205" t="s">
        <v>3437</v>
      </c>
      <c r="AX36" s="3183"/>
    </row>
    <row r="37" spans="1:70" ht="11.25" customHeight="1">
      <c r="A37" s="3174" t="s">
        <v>4302</v>
      </c>
      <c r="B37" s="3174">
        <v>124.59</v>
      </c>
      <c r="C37" s="3174" t="s">
        <v>3438</v>
      </c>
      <c r="D37" s="3174" t="s">
        <v>3439</v>
      </c>
      <c r="F37" s="3174" t="s">
        <v>3412</v>
      </c>
      <c r="K37" s="3174" t="s">
        <v>3440</v>
      </c>
      <c r="X37" s="3205" t="s">
        <v>3872</v>
      </c>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205" t="s">
        <v>3441</v>
      </c>
      <c r="AX37" s="3183"/>
    </row>
    <row r="38" spans="1:70" ht="11.25" customHeight="1">
      <c r="A38" s="3174" t="s">
        <v>3442</v>
      </c>
      <c r="B38" s="3174">
        <v>111.75</v>
      </c>
      <c r="C38" s="3174" t="s">
        <v>3443</v>
      </c>
      <c r="D38" s="3174" t="s">
        <v>3411</v>
      </c>
      <c r="F38" s="3174" t="s">
        <v>3412</v>
      </c>
      <c r="K38" s="3174" t="s">
        <v>3445</v>
      </c>
      <c r="X38" s="3205" t="s">
        <v>3873</v>
      </c>
      <c r="Y38" s="3183"/>
      <c r="Z38" s="3183"/>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3"/>
      <c r="AV38" s="3183"/>
      <c r="AW38" s="3205" t="s">
        <v>3446</v>
      </c>
      <c r="AX38" s="3183"/>
    </row>
    <row r="39" spans="1:70" ht="11.25" customHeight="1">
      <c r="A39" s="3174" t="s">
        <v>3874</v>
      </c>
      <c r="B39" s="3174">
        <v>78.790000000000006</v>
      </c>
      <c r="C39" s="3177" t="s">
        <v>3423</v>
      </c>
      <c r="D39" s="3174" t="s">
        <v>3416</v>
      </c>
      <c r="F39" s="3174" t="s">
        <v>3412</v>
      </c>
      <c r="K39" s="3174" t="s">
        <v>3447</v>
      </c>
      <c r="X39" s="3205" t="s">
        <v>3875</v>
      </c>
      <c r="Y39" s="3183"/>
      <c r="Z39" s="3183"/>
      <c r="AA39" s="3183"/>
      <c r="AB39" s="3183"/>
      <c r="AC39" s="3183"/>
      <c r="AD39" s="3183"/>
      <c r="AE39" s="3183"/>
      <c r="AF39" s="3183"/>
      <c r="AG39" s="3183"/>
      <c r="AH39" s="3183"/>
      <c r="AI39" s="3183"/>
      <c r="AJ39" s="3183"/>
      <c r="AK39" s="3183"/>
      <c r="AL39" s="3183"/>
      <c r="AM39" s="3183"/>
      <c r="AN39" s="3183"/>
      <c r="AO39" s="3183"/>
      <c r="AP39" s="3183"/>
      <c r="AQ39" s="3183"/>
      <c r="AR39" s="3183"/>
      <c r="AS39" s="3183"/>
      <c r="AT39" s="3183"/>
      <c r="AU39" s="3183"/>
      <c r="AV39" s="3183"/>
      <c r="AW39" s="3228" t="s">
        <v>3448</v>
      </c>
      <c r="AX39" s="3183"/>
    </row>
    <row r="40" spans="1:70" ht="11.25" customHeight="1">
      <c r="A40" s="3174" t="s">
        <v>3449</v>
      </c>
      <c r="B40" s="3174">
        <v>93.77</v>
      </c>
      <c r="C40" s="3174" t="s">
        <v>3450</v>
      </c>
      <c r="D40" s="3174" t="s">
        <v>3411</v>
      </c>
      <c r="F40" s="3174" t="s">
        <v>3412</v>
      </c>
      <c r="K40" s="3174" t="s">
        <v>3451</v>
      </c>
      <c r="X40" s="3205">
        <v>68572</v>
      </c>
      <c r="Y40" s="3183"/>
      <c r="Z40" s="3183"/>
      <c r="AA40" s="3183"/>
      <c r="AB40" s="3183"/>
      <c r="AC40" s="3183"/>
      <c r="AD40" s="3183"/>
      <c r="AE40" s="3183"/>
      <c r="AF40" s="3183"/>
      <c r="AG40" s="3183"/>
      <c r="AH40" s="3183"/>
      <c r="AI40" s="3183"/>
      <c r="AJ40" s="3183"/>
      <c r="AK40" s="3183"/>
      <c r="AL40" s="3183"/>
      <c r="AM40" s="3183"/>
      <c r="AN40" s="3183"/>
      <c r="AO40" s="3183"/>
      <c r="AP40" s="3183"/>
      <c r="AQ40" s="3183"/>
      <c r="AR40" s="3183"/>
      <c r="AS40" s="3183"/>
      <c r="AT40" s="3183"/>
      <c r="AU40" s="3183"/>
      <c r="AV40" s="3183"/>
      <c r="AW40" s="3205" t="s">
        <v>3452</v>
      </c>
      <c r="AX40" s="3183"/>
    </row>
    <row r="41" spans="1:70" ht="11.25" customHeight="1">
      <c r="A41" s="3174" t="s">
        <v>3453</v>
      </c>
      <c r="B41" s="3174">
        <v>143.93</v>
      </c>
      <c r="C41" s="3174" t="s">
        <v>3454</v>
      </c>
      <c r="D41" s="3174" t="s">
        <v>3430</v>
      </c>
      <c r="F41" s="3174" t="s">
        <v>3412</v>
      </c>
      <c r="K41" s="3174" t="s">
        <v>3456</v>
      </c>
      <c r="X41" s="3205" t="s">
        <v>3876</v>
      </c>
      <c r="Y41" s="3183"/>
      <c r="Z41" s="3183"/>
      <c r="AA41" s="3183"/>
      <c r="AB41" s="3183"/>
      <c r="AC41" s="3183"/>
      <c r="AD41" s="3183"/>
      <c r="AE41" s="3183"/>
      <c r="AF41" s="3183"/>
      <c r="AG41" s="3183"/>
      <c r="AH41" s="3183"/>
      <c r="AI41" s="3183"/>
      <c r="AJ41" s="3183"/>
      <c r="AK41" s="3183"/>
      <c r="AL41" s="3183"/>
      <c r="AM41" s="3183"/>
      <c r="AN41" s="3183"/>
      <c r="AO41" s="3183"/>
      <c r="AP41" s="3183"/>
      <c r="AQ41" s="3183"/>
      <c r="AR41" s="3183"/>
      <c r="AS41" s="3183"/>
      <c r="AT41" s="3183"/>
      <c r="AU41" s="3183"/>
      <c r="AV41" s="3183"/>
      <c r="AW41" s="3205" t="s">
        <v>3457</v>
      </c>
      <c r="AX41" s="3183"/>
    </row>
    <row r="42" spans="1:70" ht="11.25" customHeight="1">
      <c r="A42" s="3206" t="s">
        <v>4281</v>
      </c>
      <c r="B42" s="3206">
        <v>82.11</v>
      </c>
      <c r="C42" s="3206" t="s">
        <v>3423</v>
      </c>
      <c r="D42" s="3206" t="s">
        <v>3411</v>
      </c>
      <c r="E42" s="3207"/>
      <c r="F42" s="3206" t="s">
        <v>3412</v>
      </c>
      <c r="G42" s="3207"/>
      <c r="H42" s="3207"/>
      <c r="I42" s="3207"/>
      <c r="J42" s="3207"/>
      <c r="K42" s="3206" t="s">
        <v>3459</v>
      </c>
      <c r="L42" s="3207"/>
      <c r="M42" s="3207"/>
      <c r="N42" s="3207"/>
      <c r="O42" s="3207"/>
      <c r="P42" s="3207"/>
      <c r="Q42" s="3207"/>
      <c r="R42" s="3207"/>
      <c r="S42" s="3207"/>
      <c r="T42" s="3207"/>
      <c r="U42" s="3207"/>
      <c r="V42" s="3207"/>
      <c r="W42" s="3207"/>
      <c r="X42" s="3206" t="s">
        <v>3877</v>
      </c>
      <c r="Y42" s="3207"/>
      <c r="Z42" s="3207"/>
      <c r="AA42" s="3207"/>
      <c r="AB42" s="3207"/>
      <c r="AC42" s="3207"/>
      <c r="AD42" s="3207"/>
      <c r="AE42" s="3207"/>
      <c r="AF42" s="3207"/>
      <c r="AG42" s="3207"/>
      <c r="AH42" s="3207"/>
      <c r="AI42" s="3207"/>
      <c r="AJ42" s="3207"/>
      <c r="AK42" s="3207"/>
      <c r="AL42" s="3207"/>
      <c r="AM42" s="3207"/>
      <c r="AN42" s="3207"/>
      <c r="AO42" s="3207"/>
      <c r="AP42" s="3207"/>
      <c r="AQ42" s="3207"/>
      <c r="AR42" s="3207"/>
      <c r="AS42" s="3207"/>
      <c r="AT42" s="3207"/>
      <c r="AU42" s="3207"/>
      <c r="AV42" s="3207"/>
      <c r="AW42" s="3206" t="s">
        <v>3460</v>
      </c>
      <c r="AX42">
        <v>16</v>
      </c>
      <c r="AY42" s="1403" t="s">
        <v>4289</v>
      </c>
    </row>
    <row r="43" spans="1:70" ht="11.25" customHeight="1">
      <c r="A43" s="3206" t="s">
        <v>4288</v>
      </c>
      <c r="B43" s="3206">
        <v>72.77</v>
      </c>
      <c r="C43" s="3206" t="s">
        <v>3438</v>
      </c>
      <c r="D43" s="3206" t="s">
        <v>3420</v>
      </c>
      <c r="E43" s="3207"/>
      <c r="F43" s="3206" t="s">
        <v>3412</v>
      </c>
      <c r="G43" s="3207"/>
      <c r="H43" s="3207"/>
      <c r="I43" s="3207"/>
      <c r="J43" s="3207"/>
      <c r="K43" s="3206" t="s">
        <v>3463</v>
      </c>
      <c r="L43" s="3207"/>
      <c r="M43" s="3207"/>
      <c r="N43" s="3207"/>
      <c r="O43" s="3207"/>
      <c r="P43" s="3207"/>
      <c r="Q43" s="3207"/>
      <c r="R43" s="3207"/>
      <c r="S43" s="3207"/>
      <c r="T43" s="3207"/>
      <c r="U43" s="3207"/>
      <c r="V43" s="3207"/>
      <c r="W43" s="3207"/>
      <c r="X43" s="3206" t="s">
        <v>3878</v>
      </c>
      <c r="Y43" s="3207"/>
      <c r="Z43" s="3207"/>
      <c r="AA43" s="3207"/>
      <c r="AB43" s="3207"/>
      <c r="AC43" s="3207"/>
      <c r="AD43" s="3207"/>
      <c r="AE43" s="3207"/>
      <c r="AF43" s="3207"/>
      <c r="AG43" s="3207"/>
      <c r="AH43" s="3207"/>
      <c r="AI43" s="3207"/>
      <c r="AJ43" s="3207"/>
      <c r="AK43" s="3207"/>
      <c r="AL43" s="3207"/>
      <c r="AM43" s="3207"/>
      <c r="AN43" s="3207"/>
      <c r="AO43" s="3207"/>
      <c r="AP43" s="3207"/>
      <c r="AQ43" s="3207"/>
      <c r="AR43" s="3207"/>
      <c r="AS43" s="3207"/>
      <c r="AT43" s="3207"/>
      <c r="AU43" s="3207"/>
      <c r="AV43" s="3207"/>
      <c r="AW43" s="3206" t="s">
        <v>3464</v>
      </c>
      <c r="AY43" s="1403" t="s">
        <v>4290</v>
      </c>
    </row>
    <row r="44" spans="1:70" ht="11.25" customHeight="1">
      <c r="A44" s="3174" t="s">
        <v>4282</v>
      </c>
      <c r="B44" s="3174">
        <v>38.4</v>
      </c>
      <c r="C44" s="3174" t="s">
        <v>3466</v>
      </c>
      <c r="D44" s="3174" t="s">
        <v>3420</v>
      </c>
      <c r="F44" s="3174" t="s">
        <v>3412</v>
      </c>
      <c r="K44" s="3174" t="s">
        <v>3467</v>
      </c>
      <c r="X44" s="3205" t="s">
        <v>3879</v>
      </c>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205" t="s">
        <v>3468</v>
      </c>
    </row>
    <row r="45" spans="1:70" ht="11.25" customHeight="1">
      <c r="A45" s="3174" t="s">
        <v>3880</v>
      </c>
      <c r="B45" s="3174">
        <v>71.06</v>
      </c>
      <c r="C45" s="3174" t="s">
        <v>3469</v>
      </c>
      <c r="D45" s="3174" t="s">
        <v>3420</v>
      </c>
      <c r="F45" s="3174" t="s">
        <v>3412</v>
      </c>
      <c r="K45" s="3174" t="s">
        <v>3471</v>
      </c>
      <c r="X45" s="3205" t="s">
        <v>3881</v>
      </c>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205"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4"/>
      <c r="B1" s="3146"/>
      <c r="C1" s="3146"/>
      <c r="D1" s="3146"/>
      <c r="E1" s="3146"/>
      <c r="F1" s="3146"/>
      <c r="G1" s="3146"/>
      <c r="H1" s="3146"/>
      <c r="I1" s="3146"/>
      <c r="J1" s="3146"/>
      <c r="K1" s="3148"/>
    </row>
    <row r="2" spans="1:14">
      <c r="A2" s="3145" t="s">
        <v>3398</v>
      </c>
      <c r="B2" s="3147" t="s">
        <v>3399</v>
      </c>
      <c r="C2" s="3147" t="s">
        <v>3400</v>
      </c>
      <c r="D2" s="3147" t="s">
        <v>3401</v>
      </c>
      <c r="E2" s="3147" t="s">
        <v>3402</v>
      </c>
      <c r="F2" s="3147" t="s">
        <v>3403</v>
      </c>
      <c r="G2" s="3147" t="s">
        <v>3404</v>
      </c>
      <c r="H2" s="3158" t="s">
        <v>3405</v>
      </c>
      <c r="I2" s="3147" t="s">
        <v>3406</v>
      </c>
      <c r="J2" s="3147" t="s">
        <v>3407</v>
      </c>
      <c r="K2" s="3149" t="s">
        <v>3408</v>
      </c>
    </row>
    <row r="3" spans="1:14" hidden="1">
      <c r="A3" s="3150" t="s">
        <v>3449</v>
      </c>
      <c r="B3" s="3150">
        <v>93.77</v>
      </c>
      <c r="C3" s="3150" t="s">
        <v>3450</v>
      </c>
      <c r="D3" s="3150" t="s">
        <v>3411</v>
      </c>
      <c r="E3" s="3150">
        <v>77.099999999999994</v>
      </c>
      <c r="F3" s="3150" t="s">
        <v>3412</v>
      </c>
      <c r="G3" s="3150">
        <v>2070000</v>
      </c>
      <c r="H3" s="3159">
        <v>22075</v>
      </c>
      <c r="I3" s="3150">
        <v>618.9</v>
      </c>
      <c r="J3" s="3150" t="s">
        <v>3451</v>
      </c>
      <c r="K3" s="3151" t="s">
        <v>3452</v>
      </c>
    </row>
    <row r="4" spans="1:14" hidden="1">
      <c r="A4" s="3150" t="s">
        <v>3453</v>
      </c>
      <c r="B4" s="3150">
        <v>143.93</v>
      </c>
      <c r="C4" s="3150" t="s">
        <v>3454</v>
      </c>
      <c r="D4" s="3150" t="s">
        <v>3430</v>
      </c>
      <c r="E4" s="3150" t="s">
        <v>3455</v>
      </c>
      <c r="F4" s="3150" t="s">
        <v>3412</v>
      </c>
      <c r="G4" s="3150">
        <v>3310000</v>
      </c>
      <c r="H4" s="3159">
        <v>22997</v>
      </c>
      <c r="I4" s="3150">
        <v>804.39</v>
      </c>
      <c r="J4" s="3150" t="s">
        <v>3456</v>
      </c>
      <c r="K4" s="3151" t="s">
        <v>3457</v>
      </c>
    </row>
    <row r="5" spans="1:14">
      <c r="A5" s="3150" t="s">
        <v>3458</v>
      </c>
      <c r="B5" s="3150">
        <v>82.11</v>
      </c>
      <c r="C5" s="3150" t="s">
        <v>3423</v>
      </c>
      <c r="D5" s="3150" t="s">
        <v>3411</v>
      </c>
      <c r="E5" s="3150" t="s">
        <v>633</v>
      </c>
      <c r="F5" s="3150" t="s">
        <v>3412</v>
      </c>
      <c r="G5" s="3150">
        <v>1850000</v>
      </c>
      <c r="H5" s="3159">
        <v>22531</v>
      </c>
      <c r="I5" s="3150">
        <v>521.98</v>
      </c>
      <c r="J5" s="3150" t="s">
        <v>3459</v>
      </c>
      <c r="K5" s="3151" t="s">
        <v>3460</v>
      </c>
    </row>
    <row r="6" spans="1:14">
      <c r="A6" s="3150" t="s">
        <v>3461</v>
      </c>
      <c r="B6" s="3150">
        <v>72.77</v>
      </c>
      <c r="C6" s="3150" t="s">
        <v>3438</v>
      </c>
      <c r="D6" s="3150" t="s">
        <v>3420</v>
      </c>
      <c r="E6" s="3150" t="s">
        <v>3462</v>
      </c>
      <c r="F6" s="3150" t="s">
        <v>3412</v>
      </c>
      <c r="G6" s="3150">
        <v>1800000</v>
      </c>
      <c r="H6" s="3159">
        <v>24735</v>
      </c>
      <c r="I6" s="3150">
        <v>454.47</v>
      </c>
      <c r="J6" s="3150" t="s">
        <v>3463</v>
      </c>
      <c r="K6" s="3151" t="s">
        <v>3464</v>
      </c>
    </row>
    <row r="7" spans="1:14" s="3157" customFormat="1" hidden="1">
      <c r="A7" s="3155" t="s">
        <v>3465</v>
      </c>
      <c r="B7" s="3155">
        <v>38.4</v>
      </c>
      <c r="C7" s="3155" t="s">
        <v>3466</v>
      </c>
      <c r="D7" s="3155" t="s">
        <v>3420</v>
      </c>
      <c r="E7" s="3155" t="s">
        <v>633</v>
      </c>
      <c r="F7" s="3155" t="s">
        <v>3412</v>
      </c>
      <c r="G7" s="3155">
        <v>2000000</v>
      </c>
      <c r="H7" s="3160">
        <v>52083</v>
      </c>
      <c r="I7" s="3155">
        <v>253.71</v>
      </c>
      <c r="J7" s="3155" t="s">
        <v>3467</v>
      </c>
      <c r="K7" s="3156" t="s">
        <v>3468</v>
      </c>
    </row>
    <row r="8" spans="1:14" s="3157" customFormat="1">
      <c r="A8" s="3155" t="s">
        <v>3504</v>
      </c>
      <c r="B8" s="3155">
        <v>71.06</v>
      </c>
      <c r="C8" s="3155" t="s">
        <v>3469</v>
      </c>
      <c r="D8" s="3155" t="s">
        <v>3420</v>
      </c>
      <c r="E8" s="3155" t="s">
        <v>3470</v>
      </c>
      <c r="F8" s="3155" t="s">
        <v>3412</v>
      </c>
      <c r="G8" s="3155">
        <v>3080000</v>
      </c>
      <c r="H8" s="3160">
        <v>43344</v>
      </c>
      <c r="I8" s="3155">
        <v>426.58</v>
      </c>
      <c r="J8" s="3155" t="s">
        <v>3471</v>
      </c>
      <c r="K8" s="3156" t="s">
        <v>3472</v>
      </c>
    </row>
    <row r="10" spans="1:14" ht="15" thickBot="1"/>
    <row r="11" spans="1:14" ht="15" thickBot="1">
      <c r="A11" s="3152" t="s">
        <v>3473</v>
      </c>
      <c r="B11" s="3152" t="s">
        <v>3474</v>
      </c>
      <c r="C11" s="3152" t="s">
        <v>3475</v>
      </c>
      <c r="D11" s="3152" t="s">
        <v>3476</v>
      </c>
      <c r="E11" s="3152" t="s">
        <v>3477</v>
      </c>
      <c r="F11" s="3152" t="s">
        <v>3478</v>
      </c>
      <c r="G11" s="3152" t="s">
        <v>3479</v>
      </c>
      <c r="H11" s="3152" t="s">
        <v>3480</v>
      </c>
      <c r="I11" s="3152" t="s">
        <v>3481</v>
      </c>
      <c r="J11" s="3152" t="s">
        <v>3482</v>
      </c>
      <c r="K11" s="3152" t="s">
        <v>3483</v>
      </c>
      <c r="L11" s="3152" t="s">
        <v>3484</v>
      </c>
      <c r="M11" s="3152" t="s">
        <v>3485</v>
      </c>
      <c r="N11" s="3152" t="s">
        <v>3486</v>
      </c>
    </row>
    <row r="12" spans="1:14" ht="15" thickBot="1">
      <c r="A12" s="3153" t="s">
        <v>3487</v>
      </c>
      <c r="B12" s="3153" t="s">
        <v>3488</v>
      </c>
      <c r="C12" s="3153" t="s">
        <v>3489</v>
      </c>
      <c r="D12" s="3153" t="s">
        <v>3490</v>
      </c>
      <c r="E12" s="3153">
        <v>48.95</v>
      </c>
      <c r="F12" s="3153" t="s">
        <v>3386</v>
      </c>
      <c r="G12" s="3153" t="s">
        <v>3491</v>
      </c>
      <c r="H12" s="3153">
        <v>15</v>
      </c>
      <c r="I12" s="3153" t="s">
        <v>633</v>
      </c>
      <c r="J12" s="3153">
        <v>1998</v>
      </c>
      <c r="K12" s="3153">
        <v>70480</v>
      </c>
      <c r="L12" s="3153">
        <v>63450</v>
      </c>
      <c r="M12" s="3153">
        <v>3105878</v>
      </c>
      <c r="N12" s="3154">
        <v>42825</v>
      </c>
    </row>
    <row r="13" spans="1:14" ht="27" thickBot="1">
      <c r="A13" s="3224" t="s">
        <v>4291</v>
      </c>
      <c r="B13" s="3224" t="s">
        <v>3494</v>
      </c>
      <c r="C13" s="3224" t="s">
        <v>3489</v>
      </c>
      <c r="D13" s="3224" t="s">
        <v>3495</v>
      </c>
      <c r="E13" s="3224">
        <v>90.99</v>
      </c>
      <c r="F13" s="3224" t="s">
        <v>3386</v>
      </c>
      <c r="G13" s="3224" t="s">
        <v>3496</v>
      </c>
      <c r="H13" s="3224">
        <v>16</v>
      </c>
      <c r="I13" s="3224">
        <v>2005</v>
      </c>
      <c r="J13" s="3224" t="s">
        <v>633</v>
      </c>
      <c r="K13" s="3224">
        <v>65941</v>
      </c>
      <c r="L13" s="3224">
        <v>59463</v>
      </c>
      <c r="M13" s="3224">
        <v>5410538</v>
      </c>
      <c r="N13" s="3225">
        <v>42840</v>
      </c>
    </row>
    <row r="15" spans="1:14">
      <c r="I15" s="1403"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1" t="s">
        <v>2317</v>
      </c>
      <c r="B2" s="2592" t="e">
        <f>IF(D2="——",C40,C40+E2)</f>
        <v>#DIV/0!</v>
      </c>
      <c r="C2" s="2593" t="s">
        <v>2318</v>
      </c>
      <c r="D2" s="3136" t="s">
        <v>3360</v>
      </c>
      <c r="E2" s="3137"/>
      <c r="F2" s="2595"/>
      <c r="G2" s="2596"/>
      <c r="H2" s="2597"/>
      <c r="I2" s="2598"/>
      <c r="J2" s="3539" t="s">
        <v>2319</v>
      </c>
      <c r="K2" s="3540"/>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541" t="s">
        <v>2329</v>
      </c>
      <c r="K3" s="3542"/>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541" t="s">
        <v>2331</v>
      </c>
      <c r="K4" s="3542"/>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547" t="s">
        <v>2335</v>
      </c>
      <c r="B6" s="3548"/>
      <c r="C6" s="3549"/>
      <c r="D6" s="2619"/>
      <c r="E6" s="2620"/>
      <c r="F6" s="2621"/>
      <c r="G6" s="2622"/>
      <c r="H6" s="2597"/>
      <c r="I6" s="2598"/>
      <c r="J6" s="3533">
        <v>1</v>
      </c>
      <c r="K6" s="35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533"/>
      <c r="K7" s="3535"/>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550" t="s">
        <v>2349</v>
      </c>
      <c r="C8" s="3551"/>
      <c r="D8" s="2638" t="s">
        <v>2350</v>
      </c>
      <c r="E8" s="2639" t="s">
        <v>2351</v>
      </c>
      <c r="F8" s="2640" t="s">
        <v>2352</v>
      </c>
      <c r="G8" s="2641"/>
      <c r="H8" s="2597"/>
      <c r="I8" s="2598"/>
      <c r="J8" s="3533"/>
      <c r="K8" s="3535"/>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550" t="s">
        <v>2355</v>
      </c>
      <c r="C9" s="3551"/>
      <c r="D9" s="2638">
        <f>ROUND(D6*E9,0)</f>
        <v>0</v>
      </c>
      <c r="E9" s="2642"/>
      <c r="F9" s="2643" t="s">
        <v>2356</v>
      </c>
      <c r="G9" s="2622"/>
      <c r="H9" s="2597"/>
      <c r="I9" s="2598"/>
      <c r="J9" s="3533"/>
      <c r="K9" s="3535"/>
      <c r="L9" s="2632" t="s">
        <v>2357</v>
      </c>
      <c r="M9" s="2633"/>
      <c r="N9" s="2609"/>
      <c r="O9" s="2634"/>
      <c r="P9" s="2634"/>
      <c r="Q9" s="2635">
        <v>365</v>
      </c>
      <c r="R9" s="2636">
        <f t="shared" si="0"/>
        <v>0</v>
      </c>
      <c r="S9" s="2590"/>
      <c r="T9" s="2590"/>
      <c r="U9" s="2590"/>
      <c r="V9" s="2598"/>
    </row>
    <row r="10" spans="1:22" s="2602" customFormat="1" ht="13.2" customHeight="1">
      <c r="A10" s="2637">
        <v>2</v>
      </c>
      <c r="B10" s="3550" t="s">
        <v>2358</v>
      </c>
      <c r="C10" s="3551"/>
      <c r="D10" s="2638">
        <f>ROUND(D6*E10,0)</f>
        <v>0</v>
      </c>
      <c r="E10" s="2642"/>
      <c r="F10" s="2643" t="s">
        <v>2359</v>
      </c>
      <c r="G10" s="2622"/>
      <c r="H10" s="2597"/>
      <c r="I10" s="2598"/>
      <c r="J10" s="3533"/>
      <c r="K10" s="3535"/>
      <c r="L10" s="2632" t="s">
        <v>2360</v>
      </c>
      <c r="M10" s="2633"/>
      <c r="N10" s="2609"/>
      <c r="O10" s="2634"/>
      <c r="P10" s="2634"/>
      <c r="Q10" s="2635">
        <v>365</v>
      </c>
      <c r="R10" s="2636">
        <f t="shared" si="0"/>
        <v>0</v>
      </c>
      <c r="S10" s="2590"/>
      <c r="T10" s="2590"/>
      <c r="U10" s="2590"/>
      <c r="V10" s="2598"/>
    </row>
    <row r="11" spans="1:22" s="2602" customFormat="1" ht="13.2" customHeight="1">
      <c r="A11" s="2637">
        <v>3</v>
      </c>
      <c r="B11" s="3550" t="s">
        <v>2361</v>
      </c>
      <c r="C11" s="3551"/>
      <c r="D11" s="2638">
        <f>D12+D14+D15+D16</f>
        <v>0</v>
      </c>
      <c r="E11" s="2644" t="e">
        <f>D11/D6</f>
        <v>#DIV/0!</v>
      </c>
      <c r="F11" s="2640"/>
      <c r="G11" s="2641"/>
      <c r="H11" s="2597"/>
      <c r="I11" s="2598"/>
      <c r="J11" s="3533"/>
      <c r="K11" s="3535"/>
      <c r="L11" s="2632" t="s">
        <v>2362</v>
      </c>
      <c r="M11" s="2633"/>
      <c r="N11" s="2609"/>
      <c r="O11" s="2634"/>
      <c r="P11" s="2634"/>
      <c r="Q11" s="2635">
        <v>365</v>
      </c>
      <c r="R11" s="2636">
        <f t="shared" si="0"/>
        <v>0</v>
      </c>
      <c r="S11" s="2590"/>
      <c r="T11" s="2590"/>
      <c r="U11" s="2590"/>
      <c r="V11" s="2598"/>
    </row>
    <row r="12" spans="1:22" s="2602" customFormat="1" ht="13.2" customHeight="1">
      <c r="A12" s="2645" t="s">
        <v>2363</v>
      </c>
      <c r="B12" s="3543" t="s">
        <v>2364</v>
      </c>
      <c r="C12" s="3544"/>
      <c r="D12" s="2646">
        <f>ROUND(D13*1.2%*(1-30%),0)</f>
        <v>0</v>
      </c>
      <c r="E12" s="2647">
        <v>1.2E-2</v>
      </c>
      <c r="F12" s="2640" t="s">
        <v>2365</v>
      </c>
      <c r="G12" s="2641"/>
      <c r="H12" s="2597"/>
      <c r="I12" s="2598"/>
      <c r="J12" s="3533"/>
      <c r="K12" s="3535"/>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533"/>
      <c r="K13" s="3535"/>
      <c r="L13" s="2632" t="s">
        <v>2368</v>
      </c>
      <c r="M13" s="2633"/>
      <c r="N13" s="2609"/>
      <c r="O13" s="2634"/>
      <c r="P13" s="2634"/>
      <c r="Q13" s="2635">
        <v>365</v>
      </c>
      <c r="R13" s="2636">
        <f t="shared" si="0"/>
        <v>0</v>
      </c>
      <c r="S13" s="2590"/>
      <c r="T13" s="2590"/>
      <c r="U13" s="2590"/>
      <c r="V13" s="2598"/>
    </row>
    <row r="14" spans="1:22" s="2602" customFormat="1" ht="13.2" customHeight="1">
      <c r="A14" s="2645" t="s">
        <v>2369</v>
      </c>
      <c r="B14" s="3543" t="s">
        <v>2370</v>
      </c>
      <c r="C14" s="3544"/>
      <c r="D14" s="2646">
        <f>ROUND(E14*B5/10000,0)</f>
        <v>0</v>
      </c>
      <c r="E14" s="2635"/>
      <c r="F14" s="2640" t="s">
        <v>2371</v>
      </c>
      <c r="G14" s="2641"/>
      <c r="H14" s="2597"/>
      <c r="I14" s="2598"/>
      <c r="J14" s="3533"/>
      <c r="K14" s="35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543" t="s">
        <v>2374</v>
      </c>
      <c r="C15" s="3544"/>
      <c r="D15" s="2646">
        <f>ROUND(D6*E15,0)</f>
        <v>0</v>
      </c>
      <c r="E15" s="2647">
        <v>5.5E-2</v>
      </c>
      <c r="F15" s="2640" t="s">
        <v>2375</v>
      </c>
      <c r="G15" s="2622"/>
      <c r="H15" s="2597"/>
      <c r="I15" s="2598"/>
      <c r="J15" s="3533">
        <v>2</v>
      </c>
      <c r="K15" s="35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543" t="s">
        <v>2383</v>
      </c>
      <c r="C16" s="3544"/>
      <c r="D16" s="2657">
        <f>D6*E16</f>
        <v>0</v>
      </c>
      <c r="E16" s="2658"/>
      <c r="F16" s="2643" t="s">
        <v>2384</v>
      </c>
      <c r="G16" s="2622"/>
      <c r="H16" s="2597"/>
      <c r="I16" s="2598"/>
      <c r="J16" s="3533"/>
      <c r="K16" s="3535"/>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545" t="s">
        <v>2386</v>
      </c>
      <c r="C17" s="3546"/>
      <c r="D17" s="2660">
        <f>ROUND(D6*E17,0)</f>
        <v>0</v>
      </c>
      <c r="E17" s="2661"/>
      <c r="F17" s="2662" t="s">
        <v>2387</v>
      </c>
      <c r="G17" s="2622"/>
      <c r="H17" s="2597"/>
      <c r="I17" s="2598"/>
      <c r="J17" s="3533"/>
      <c r="K17" s="3535"/>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533"/>
      <c r="K18" s="3535"/>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533"/>
      <c r="K19" s="35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533">
        <v>3</v>
      </c>
      <c r="K20" s="35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533"/>
      <c r="K21" s="3535"/>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533"/>
      <c r="K22" s="3535"/>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533"/>
      <c r="K23" s="3535"/>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533"/>
      <c r="K24" s="35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5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53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539" t="s">
        <v>2319</v>
      </c>
      <c r="K32" s="3540"/>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541" t="s">
        <v>2329</v>
      </c>
      <c r="K33" s="3542"/>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541" t="s">
        <v>2331</v>
      </c>
      <c r="K34" s="354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533">
        <v>1</v>
      </c>
      <c r="K36" s="3534"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533"/>
      <c r="K37" s="3535"/>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533"/>
      <c r="K38" s="3535"/>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533"/>
      <c r="K39" s="3535"/>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533"/>
      <c r="K40" s="3536"/>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537">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53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1657</v>
      </c>
      <c r="B1" s="1724"/>
      <c r="C1" s="1724"/>
      <c r="D1" s="1724"/>
      <c r="E1" s="1725"/>
      <c r="F1" s="2477"/>
      <c r="G1" s="458"/>
      <c r="H1" s="458"/>
      <c r="I1" s="458"/>
      <c r="J1" s="458"/>
      <c r="K1" s="458"/>
      <c r="L1" s="458"/>
      <c r="M1" s="458"/>
      <c r="N1" s="458"/>
      <c r="O1" s="458"/>
      <c r="P1" s="458"/>
      <c r="Q1" s="458"/>
      <c r="R1" s="458"/>
      <c r="S1" s="458"/>
    </row>
    <row r="2" spans="1:22" ht="15.6">
      <c r="A2" s="1726" t="s">
        <v>1461</v>
      </c>
      <c r="B2" s="810">
        <f ca="1">SUMIF(B6:B13,"&lt;&gt;#ref!",B6:B13)</f>
        <v>59.783299999999997</v>
      </c>
      <c r="C2" s="1727" t="s">
        <v>1650</v>
      </c>
      <c r="D2" s="1728" t="s">
        <v>1651</v>
      </c>
      <c r="E2" s="2390">
        <f>SUM(E6:E13)</f>
        <v>77.06</v>
      </c>
      <c r="F2" s="2477"/>
      <c r="G2" s="458"/>
      <c r="H2" s="458"/>
      <c r="I2" s="458"/>
      <c r="J2" s="458"/>
      <c r="K2" s="458"/>
      <c r="L2" s="458"/>
      <c r="M2" s="458"/>
      <c r="N2" s="458"/>
      <c r="O2" s="458"/>
      <c r="P2" s="458"/>
      <c r="Q2" s="458"/>
      <c r="R2" s="458"/>
      <c r="S2" s="458"/>
    </row>
    <row r="3" spans="1:22" ht="15.6">
      <c r="A3" s="1726" t="s">
        <v>686</v>
      </c>
      <c r="B3" s="2384">
        <f ca="1">ROUND(B2*10000/E2,0)</f>
        <v>7758</v>
      </c>
      <c r="C3" s="1727" t="s">
        <v>1658</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1652</v>
      </c>
      <c r="B5" s="3552" t="s">
        <v>1653</v>
      </c>
      <c r="C5" s="3553"/>
      <c r="D5" s="2478"/>
      <c r="E5" s="1729" t="s">
        <v>1654</v>
      </c>
      <c r="F5" s="128" t="s">
        <v>1655</v>
      </c>
      <c r="G5" s="458"/>
      <c r="H5" s="458"/>
      <c r="I5" s="458"/>
      <c r="J5" s="458"/>
      <c r="K5" s="458"/>
      <c r="L5" s="458"/>
      <c r="M5" s="458"/>
      <c r="N5" s="458"/>
      <c r="O5" s="458"/>
      <c r="P5" s="458"/>
      <c r="Q5" s="458"/>
      <c r="R5" s="458"/>
      <c r="S5" s="458"/>
    </row>
    <row r="6" spans="1:22" ht="14.4">
      <c r="A6" s="2387" t="str">
        <f>'数据-取费表'!AN6</f>
        <v>收益法1</v>
      </c>
      <c r="B6" s="2385">
        <f ca="1">IF(F6="是",'数据-取费表'!AO6,0)</f>
        <v>59.783299999999997</v>
      </c>
      <c r="C6" s="1727" t="s">
        <v>1650</v>
      </c>
      <c r="D6" s="2477"/>
      <c r="E6" s="2389">
        <f>IF(OR(A6=0,F6="否"),0,'数据-取费表'!K6+'数据-取费表'!S6)</f>
        <v>77.06</v>
      </c>
      <c r="F6" s="1730" t="s">
        <v>1656</v>
      </c>
      <c r="G6" s="458"/>
      <c r="H6" s="458"/>
      <c r="I6" s="458"/>
      <c r="J6" s="458"/>
      <c r="K6" s="458"/>
      <c r="L6" s="458"/>
      <c r="M6" s="458"/>
      <c r="N6" s="458"/>
      <c r="O6" s="458"/>
      <c r="P6" s="458"/>
      <c r="Q6" s="458"/>
      <c r="R6" s="458"/>
      <c r="S6" s="458"/>
    </row>
    <row r="7" spans="1:22" ht="14.4">
      <c r="A7" s="2387">
        <f>'数据-取费表'!AN7</f>
        <v>0</v>
      </c>
      <c r="B7" s="2385" t="e">
        <f ca="1">IF(F7="是",'数据-取费表'!AO7,0)</f>
        <v>#REF!</v>
      </c>
      <c r="C7" s="1727" t="s">
        <v>1650</v>
      </c>
      <c r="D7" s="2477"/>
      <c r="E7" s="2389">
        <f>IF(OR(A7=0,F7="否"),0,'数据-取费表'!K7+'数据-取费表'!S7)</f>
        <v>0</v>
      </c>
      <c r="F7" s="1730" t="s">
        <v>1656</v>
      </c>
      <c r="G7" s="458"/>
      <c r="H7" s="458"/>
      <c r="I7" s="458"/>
      <c r="J7" s="458"/>
      <c r="K7" s="458"/>
      <c r="L7" s="458"/>
      <c r="M7" s="458"/>
      <c r="N7" s="458"/>
      <c r="O7" s="458"/>
      <c r="P7" s="458"/>
      <c r="Q7" s="458"/>
      <c r="R7" s="458"/>
      <c r="S7" s="458"/>
    </row>
    <row r="8" spans="1:22" ht="14.4">
      <c r="A8" s="2387">
        <f>'数据-取费表'!AN8</f>
        <v>0</v>
      </c>
      <c r="B8" s="2385" t="e">
        <f ca="1">IF(F8="是",'数据-取费表'!AO8,0)</f>
        <v>#REF!</v>
      </c>
      <c r="C8" s="1727" t="s">
        <v>1650</v>
      </c>
      <c r="D8" s="2477"/>
      <c r="E8" s="2389">
        <f>IF(OR(A8=0,F8="否"),0,'数据-取费表'!K8+'数据-取费表'!S8)</f>
        <v>0</v>
      </c>
      <c r="F8" s="1730" t="s">
        <v>1656</v>
      </c>
      <c r="G8" s="458"/>
      <c r="H8" s="458"/>
      <c r="I8" s="458"/>
      <c r="J8" s="458"/>
      <c r="K8" s="458"/>
      <c r="L8" s="458"/>
      <c r="M8" s="458"/>
      <c r="N8" s="458"/>
      <c r="O8" s="458"/>
      <c r="P8" s="458"/>
      <c r="Q8" s="458"/>
      <c r="R8" s="458"/>
      <c r="S8" s="458"/>
    </row>
    <row r="9" spans="1:22" ht="14.4">
      <c r="A9" s="2387">
        <f>'数据-取费表'!AN9</f>
        <v>0</v>
      </c>
      <c r="B9" s="2385" t="e">
        <f ca="1">IF(F9="是",'数据-取费表'!AO9,0)</f>
        <v>#REF!</v>
      </c>
      <c r="C9" s="1727" t="s">
        <v>1650</v>
      </c>
      <c r="D9" s="2477"/>
      <c r="E9" s="2389">
        <f>IF(OR(A9=0,F9="否"),0,'数据-取费表'!K9+'数据-取费表'!S9)</f>
        <v>0</v>
      </c>
      <c r="F9" s="1730" t="s">
        <v>1656</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7" t="s">
        <v>1650</v>
      </c>
      <c r="D10" s="2477"/>
      <c r="E10" s="2389">
        <f>IF(OR(A10=0,F10="否"),0,'数据-取费表'!K10+'数据-取费表'!S10)</f>
        <v>0</v>
      </c>
      <c r="F10" s="1730" t="s">
        <v>1656</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7" t="s">
        <v>1650</v>
      </c>
      <c r="D11" s="2477"/>
      <c r="E11" s="2389">
        <f>IF(OR(A11=0,F11="否"),0,'数据-取费表'!K11+'数据-取费表'!S11)</f>
        <v>0</v>
      </c>
      <c r="F11" s="1730" t="s">
        <v>1656</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7" t="s">
        <v>1650</v>
      </c>
      <c r="D12" s="2477"/>
      <c r="E12" s="2389">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1650</v>
      </c>
      <c r="D13" s="2479"/>
      <c r="E13" s="2389">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3"/>
  </cols>
  <sheetData>
    <row r="11" spans="1:24">
      <c r="A11" s="3169">
        <v>43070</v>
      </c>
      <c r="B11" s="3166">
        <v>43040</v>
      </c>
      <c r="C11" s="3166">
        <v>43009</v>
      </c>
      <c r="D11" s="3166">
        <v>42979</v>
      </c>
      <c r="E11" s="3166">
        <v>42948</v>
      </c>
      <c r="F11" s="3166">
        <v>42917</v>
      </c>
      <c r="G11" s="3166">
        <v>42887</v>
      </c>
      <c r="H11" s="3166">
        <v>42856</v>
      </c>
      <c r="I11" s="3166">
        <v>42826</v>
      </c>
      <c r="J11" s="3169">
        <v>42795</v>
      </c>
      <c r="K11" s="3166">
        <v>42767</v>
      </c>
      <c r="L11" s="3166">
        <v>42736</v>
      </c>
      <c r="M11" s="3166">
        <v>42705</v>
      </c>
      <c r="N11" s="3166">
        <v>42675</v>
      </c>
      <c r="O11" s="3166">
        <v>42644</v>
      </c>
      <c r="P11" s="3166">
        <v>42614</v>
      </c>
      <c r="Q11" s="3166">
        <v>42583</v>
      </c>
      <c r="R11" s="3166">
        <v>42552</v>
      </c>
      <c r="S11" s="3166">
        <v>42522</v>
      </c>
      <c r="T11" s="3166">
        <v>42491</v>
      </c>
      <c r="U11" s="3166">
        <v>42461</v>
      </c>
      <c r="V11" s="3166">
        <v>42430</v>
      </c>
      <c r="W11" s="3166">
        <v>42401</v>
      </c>
      <c r="X11" s="3166">
        <v>42370</v>
      </c>
    </row>
    <row r="12" spans="1:24">
      <c r="A12" s="3170">
        <v>99.6</v>
      </c>
      <c r="B12" s="3167">
        <v>99.5</v>
      </c>
      <c r="C12" s="3167">
        <v>99.5</v>
      </c>
      <c r="D12" s="3167">
        <v>99.4</v>
      </c>
      <c r="E12" s="3167">
        <v>99.1</v>
      </c>
      <c r="F12" s="3167">
        <v>99.2</v>
      </c>
      <c r="G12" s="3167">
        <v>98.9</v>
      </c>
      <c r="H12" s="3167">
        <v>99.1</v>
      </c>
      <c r="I12" s="3167">
        <v>100</v>
      </c>
      <c r="J12" s="3170">
        <v>102.2</v>
      </c>
      <c r="K12" s="3167">
        <v>101.3</v>
      </c>
      <c r="L12" s="3167">
        <v>100.8</v>
      </c>
      <c r="M12" s="3167">
        <v>100.2</v>
      </c>
      <c r="N12" s="3167">
        <v>100.2</v>
      </c>
      <c r="O12" s="3167">
        <v>101.1</v>
      </c>
      <c r="P12" s="3167">
        <v>105.7</v>
      </c>
      <c r="Q12" s="3167">
        <v>103.9</v>
      </c>
      <c r="R12" s="3167">
        <v>101.6</v>
      </c>
      <c r="S12" s="3167">
        <v>101.4</v>
      </c>
      <c r="T12" s="3167">
        <v>102.3</v>
      </c>
      <c r="U12" s="3167">
        <v>103.7</v>
      </c>
      <c r="V12" s="3167">
        <v>106.3</v>
      </c>
      <c r="W12" s="3167">
        <v>103.2</v>
      </c>
      <c r="X12" s="3170">
        <v>102.3</v>
      </c>
    </row>
    <row r="13" spans="1:24">
      <c r="A13" s="3170">
        <f>ROUND(100/100,4)</f>
        <v>1</v>
      </c>
      <c r="B13" s="3167">
        <f t="shared" ref="B13:C13" si="0">ROUND(100/A12,4)</f>
        <v>1.004</v>
      </c>
      <c r="C13" s="3167">
        <f t="shared" si="0"/>
        <v>1.0049999999999999</v>
      </c>
      <c r="D13" s="3167">
        <f t="shared" ref="D13" si="1">ROUND(100/C12,4)</f>
        <v>1.0049999999999999</v>
      </c>
      <c r="E13" s="3167">
        <f t="shared" ref="E13" si="2">ROUND(100/D12,4)</f>
        <v>1.006</v>
      </c>
      <c r="F13" s="3167">
        <f t="shared" ref="F13" si="3">ROUND(100/E12,4)</f>
        <v>1.0091000000000001</v>
      </c>
      <c r="G13" s="3167">
        <f t="shared" ref="G13" si="4">ROUND(100/F12,4)</f>
        <v>1.0081</v>
      </c>
      <c r="H13" s="3167">
        <f t="shared" ref="H13" si="5">ROUND(100/G12,4)</f>
        <v>1.0111000000000001</v>
      </c>
      <c r="I13" s="3167">
        <f t="shared" ref="I13" si="6">ROUND(100/H12,4)</f>
        <v>1.0091000000000001</v>
      </c>
      <c r="J13" s="3170">
        <f t="shared" ref="J13" si="7">ROUND(100/I12,4)</f>
        <v>1</v>
      </c>
      <c r="K13" s="3167">
        <f t="shared" ref="K13" si="8">ROUND(100/J12,4)</f>
        <v>0.97850000000000004</v>
      </c>
      <c r="L13" s="3167">
        <f t="shared" ref="L13" si="9">ROUND(100/K12,4)</f>
        <v>0.98719999999999997</v>
      </c>
      <c r="M13" s="3167">
        <f t="shared" ref="M13" si="10">ROUND(100/L12,4)</f>
        <v>0.99209999999999998</v>
      </c>
      <c r="N13" s="3167">
        <f t="shared" ref="N13" si="11">ROUND(100/M12,4)</f>
        <v>0.998</v>
      </c>
      <c r="O13" s="3167">
        <f t="shared" ref="O13" si="12">ROUND(100/N12,4)</f>
        <v>0.998</v>
      </c>
      <c r="P13" s="3167">
        <f t="shared" ref="P13" si="13">ROUND(100/O12,4)</f>
        <v>0.98909999999999998</v>
      </c>
      <c r="Q13" s="3167">
        <f t="shared" ref="Q13" si="14">ROUND(100/P12,4)</f>
        <v>0.94610000000000005</v>
      </c>
      <c r="R13" s="3167">
        <f t="shared" ref="R13" si="15">ROUND(100/Q12,4)</f>
        <v>0.96250000000000002</v>
      </c>
      <c r="S13" s="3167">
        <f t="shared" ref="S13" si="16">ROUND(100/R12,4)</f>
        <v>0.98429999999999995</v>
      </c>
      <c r="T13" s="3167">
        <f t="shared" ref="T13" si="17">ROUND(100/S12,4)</f>
        <v>0.98619999999999997</v>
      </c>
      <c r="U13" s="3167">
        <f t="shared" ref="U13" si="18">ROUND(100/T12,4)</f>
        <v>0.97750000000000004</v>
      </c>
      <c r="V13" s="3167">
        <f t="shared" ref="V13" si="19">ROUND(100/U12,4)</f>
        <v>0.96430000000000005</v>
      </c>
      <c r="W13" s="3167">
        <f t="shared" ref="W13" si="20">ROUND(100/V12,4)</f>
        <v>0.94069999999999998</v>
      </c>
      <c r="X13" s="3167">
        <f t="shared" ref="X13" si="21">ROUND(100/W12,4)</f>
        <v>0.96899999999999997</v>
      </c>
    </row>
    <row r="14" spans="1:24">
      <c r="A14" s="3170">
        <v>1</v>
      </c>
      <c r="B14" s="3168">
        <f>ROUND(A14*B13,4)</f>
        <v>1.004</v>
      </c>
      <c r="C14" s="3168">
        <f t="shared" ref="C14:X14" si="22">ROUND(B14*C13,4)</f>
        <v>1.0089999999999999</v>
      </c>
      <c r="D14" s="3168">
        <f t="shared" si="22"/>
        <v>1.014</v>
      </c>
      <c r="E14" s="3168">
        <f t="shared" si="22"/>
        <v>1.0201</v>
      </c>
      <c r="F14" s="3168">
        <f t="shared" si="22"/>
        <v>1.0294000000000001</v>
      </c>
      <c r="G14" s="3168">
        <f t="shared" si="22"/>
        <v>1.0377000000000001</v>
      </c>
      <c r="H14" s="3168">
        <f t="shared" si="22"/>
        <v>1.0491999999999999</v>
      </c>
      <c r="I14" s="3168">
        <f t="shared" si="22"/>
        <v>1.0587</v>
      </c>
      <c r="J14" s="3173">
        <f t="shared" si="22"/>
        <v>1.0587</v>
      </c>
      <c r="K14" s="3168">
        <f t="shared" si="22"/>
        <v>1.0359</v>
      </c>
      <c r="L14" s="3168">
        <f t="shared" si="22"/>
        <v>1.0226</v>
      </c>
      <c r="M14" s="3168">
        <f t="shared" si="22"/>
        <v>1.0145</v>
      </c>
      <c r="N14" s="3168">
        <f t="shared" si="22"/>
        <v>1.0125</v>
      </c>
      <c r="O14" s="3168">
        <f t="shared" si="22"/>
        <v>1.0105</v>
      </c>
      <c r="P14" s="3168">
        <f t="shared" si="22"/>
        <v>0.99950000000000006</v>
      </c>
      <c r="Q14" s="3168">
        <f t="shared" si="22"/>
        <v>0.9456</v>
      </c>
      <c r="R14" s="3168">
        <f t="shared" si="22"/>
        <v>0.91010000000000002</v>
      </c>
      <c r="S14" s="3168">
        <f t="shared" si="22"/>
        <v>0.89580000000000004</v>
      </c>
      <c r="T14" s="3168">
        <f t="shared" si="22"/>
        <v>0.88339999999999996</v>
      </c>
      <c r="U14" s="3168">
        <f t="shared" si="22"/>
        <v>0.86350000000000005</v>
      </c>
      <c r="V14" s="3168">
        <f t="shared" si="22"/>
        <v>0.8327</v>
      </c>
      <c r="W14" s="3168">
        <f t="shared" si="22"/>
        <v>0.7833</v>
      </c>
      <c r="X14" s="3168">
        <f t="shared" si="22"/>
        <v>0.75900000000000001</v>
      </c>
    </row>
    <row r="15" spans="1:24">
      <c r="A15" s="3170">
        <v>100</v>
      </c>
      <c r="B15" s="3171">
        <f>ROUND(B14*100,1)</f>
        <v>100.4</v>
      </c>
      <c r="C15" s="3171">
        <f t="shared" ref="C15:X15" si="23">ROUND(C14*100,1)</f>
        <v>100.9</v>
      </c>
      <c r="D15" s="3171">
        <f t="shared" si="23"/>
        <v>101.4</v>
      </c>
      <c r="E15" s="3171">
        <f t="shared" si="23"/>
        <v>102</v>
      </c>
      <c r="F15" s="3171">
        <f t="shared" si="23"/>
        <v>102.9</v>
      </c>
      <c r="G15" s="3171">
        <f t="shared" si="23"/>
        <v>103.8</v>
      </c>
      <c r="H15" s="3171">
        <f t="shared" si="23"/>
        <v>104.9</v>
      </c>
      <c r="I15" s="3171">
        <f t="shared" si="23"/>
        <v>105.9</v>
      </c>
      <c r="J15" s="3172">
        <f t="shared" si="23"/>
        <v>105.9</v>
      </c>
      <c r="K15" s="3171">
        <f t="shared" si="23"/>
        <v>103.6</v>
      </c>
      <c r="L15" s="3171">
        <f t="shared" si="23"/>
        <v>102.3</v>
      </c>
      <c r="M15" s="3171">
        <f t="shared" si="23"/>
        <v>101.5</v>
      </c>
      <c r="N15" s="3171">
        <f t="shared" si="23"/>
        <v>101.3</v>
      </c>
      <c r="O15" s="3171">
        <f t="shared" si="23"/>
        <v>101.1</v>
      </c>
      <c r="P15" s="3171">
        <f t="shared" si="23"/>
        <v>100</v>
      </c>
      <c r="Q15" s="3171">
        <f t="shared" si="23"/>
        <v>94.6</v>
      </c>
      <c r="R15" s="3171">
        <f t="shared" si="23"/>
        <v>91</v>
      </c>
      <c r="S15" s="3171">
        <f t="shared" si="23"/>
        <v>89.6</v>
      </c>
      <c r="T15" s="3171">
        <f t="shared" si="23"/>
        <v>88.3</v>
      </c>
      <c r="U15" s="3171">
        <f t="shared" si="23"/>
        <v>86.4</v>
      </c>
      <c r="V15" s="3171">
        <f t="shared" si="23"/>
        <v>83.3</v>
      </c>
      <c r="W15" s="3171">
        <f t="shared" si="23"/>
        <v>78.3</v>
      </c>
      <c r="X15" s="3171">
        <f t="shared" si="23"/>
        <v>75.900000000000006</v>
      </c>
    </row>
    <row r="16" spans="1:24">
      <c r="A16">
        <f ca="1">J16/J15*A15</f>
        <v>12301.227573182246</v>
      </c>
      <c r="B16"/>
      <c r="J16">
        <f ca="1">结果表!G20</f>
        <v>13027</v>
      </c>
    </row>
    <row r="17" spans="1:15">
      <c r="B17"/>
    </row>
    <row r="18" spans="1:15">
      <c r="A18" s="3169">
        <v>42795</v>
      </c>
      <c r="B18" s="3166">
        <v>42767</v>
      </c>
      <c r="C18" s="3166">
        <v>42736</v>
      </c>
      <c r="D18" s="3166">
        <v>42705</v>
      </c>
      <c r="E18" s="3166">
        <v>42675</v>
      </c>
      <c r="F18" s="3166">
        <v>42644</v>
      </c>
      <c r="G18" s="3166">
        <v>42614</v>
      </c>
      <c r="H18" s="3166">
        <v>42583</v>
      </c>
      <c r="I18" s="3166">
        <v>42552</v>
      </c>
      <c r="J18" s="3166">
        <v>42522</v>
      </c>
      <c r="K18" s="3166">
        <v>42491</v>
      </c>
      <c r="L18" s="3166">
        <v>42461</v>
      </c>
      <c r="M18" s="3166">
        <v>42430</v>
      </c>
      <c r="N18" s="3166">
        <v>42401</v>
      </c>
      <c r="O18" s="3166">
        <v>42370</v>
      </c>
    </row>
    <row r="19" spans="1:15">
      <c r="A19" s="3170">
        <v>102.2</v>
      </c>
      <c r="B19" s="3167">
        <v>101.3</v>
      </c>
      <c r="C19" s="3167">
        <v>100.8</v>
      </c>
      <c r="D19" s="3167">
        <v>100.2</v>
      </c>
      <c r="E19" s="3167">
        <v>100.2</v>
      </c>
      <c r="F19" s="3167">
        <v>101.1</v>
      </c>
      <c r="G19" s="3167">
        <v>105.7</v>
      </c>
      <c r="H19" s="3167">
        <v>103.9</v>
      </c>
      <c r="I19" s="3167">
        <v>101.6</v>
      </c>
      <c r="J19" s="3167">
        <v>101.4</v>
      </c>
      <c r="K19" s="3167">
        <v>102.3</v>
      </c>
      <c r="L19" s="3167">
        <v>103.7</v>
      </c>
      <c r="M19" s="3167">
        <v>106.3</v>
      </c>
      <c r="N19" s="3167">
        <v>103.2</v>
      </c>
      <c r="O19" s="3167">
        <v>102.3</v>
      </c>
    </row>
    <row r="20" spans="1:15">
      <c r="A20" s="3170">
        <v>1</v>
      </c>
      <c r="B20" s="3167">
        <f t="shared" ref="B20" si="24">ROUND(100/A19,4)</f>
        <v>0.97850000000000004</v>
      </c>
      <c r="C20" s="3167">
        <f t="shared" ref="C20" si="25">ROUND(100/B19,4)</f>
        <v>0.98719999999999997</v>
      </c>
      <c r="D20" s="3167">
        <f t="shared" ref="D20" si="26">ROUND(100/C19,4)</f>
        <v>0.99209999999999998</v>
      </c>
      <c r="E20" s="3167">
        <f t="shared" ref="E20" si="27">ROUND(100/D19,4)</f>
        <v>0.998</v>
      </c>
      <c r="F20" s="3167">
        <f t="shared" ref="F20" si="28">ROUND(100/E19,4)</f>
        <v>0.998</v>
      </c>
      <c r="G20" s="3167">
        <f t="shared" ref="G20" si="29">ROUND(100/F19,4)</f>
        <v>0.98909999999999998</v>
      </c>
      <c r="H20" s="3167">
        <f t="shared" ref="H20" si="30">ROUND(100/G19,4)</f>
        <v>0.94610000000000005</v>
      </c>
      <c r="I20" s="3167">
        <f t="shared" ref="I20" si="31">ROUND(100/H19,4)</f>
        <v>0.96250000000000002</v>
      </c>
      <c r="J20" s="3167">
        <f t="shared" ref="J20" si="32">ROUND(100/I19,4)</f>
        <v>0.98429999999999995</v>
      </c>
      <c r="K20" s="3167">
        <f t="shared" ref="K20" si="33">ROUND(100/J19,4)</f>
        <v>0.98619999999999997</v>
      </c>
      <c r="L20" s="3167">
        <f t="shared" ref="L20" si="34">ROUND(100/K19,4)</f>
        <v>0.97750000000000004</v>
      </c>
      <c r="M20" s="3167">
        <f t="shared" ref="M20" si="35">ROUND(100/L19,4)</f>
        <v>0.96430000000000005</v>
      </c>
      <c r="N20" s="3167">
        <f t="shared" ref="N20" si="36">ROUND(100/M19,4)</f>
        <v>0.94069999999999998</v>
      </c>
      <c r="O20" s="3167">
        <f t="shared" ref="O20" si="37">ROUND(100/N19,4)</f>
        <v>0.96899999999999997</v>
      </c>
    </row>
    <row r="21" spans="1:15">
      <c r="A21" s="3173">
        <v>1</v>
      </c>
      <c r="B21" s="3168">
        <f t="shared" ref="B21" si="38">ROUND(A21*B20,4)</f>
        <v>0.97850000000000004</v>
      </c>
      <c r="C21" s="3168">
        <f t="shared" ref="C21" si="39">ROUND(B21*C20,4)</f>
        <v>0.96599999999999997</v>
      </c>
      <c r="D21" s="3168">
        <f t="shared" ref="D21" si="40">ROUND(C21*D20,4)</f>
        <v>0.95840000000000003</v>
      </c>
      <c r="E21" s="3168">
        <f t="shared" ref="E21" si="41">ROUND(D21*E20,4)</f>
        <v>0.95650000000000002</v>
      </c>
      <c r="F21" s="3168">
        <f t="shared" ref="F21" si="42">ROUND(E21*F20,4)</f>
        <v>0.9546</v>
      </c>
      <c r="G21" s="3168">
        <f t="shared" ref="G21" si="43">ROUND(F21*G20,4)</f>
        <v>0.94420000000000004</v>
      </c>
      <c r="H21" s="3168">
        <f t="shared" ref="H21" si="44">ROUND(G21*H20,4)</f>
        <v>0.89329999999999998</v>
      </c>
      <c r="I21" s="3168">
        <f t="shared" ref="I21" si="45">ROUND(H21*I20,4)</f>
        <v>0.85980000000000001</v>
      </c>
      <c r="J21" s="3168">
        <f t="shared" ref="J21" si="46">ROUND(I21*J20,4)</f>
        <v>0.84630000000000005</v>
      </c>
      <c r="K21" s="3168">
        <f t="shared" ref="K21" si="47">ROUND(J21*K20,4)</f>
        <v>0.83460000000000001</v>
      </c>
      <c r="L21" s="3168">
        <f t="shared" ref="L21" si="48">ROUND(K21*L20,4)</f>
        <v>0.81579999999999997</v>
      </c>
      <c r="M21" s="3168">
        <f t="shared" ref="M21" si="49">ROUND(L21*M20,4)</f>
        <v>0.78669999999999995</v>
      </c>
      <c r="N21" s="3168">
        <f t="shared" ref="N21" si="50">ROUND(M21*N20,4)</f>
        <v>0.74</v>
      </c>
      <c r="O21" s="3168">
        <f t="shared" ref="O21" si="51">ROUND(N21*O20,4)</f>
        <v>0.71709999999999996</v>
      </c>
    </row>
    <row r="22" spans="1:15">
      <c r="A22" s="3172">
        <v>100</v>
      </c>
      <c r="B22" s="3171">
        <f t="shared" ref="B22" si="52">ROUND(B21*100,1)</f>
        <v>97.9</v>
      </c>
      <c r="C22" s="3171">
        <f t="shared" ref="C22" si="53">ROUND(C21*100,1)</f>
        <v>96.6</v>
      </c>
      <c r="D22" s="3171">
        <f t="shared" ref="D22" si="54">ROUND(D21*100,1)</f>
        <v>95.8</v>
      </c>
      <c r="E22" s="3171">
        <f t="shared" ref="E22" si="55">ROUND(E21*100,1)</f>
        <v>95.7</v>
      </c>
      <c r="F22" s="3171">
        <f t="shared" ref="F22" si="56">ROUND(F21*100,1)</f>
        <v>95.5</v>
      </c>
      <c r="G22" s="3171">
        <f t="shared" ref="G22" si="57">ROUND(G21*100,1)</f>
        <v>94.4</v>
      </c>
      <c r="H22" s="3171">
        <f t="shared" ref="H22" si="58">ROUND(H21*100,1)</f>
        <v>89.3</v>
      </c>
      <c r="I22" s="3171">
        <f t="shared" ref="I22" si="59">ROUND(I21*100,1)</f>
        <v>86</v>
      </c>
      <c r="J22" s="3171">
        <f t="shared" ref="J22" si="60">ROUND(J21*100,1)</f>
        <v>84.6</v>
      </c>
      <c r="K22" s="3171">
        <f t="shared" ref="K22" si="61">ROUND(K21*100,1)</f>
        <v>83.5</v>
      </c>
      <c r="L22" s="3171">
        <f t="shared" ref="L22" si="62">ROUND(L21*100,1)</f>
        <v>81.599999999999994</v>
      </c>
      <c r="M22" s="3171">
        <f t="shared" ref="M22" si="63">ROUND(M21*100,1)</f>
        <v>78.7</v>
      </c>
      <c r="N22" s="3171">
        <f t="shared" ref="N22" si="64">ROUND(N21*100,1)</f>
        <v>74</v>
      </c>
      <c r="O22" s="3171">
        <f t="shared" ref="O22" si="65">ROUND(O21*100,1)</f>
        <v>71.7</v>
      </c>
    </row>
    <row r="23" spans="1:15">
      <c r="B23"/>
    </row>
    <row r="24" spans="1:15">
      <c r="A24">
        <v>30000</v>
      </c>
      <c r="B24">
        <f>A24*J15/100</f>
        <v>31770</v>
      </c>
    </row>
    <row r="25" spans="1:15">
      <c r="B25"/>
    </row>
    <row r="26" spans="1:15">
      <c r="A26" s="3164" t="s">
        <v>3598</v>
      </c>
      <c r="B26"/>
      <c r="E26" s="3164" t="s">
        <v>3599</v>
      </c>
    </row>
    <row r="27" spans="1:15">
      <c r="A27" s="3164" t="s">
        <v>3574</v>
      </c>
      <c r="B27">
        <v>36561</v>
      </c>
      <c r="E27" s="3164" t="s">
        <v>3574</v>
      </c>
      <c r="F27">
        <v>38419</v>
      </c>
    </row>
    <row r="28" spans="1:15">
      <c r="A28" s="3164" t="s">
        <v>3575</v>
      </c>
      <c r="B28">
        <v>37401</v>
      </c>
      <c r="E28" s="3164" t="s">
        <v>3575</v>
      </c>
      <c r="F28">
        <v>39453</v>
      </c>
    </row>
    <row r="29" spans="1:15">
      <c r="A29" s="3164" t="s">
        <v>3576</v>
      </c>
      <c r="B29">
        <v>37653</v>
      </c>
      <c r="E29" s="3164" t="s">
        <v>3576</v>
      </c>
      <c r="F29">
        <v>40059</v>
      </c>
    </row>
    <row r="30" spans="1:15">
      <c r="A30" s="3164" t="s">
        <v>3577</v>
      </c>
      <c r="B30">
        <v>39640</v>
      </c>
      <c r="E30" s="3164" t="s">
        <v>3577</v>
      </c>
      <c r="F30">
        <v>41154</v>
      </c>
    </row>
    <row r="31" spans="1:15">
      <c r="A31" s="3164" t="s">
        <v>3578</v>
      </c>
      <c r="B31">
        <v>40403</v>
      </c>
      <c r="E31" s="3164" t="s">
        <v>3578</v>
      </c>
      <c r="F31">
        <v>41905</v>
      </c>
    </row>
    <row r="32" spans="1:15">
      <c r="A32" s="3164" t="s">
        <v>3579</v>
      </c>
      <c r="B32">
        <v>40762</v>
      </c>
      <c r="E32" s="3164" t="s">
        <v>3579</v>
      </c>
      <c r="F32">
        <v>43366</v>
      </c>
    </row>
    <row r="33" spans="1:6">
      <c r="A33" s="3164" t="s">
        <v>3580</v>
      </c>
      <c r="B33">
        <v>41808</v>
      </c>
      <c r="E33" s="3164" t="s">
        <v>3580</v>
      </c>
      <c r="F33">
        <v>42486</v>
      </c>
    </row>
    <row r="34" spans="1:6">
      <c r="A34" s="3164" t="s">
        <v>3581</v>
      </c>
      <c r="B34">
        <v>42411</v>
      </c>
      <c r="E34" s="3164" t="s">
        <v>3581</v>
      </c>
      <c r="F34">
        <v>43909</v>
      </c>
    </row>
    <row r="35" spans="1:6">
      <c r="A35" s="3164" t="s">
        <v>3582</v>
      </c>
      <c r="B35">
        <v>45417</v>
      </c>
      <c r="E35" s="3164" t="s">
        <v>3582</v>
      </c>
      <c r="F35">
        <v>46946</v>
      </c>
    </row>
    <row r="36" spans="1:6">
      <c r="A36" s="3164" t="s">
        <v>3583</v>
      </c>
      <c r="B36">
        <v>52172</v>
      </c>
      <c r="E36" s="3164" t="s">
        <v>3583</v>
      </c>
      <c r="F36">
        <v>52988</v>
      </c>
    </row>
    <row r="37" spans="1:6">
      <c r="A37" s="3164" t="s">
        <v>3584</v>
      </c>
      <c r="B37">
        <v>55707</v>
      </c>
      <c r="E37" s="3164" t="s">
        <v>3584</v>
      </c>
      <c r="F37">
        <v>57025</v>
      </c>
    </row>
    <row r="38" spans="1:6">
      <c r="A38" s="3164" t="s">
        <v>3585</v>
      </c>
      <c r="B38">
        <v>56266</v>
      </c>
      <c r="E38" s="3164" t="s">
        <v>3585</v>
      </c>
      <c r="F38">
        <v>58590</v>
      </c>
    </row>
    <row r="39" spans="1:6">
      <c r="A39" s="3164" t="s">
        <v>3586</v>
      </c>
      <c r="B39">
        <v>55969</v>
      </c>
      <c r="E39" s="3164" t="s">
        <v>3586</v>
      </c>
      <c r="F39">
        <v>57404</v>
      </c>
    </row>
    <row r="40" spans="1:6">
      <c r="A40" s="3164" t="s">
        <v>3587</v>
      </c>
      <c r="B40">
        <v>58164</v>
      </c>
      <c r="E40" s="3164" t="s">
        <v>3587</v>
      </c>
      <c r="F40">
        <v>60291</v>
      </c>
    </row>
    <row r="41" spans="1:6">
      <c r="A41" s="3165" t="s">
        <v>3588</v>
      </c>
      <c r="B41" s="3161">
        <v>61171</v>
      </c>
      <c r="E41" s="3165" t="s">
        <v>3588</v>
      </c>
      <c r="F41" s="3161">
        <v>63735</v>
      </c>
    </row>
    <row r="42" spans="1:6">
      <c r="A42" s="3164" t="s">
        <v>3589</v>
      </c>
      <c r="B42">
        <v>63742</v>
      </c>
      <c r="E42" s="3164" t="s">
        <v>3589</v>
      </c>
      <c r="F42">
        <v>67349</v>
      </c>
    </row>
    <row r="43" spans="1:6">
      <c r="A43" s="3164" t="s">
        <v>3590</v>
      </c>
      <c r="B43">
        <v>63875</v>
      </c>
      <c r="E43" s="3164" t="s">
        <v>3590</v>
      </c>
      <c r="F43">
        <v>67129</v>
      </c>
    </row>
    <row r="44" spans="1:6">
      <c r="A44" s="3164" t="s">
        <v>3591</v>
      </c>
      <c r="B44">
        <v>62859</v>
      </c>
      <c r="E44" s="3164" t="s">
        <v>3591</v>
      </c>
      <c r="F44">
        <v>66013</v>
      </c>
    </row>
    <row r="45" spans="1:6">
      <c r="A45" s="3164" t="s">
        <v>3592</v>
      </c>
      <c r="B45">
        <v>59079</v>
      </c>
      <c r="E45" s="3164" t="s">
        <v>3592</v>
      </c>
      <c r="F45">
        <v>65087</v>
      </c>
    </row>
    <row r="46" spans="1:6">
      <c r="A46" s="3164" t="s">
        <v>3593</v>
      </c>
      <c r="B46">
        <v>57876</v>
      </c>
      <c r="E46" s="3164" t="s">
        <v>3593</v>
      </c>
      <c r="F46">
        <v>63156</v>
      </c>
    </row>
    <row r="47" spans="1:6">
      <c r="A47" s="3164" t="s">
        <v>3594</v>
      </c>
      <c r="B47">
        <v>57283</v>
      </c>
      <c r="E47" s="3164" t="s">
        <v>3594</v>
      </c>
      <c r="F47">
        <v>62696</v>
      </c>
    </row>
    <row r="48" spans="1:6">
      <c r="A48" s="3164" t="s">
        <v>3595</v>
      </c>
      <c r="B48">
        <v>57750</v>
      </c>
      <c r="E48" s="3164" t="s">
        <v>3595</v>
      </c>
      <c r="F48">
        <v>62973</v>
      </c>
    </row>
    <row r="49" spans="1:7">
      <c r="A49" s="3164" t="s">
        <v>3596</v>
      </c>
      <c r="B49">
        <v>56790</v>
      </c>
      <c r="E49" s="3164" t="s">
        <v>3596</v>
      </c>
      <c r="F49">
        <v>61007</v>
      </c>
    </row>
    <row r="50" spans="1:7">
      <c r="A50" s="3165" t="s">
        <v>3597</v>
      </c>
      <c r="B50" s="3161">
        <v>58169</v>
      </c>
      <c r="C50">
        <f>(B41-B50)/B50</f>
        <v>5.1608244941463668E-2</v>
      </c>
      <c r="E50" s="3165" t="s">
        <v>3597</v>
      </c>
      <c r="F50" s="3161">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3" sqref="C13:C2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f ca="1">ROUND(D2/10000,4)</f>
        <v>59.783299999999997</v>
      </c>
      <c r="C2" s="1287" t="s">
        <v>879</v>
      </c>
      <c r="D2" s="1373">
        <f ca="1">C40+J29+L46</f>
        <v>597833</v>
      </c>
      <c r="E2" s="1293" t="s">
        <v>880</v>
      </c>
      <c r="F2" s="1294"/>
      <c r="G2" s="2476"/>
      <c r="H2" s="2466"/>
      <c r="I2" s="2466"/>
      <c r="J2" s="2466"/>
      <c r="K2" s="2467"/>
      <c r="L2" s="2466"/>
      <c r="M2" s="2466"/>
    </row>
    <row r="3" spans="1:37" ht="18" customHeight="1" thickBot="1">
      <c r="A3" s="1295" t="s">
        <v>881</v>
      </c>
      <c r="B3" s="1296">
        <f ca="1">IF(ISERROR(D2/F43),0,ROUND(D2/F43,0))</f>
        <v>7758</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19464</v>
      </c>
      <c r="D5" s="1271" t="s">
        <v>889</v>
      </c>
      <c r="E5" s="1007"/>
      <c r="F5" s="1008"/>
      <c r="G5" s="1290"/>
      <c r="H5" s="290">
        <v>1</v>
      </c>
      <c r="I5" s="291" t="s">
        <v>888</v>
      </c>
      <c r="J5" s="1006">
        <f ca="1">J6+J10+J12</f>
        <v>0</v>
      </c>
      <c r="K5" s="1271" t="s">
        <v>889</v>
      </c>
      <c r="L5" s="1007"/>
      <c r="M5" s="1008"/>
    </row>
    <row r="6" spans="1:37" ht="18" customHeight="1">
      <c r="A6" s="1005" t="s">
        <v>398</v>
      </c>
      <c r="B6" s="3484" t="s">
        <v>694</v>
      </c>
      <c r="C6" s="1010">
        <f ca="1">ROUND(F6*F8*F7*(1-F9),0)</f>
        <v>19440</v>
      </c>
      <c r="D6" s="146" t="s">
        <v>2105</v>
      </c>
      <c r="E6" s="293" t="s">
        <v>696</v>
      </c>
      <c r="F6" s="3282">
        <f ca="1">INDIRECT("'数据-取费表'!u"&amp;$G$1)</f>
        <v>1800</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290">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24</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1">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91">
        <f>'数据-取费表'!B40</f>
        <v>3.1E-2</v>
      </c>
      <c r="G24" s="1301"/>
      <c r="H24" s="1024" t="s">
        <v>684</v>
      </c>
      <c r="I24" s="1025" t="s">
        <v>728</v>
      </c>
      <c r="J24" s="1026">
        <f ca="1">ROUND(J5*M24,0)</f>
        <v>0</v>
      </c>
      <c r="K24" s="1027" t="s">
        <v>748</v>
      </c>
      <c r="L24" s="1025" t="s">
        <v>744</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28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1066</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463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744</v>
      </c>
      <c r="F37" s="320">
        <f ca="1">INDIRECT("'数据-取费表'!Al"&amp;$G$1)</f>
        <v>1E-3</v>
      </c>
      <c r="G37" s="1290"/>
      <c r="H37" s="2471"/>
      <c r="I37" s="1303"/>
      <c r="J37" s="1304"/>
      <c r="K37" s="2328"/>
      <c r="L37" s="2471"/>
      <c r="M37" s="2471"/>
    </row>
    <row r="38" spans="1:18" ht="18" customHeight="1" thickBot="1">
      <c r="A38" s="1024" t="s">
        <v>684</v>
      </c>
      <c r="B38" s="1025" t="s">
        <v>728</v>
      </c>
      <c r="C38" s="1026">
        <f ca="1">ROUND(C5*F38,0)</f>
        <v>19</v>
      </c>
      <c r="D38" s="1027" t="s">
        <v>748</v>
      </c>
      <c r="E38" s="1025" t="s">
        <v>744</v>
      </c>
      <c r="F38" s="1021">
        <f ca="1">INDIRECT("'数据-取费表'!Am"&amp;$G$1)</f>
        <v>1E-3</v>
      </c>
      <c r="G38" s="1290"/>
      <c r="H38" s="2471"/>
      <c r="I38" s="1303"/>
      <c r="J38" s="1304"/>
      <c r="K38" s="2469"/>
      <c r="L38" s="2471"/>
      <c r="M38" s="2471"/>
    </row>
    <row r="39" spans="1:18" ht="24.6" customHeight="1" thickTop="1">
      <c r="A39" s="1014" t="s">
        <v>394</v>
      </c>
      <c r="B39" s="1029" t="s">
        <v>772</v>
      </c>
      <c r="C39" s="301">
        <f ca="1">C5-C30</f>
        <v>18398</v>
      </c>
      <c r="D39" s="1030" t="s">
        <v>773</v>
      </c>
      <c r="E39" s="1031"/>
      <c r="F39" s="1032"/>
      <c r="G39" s="1290"/>
      <c r="H39" s="2471"/>
      <c r="I39" s="1303"/>
      <c r="J39" s="1304"/>
      <c r="K39" s="2469"/>
      <c r="L39" s="2471"/>
      <c r="M39" s="2471"/>
    </row>
    <row r="40" spans="1:18" ht="18" customHeight="1">
      <c r="A40" s="290" t="s">
        <v>395</v>
      </c>
      <c r="B40" s="291" t="s">
        <v>774</v>
      </c>
      <c r="C40" s="292">
        <f ca="1">ROUND(C39*(1-((1+F42)/(1+F40))^F41)/(F40-F42),0)</f>
        <v>597833</v>
      </c>
      <c r="D40" s="315" t="s">
        <v>758</v>
      </c>
      <c r="E40" s="293" t="s">
        <v>759</v>
      </c>
      <c r="F40" s="3290">
        <f ca="1">INDIRECT("'数据-取费表'!I"&amp;$G$1)</f>
        <v>0.04</v>
      </c>
      <c r="G40" s="1290"/>
      <c r="H40" s="1364"/>
      <c r="I40" s="1303"/>
      <c r="J40" s="1304"/>
      <c r="K40" s="2469"/>
      <c r="L40" s="1364"/>
      <c r="M40" s="1364"/>
    </row>
    <row r="41" spans="1:18" ht="18" customHeight="1">
      <c r="A41" s="295"/>
      <c r="B41" s="296"/>
      <c r="C41" s="297"/>
      <c r="D41" s="322" t="s">
        <v>775</v>
      </c>
      <c r="E41" s="293" t="s">
        <v>763</v>
      </c>
      <c r="F41" s="3284">
        <f>项目基本情况!C15</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7758</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-61.003</v>
      </c>
      <c r="D45" s="3128" t="s">
        <v>3354</v>
      </c>
      <c r="E45" s="1305"/>
      <c r="F45" s="1305"/>
      <c r="O45" s="1308" t="s">
        <v>808</v>
      </c>
      <c r="P45" s="1364"/>
      <c r="Q45" s="1364"/>
      <c r="R45" s="1364"/>
    </row>
    <row r="46" spans="1:18" s="1290" customFormat="1" ht="13.8" thickBot="1">
      <c r="A46" s="1309" t="s">
        <v>809</v>
      </c>
      <c r="C46" s="1310">
        <f ca="1">ROUND(C45,0)</f>
        <v>-61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597833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2001</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60418</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597833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9</v>
      </c>
      <c r="O56" s="1323" t="s">
        <v>403</v>
      </c>
      <c r="P56" s="1324" t="s">
        <v>817</v>
      </c>
      <c r="Q56" s="1325">
        <f ca="1">C40+J29</f>
        <v>597833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60418</v>
      </c>
      <c r="O57" s="1323" t="s">
        <v>404</v>
      </c>
      <c r="P57" s="1324" t="s">
        <v>893</v>
      </c>
      <c r="Q57" s="1325">
        <f ca="1">L60</f>
        <v>0</v>
      </c>
      <c r="R57" s="1325" t="s">
        <v>894</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0.86399999999999999</v>
      </c>
      <c r="M59" s="1287">
        <f ca="1">ROUND(POWER(1+L52,L47-(J51+'数据-取费表'!B24))*(POWER(1+L52,(J51+'数据-取费表'!B24))-1)/(POWER(1+L52,L47)-1),4)</f>
        <v>0.86399999999999999</v>
      </c>
      <c r="N59" s="1287">
        <f ca="1">ROUND(POWER(1+L52,L47-(J51+'数据-取费表'!B20))*(POWER(1+L52,(J51+'数据-取费表'!B20))-1)/(POWER(1+L52,L47)-1),4)</f>
        <v>0.87209999999999999</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782</v>
      </c>
      <c r="C61" s="21" t="str">
        <f ca="1">IF(项目基本情况!B11="自然人","——",IF(D61="按租金收入计税",ROUND(C49*F61/(1+'数据-取费表'!C42),0),IF(D61="按房产原值计税",ROUND(C57*F61*0.7,0),INDIRECT("'数据-取费表'!Aj"&amp;$G$1))))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f ca="1">L59</f>
        <v>0.86399999999999999</v>
      </c>
      <c r="R61" s="1325" t="s">
        <v>857</v>
      </c>
    </row>
    <row r="62" spans="1:18" s="1290" customFormat="1" ht="13.8" thickBot="1">
      <c r="A62" s="927" t="s">
        <v>784</v>
      </c>
      <c r="B62" s="894" t="s">
        <v>785</v>
      </c>
      <c r="C62" s="22" t="str">
        <f>IF(项目基本情况!B11="自然人","——",ROUND(F62*F63,0))</f>
        <v>——</v>
      </c>
      <c r="D62" s="910" t="s">
        <v>786</v>
      </c>
      <c r="E62" s="895" t="s">
        <v>787</v>
      </c>
      <c r="F62" s="316">
        <f t="shared" si="0"/>
        <v>1.5</v>
      </c>
      <c r="I62" s="1365" t="s">
        <v>858</v>
      </c>
      <c r="J62" s="609" t="s">
        <v>859</v>
      </c>
      <c r="K62" s="609" t="s">
        <v>860</v>
      </c>
      <c r="L62" s="609" t="s">
        <v>861</v>
      </c>
      <c r="M62" s="1366" t="s">
        <v>862</v>
      </c>
      <c r="O62" s="1323" t="s">
        <v>409</v>
      </c>
      <c r="P62" s="1324" t="s">
        <v>863</v>
      </c>
      <c r="Q62" s="1325">
        <f ca="1">Q56+Q57</f>
        <v>597833</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350</v>
      </c>
      <c r="D64" s="909" t="s">
        <v>791</v>
      </c>
      <c r="E64" s="895" t="s">
        <v>783</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744</v>
      </c>
      <c r="F65" s="320">
        <f t="shared" ca="1" si="0"/>
        <v>1E-3</v>
      </c>
      <c r="I65" s="1365" t="s">
        <v>867</v>
      </c>
      <c r="J65" s="609">
        <v>40</v>
      </c>
      <c r="K65" s="609">
        <v>30</v>
      </c>
      <c r="L65" s="609">
        <v>50</v>
      </c>
      <c r="M65" s="1367">
        <v>0.02</v>
      </c>
      <c r="O65" s="1323" t="s">
        <v>403</v>
      </c>
      <c r="P65" s="1324" t="s">
        <v>868</v>
      </c>
      <c r="Q65" s="1325">
        <f ca="1">C40+J29</f>
        <v>597833</v>
      </c>
      <c r="R65" s="1325" t="s">
        <v>818</v>
      </c>
    </row>
    <row r="66" spans="1:18" s="1290" customFormat="1" ht="16.2" thickBot="1">
      <c r="A66" s="927" t="s">
        <v>793</v>
      </c>
      <c r="B66" s="895" t="s">
        <v>728</v>
      </c>
      <c r="C66" s="21">
        <f ca="1">ROUND(C48*F66,0)</f>
        <v>0</v>
      </c>
      <c r="D66" s="909" t="s">
        <v>794</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60418</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3156</v>
      </c>
      <c r="R68" s="1325" t="s">
        <v>414</v>
      </c>
    </row>
    <row r="69" spans="1:18" s="1290" customFormat="1" ht="13.8" thickBot="1">
      <c r="A69" s="896"/>
      <c r="B69" s="897"/>
      <c r="C69" s="297"/>
      <c r="D69" s="915" t="s">
        <v>762</v>
      </c>
      <c r="E69" s="895" t="s">
        <v>763</v>
      </c>
      <c r="F69" s="323">
        <f>F41</f>
        <v>46</v>
      </c>
      <c r="O69" s="1332" t="s">
        <v>411</v>
      </c>
      <c r="P69" s="1369" t="s">
        <v>872</v>
      </c>
      <c r="Q69" s="1325">
        <f ca="1">C39</f>
        <v>18398</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0.86399999999999999</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597833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0.17200000000000004</v>
      </c>
    </row>
    <row r="80" spans="1:18">
      <c r="B80" s="330" t="s">
        <v>800</v>
      </c>
      <c r="C80" s="265">
        <f ca="1">ROUND(C75/C39,3)</f>
        <v>0.82799999999999996</v>
      </c>
    </row>
    <row r="81" spans="2:3">
      <c r="B81" s="261" t="s">
        <v>801</v>
      </c>
      <c r="C81" s="229"/>
    </row>
    <row r="82" spans="2:3">
      <c r="B82" s="264" t="s">
        <v>802</v>
      </c>
      <c r="C82" s="266">
        <f ca="1">1-C83</f>
        <v>0.60799999999999998</v>
      </c>
    </row>
    <row r="83" spans="2:3">
      <c r="B83" s="264" t="s">
        <v>803</v>
      </c>
      <c r="C83" s="265">
        <f ca="1">ROUND(C13/C40,3)</f>
        <v>0.39200000000000002</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7" workbookViewId="0">
      <selection activeCell="N11" sqref="N11"/>
    </sheetView>
  </sheetViews>
  <sheetFormatPr defaultRowHeight="14.4"/>
  <cols>
    <col min="14" max="15" width="10.44140625" bestFit="1" customWidth="1"/>
    <col min="16" max="16" width="11.6640625" bestFit="1" customWidth="1"/>
  </cols>
  <sheetData>
    <row r="1" spans="11:16">
      <c r="K1" s="1403" t="s">
        <v>3390</v>
      </c>
      <c r="L1" s="1403" t="s">
        <v>3391</v>
      </c>
      <c r="M1" s="1403" t="s">
        <v>3392</v>
      </c>
    </row>
    <row r="2" spans="11:16">
      <c r="K2" s="3157">
        <v>81</v>
      </c>
      <c r="L2" s="3157">
        <v>2200</v>
      </c>
      <c r="M2" s="3229">
        <f>L2/K2</f>
        <v>27.160493827160494</v>
      </c>
    </row>
    <row r="3" spans="11:16">
      <c r="K3" s="3157">
        <v>93.4</v>
      </c>
      <c r="L3" s="3157">
        <v>1600</v>
      </c>
      <c r="M3" s="3229">
        <f t="shared" ref="M3:M8" si="0">L3/K3</f>
        <v>17.130620985010705</v>
      </c>
    </row>
    <row r="4" spans="11:16">
      <c r="K4">
        <v>90</v>
      </c>
      <c r="L4">
        <v>1600</v>
      </c>
      <c r="M4" s="3143">
        <f t="shared" si="0"/>
        <v>17.777777777777779</v>
      </c>
      <c r="N4" s="3264">
        <v>45407</v>
      </c>
      <c r="O4" s="3226">
        <v>42825</v>
      </c>
      <c r="P4" s="3226">
        <v>43100</v>
      </c>
    </row>
    <row r="5" spans="11:16">
      <c r="K5" s="3157">
        <v>90.16</v>
      </c>
      <c r="L5" s="3157">
        <v>1870</v>
      </c>
      <c r="M5" s="3229">
        <f t="shared" si="0"/>
        <v>20.740905057675246</v>
      </c>
      <c r="N5">
        <f>ROUND((M2+M3+M5)/3*K5,0)</f>
        <v>1954</v>
      </c>
      <c r="O5">
        <f>ROUND(N5/(1+2.5%)/(1+2.5%)/(1+2.5%)/(1+2.5%)/(1+2.5%)/(1+2.5%)/(1+2.5%)/(1+2.5%*2/12),0)</f>
        <v>1637</v>
      </c>
      <c r="P5">
        <f>ROUND(N5/(1+2.5%)/(1+2.5%)/(1+2.5%)/(1+2.5%)/(1+2.5%)/(1+2.5%)/(1+2.5%*5/12),0)</f>
        <v>1668</v>
      </c>
    </row>
    <row r="6" spans="11:16">
      <c r="K6">
        <v>77</v>
      </c>
      <c r="L6">
        <v>2000</v>
      </c>
      <c r="M6" s="3143">
        <f t="shared" si="0"/>
        <v>25.974025974025974</v>
      </c>
    </row>
    <row r="7" spans="11:16">
      <c r="K7">
        <v>97.22</v>
      </c>
      <c r="L7">
        <v>1800</v>
      </c>
      <c r="M7" s="3143">
        <f t="shared" si="0"/>
        <v>18.514708907632176</v>
      </c>
    </row>
    <row r="8" spans="11:16">
      <c r="K8">
        <v>110.23</v>
      </c>
      <c r="L8">
        <v>2200</v>
      </c>
      <c r="M8" s="3143">
        <f t="shared" si="0"/>
        <v>19.958269073754874</v>
      </c>
    </row>
    <row r="9" spans="11:16">
      <c r="M9" s="3143"/>
    </row>
    <row r="10" spans="11:16">
      <c r="M10" s="3143"/>
    </row>
    <row r="11" spans="11:16">
      <c r="M11" s="3143">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1460</v>
      </c>
      <c r="B1" s="1372"/>
      <c r="C1" s="1715" t="s">
        <v>1562</v>
      </c>
      <c r="D1" s="189"/>
      <c r="E1" s="189"/>
      <c r="F1" s="189"/>
      <c r="G1" s="1060">
        <f>MATCH(B1,'数据-取费表'!A6:A16,0)+5</f>
        <v>7</v>
      </c>
      <c r="H1" s="997" t="str">
        <f>IF(ISERROR(FIND("住宅",B1)),"非住宅","住宅")</f>
        <v>非住宅</v>
      </c>
    </row>
    <row r="2" spans="1:8" s="191" customFormat="1" ht="18" customHeight="1">
      <c r="A2" s="192" t="s">
        <v>1461</v>
      </c>
      <c r="B2" s="3120">
        <f ca="1">ROUND(IF(D2="——",C52/10000,C52/10000-E2),4)</f>
        <v>27.181000000000001</v>
      </c>
      <c r="C2" s="190" t="s">
        <v>1462</v>
      </c>
      <c r="D2" s="1709" t="s">
        <v>43</v>
      </c>
      <c r="E2" s="1087" t="e">
        <f ca="1">SUMIF(INDIRECT("'"&amp;G2&amp;"'"&amp;"!A:A"),"承租人权益价值",INDIRECT("'"&amp;G2&amp;"'"&amp;"!c:c"))</f>
        <v>#REF!</v>
      </c>
      <c r="F2" s="1710" t="s">
        <v>1462</v>
      </c>
      <c r="G2" s="1711"/>
    </row>
    <row r="3" spans="1:8" s="191" customFormat="1" ht="18" customHeight="1" thickBot="1">
      <c r="A3" s="194" t="s">
        <v>1463</v>
      </c>
      <c r="B3" s="195">
        <f ca="1">ROUND(B2*10000/(IF(B1="",'数据-汇总表'!E3,INDIRECT("'数据-取费表'!k"&amp;$G$1))),0)</f>
        <v>3527</v>
      </c>
      <c r="C3" s="190" t="s">
        <v>1464</v>
      </c>
      <c r="D3" s="190"/>
      <c r="E3" s="190"/>
      <c r="F3" s="190"/>
      <c r="G3" s="190"/>
    </row>
    <row r="4" spans="1:8" s="199" customFormat="1" ht="16.2">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2"/>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2"/>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840</v>
      </c>
      <c r="D22" s="226">
        <f>C26</f>
        <v>2.0000000000000001E-4</v>
      </c>
      <c r="E22" s="227" t="s">
        <v>1578</v>
      </c>
      <c r="F22" s="228">
        <f>'数据-取费表'!B40</f>
        <v>3.1E-2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358</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478</v>
      </c>
      <c r="D24" s="229"/>
      <c r="E24" s="229"/>
      <c r="F24" s="230"/>
      <c r="G24" s="231" t="s">
        <v>1585</v>
      </c>
    </row>
    <row r="25" spans="1:7" s="205" customFormat="1" ht="24">
      <c r="A25" s="733" t="s">
        <v>1475</v>
      </c>
      <c r="B25" s="206" t="s">
        <v>1586</v>
      </c>
      <c r="C25" s="229">
        <f ca="1">ROUND(IF('数据-取费表'!B22&lt;=1,C20*F22*'数据-取费表'!B22/2,C20*(POWER((1+F22),'数据-取费表'!B22/2)-1)),0)</f>
        <v>4</v>
      </c>
      <c r="D25" s="229"/>
      <c r="E25" s="232"/>
      <c r="F25" s="230"/>
      <c r="G25" s="233" t="s">
        <v>1587</v>
      </c>
    </row>
    <row r="26" spans="1:7" s="205" customFormat="1">
      <c r="A26" s="733" t="s">
        <v>350</v>
      </c>
      <c r="B26" s="206" t="s">
        <v>1510</v>
      </c>
      <c r="C26" s="229">
        <f>ROUND(IF('数据-取费表'!B22&lt;=1,F21*F22*'数据-取费表'!B22/2,F21*(POWER((1+F22),'数据-取费表'!B22/2)-1)),4)</f>
        <v>2.0000000000000001E-4</v>
      </c>
      <c r="D26" s="229"/>
      <c r="E26" s="232"/>
      <c r="F26" s="230"/>
      <c r="G26" s="234"/>
    </row>
    <row r="27" spans="1:7" s="205" customFormat="1" ht="26.4">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37321</v>
      </c>
      <c r="D31" s="221"/>
      <c r="E31" s="202"/>
      <c r="F31" s="241"/>
      <c r="G31" s="225" t="s">
        <v>1521</v>
      </c>
    </row>
    <row r="32" spans="1:7" s="199" customFormat="1" ht="16.2">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4008</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3968</v>
      </c>
      <c r="D42" s="229"/>
      <c r="E42" s="229"/>
      <c r="F42" s="230"/>
      <c r="G42" s="3479" t="s">
        <v>1590</v>
      </c>
    </row>
    <row r="43" spans="1:7" ht="13.5" customHeight="1">
      <c r="A43" s="733" t="s">
        <v>347</v>
      </c>
      <c r="B43" s="206" t="s">
        <v>1544</v>
      </c>
      <c r="C43" s="229">
        <f ca="1">ROUND(IF('数据-取费表'!B22&lt;=1,C39*F22*'数据-取费表'!B20/2,C39*(POWER((1+F22),'数据-取费表'!B20/2)-1)),0)</f>
        <v>40</v>
      </c>
      <c r="D43" s="229"/>
      <c r="E43" s="229"/>
      <c r="F43" s="230"/>
      <c r="G43" s="3480"/>
    </row>
    <row r="44" spans="1:7" ht="13.5" customHeight="1">
      <c r="A44" s="733" t="s">
        <v>348</v>
      </c>
      <c r="B44" s="206" t="s">
        <v>1545</v>
      </c>
      <c r="C44" s="229">
        <f>ROUND(IF('数据-取费表'!B22&lt;=1,C40*F22*'数据-取费表'!B20/2,C40*(POWER((1+F22),'数据-取费表'!B20/2)-1)),4)</f>
        <v>2.0000000000000001E-4</v>
      </c>
      <c r="D44" s="229"/>
      <c r="E44" s="229"/>
      <c r="F44" s="230"/>
      <c r="G44" s="3481"/>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349983</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234489</v>
      </c>
      <c r="D51" s="223"/>
      <c r="E51" s="223"/>
      <c r="F51" s="255"/>
      <c r="G51" s="225" t="s">
        <v>1559</v>
      </c>
    </row>
    <row r="52" spans="1:7" s="199" customFormat="1" ht="16.8" thickBot="1">
      <c r="A52" s="256" t="s">
        <v>1560</v>
      </c>
      <c r="B52" s="257"/>
      <c r="C52" s="258">
        <f ca="1">C31+C51</f>
        <v>271810</v>
      </c>
      <c r="D52" s="257"/>
      <c r="E52" s="257"/>
      <c r="F52" s="257"/>
      <c r="G52" s="259"/>
    </row>
    <row r="55" spans="1:7" ht="15">
      <c r="B55" s="261" t="s">
        <v>1561</v>
      </c>
      <c r="C55" s="262"/>
    </row>
    <row r="56" spans="1:7">
      <c r="B56" s="264" t="s">
        <v>802</v>
      </c>
      <c r="C56" s="266">
        <f ca="1">1-C57</f>
        <v>0.13700000000000001</v>
      </c>
    </row>
    <row r="57" spans="1:7">
      <c r="B57" s="264" t="s">
        <v>803</v>
      </c>
      <c r="C57" s="265">
        <f ca="1">ROUND(C51/C52,3)</f>
        <v>0.86299999999999999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77.06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45646</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100.3861</v>
      </c>
      <c r="C5" s="2297" t="e">
        <f ca="1">IF(B5=D14,结果表!H102,ROUND(B5*10000/$B$1,0))</f>
        <v>#REF!</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3357</v>
      </c>
      <c r="D10" s="2297" t="s">
        <v>3358</v>
      </c>
      <c r="E10" s="3134"/>
      <c r="F10" s="3138" t="s">
        <v>3359</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77.06</v>
      </c>
      <c r="C14" s="2303"/>
      <c r="D14" s="2303">
        <f ca="1">结果表!G23/10000</f>
        <v>100.3861</v>
      </c>
      <c r="E14" s="2303">
        <f ca="1">ROUND(D14*10000/B14,0)</f>
        <v>13027</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2"/>
      <c r="C2" s="3302"/>
      <c r="D2" s="3302"/>
      <c r="E2" s="3302"/>
    </row>
    <row r="3" spans="1:5" ht="17.399999999999999">
      <c r="A3" s="3303" t="str">
        <f>IF(项目基本情况!B9="房地产市场价值","估价结果一览表（市场价值不需“结果表-1”）","估价结果一览表")</f>
        <v>估价结果一览表（市场价值不需“结果表-1”）</v>
      </c>
      <c r="B3" s="3303"/>
      <c r="C3" s="3303"/>
      <c r="D3" s="3303"/>
      <c r="E3" s="3303"/>
    </row>
    <row r="4" spans="1:5" ht="18" thickBot="1">
      <c r="A4" s="1389"/>
      <c r="B4" s="3301" t="s">
        <v>917</v>
      </c>
      <c r="C4" s="3301"/>
      <c r="D4" s="3301"/>
      <c r="E4" s="1389"/>
    </row>
    <row r="5" spans="1:5" ht="16.2" thickTop="1">
      <c r="B5" s="3299" t="s">
        <v>909</v>
      </c>
      <c r="C5" s="1390" t="s">
        <v>910</v>
      </c>
      <c r="D5" s="796" t="e">
        <f ca="1">结果表!H101</f>
        <v>#REF!</v>
      </c>
    </row>
    <row r="6" spans="1:5" ht="15.6">
      <c r="B6" s="3299"/>
      <c r="C6" s="1390" t="s">
        <v>911</v>
      </c>
      <c r="D6" s="796" t="e">
        <f ca="1">NUMBERSTRING(INT(D5*10000),2)&amp;"元整"</f>
        <v>#REF!</v>
      </c>
    </row>
    <row r="7" spans="1:5" ht="15.6">
      <c r="B7" s="3304"/>
      <c r="C7" s="1391" t="s">
        <v>912</v>
      </c>
      <c r="D7" s="797" t="e">
        <f ca="1">结果表!H102</f>
        <v>#REF!</v>
      </c>
    </row>
    <row r="8" spans="1:5" ht="15.6">
      <c r="B8" s="3305" t="str">
        <f>结果表!E103</f>
        <v>2.估价师知悉的法定优先受偿款</v>
      </c>
      <c r="C8" s="1392" t="s">
        <v>913</v>
      </c>
      <c r="D8" s="797">
        <f>结果表!H103</f>
        <v>0</v>
      </c>
    </row>
    <row r="9" spans="1:5" ht="15.6">
      <c r="B9" s="3307"/>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98" t="str">
        <f>结果表!E107</f>
        <v>3.房地产抵押价值</v>
      </c>
      <c r="C13" s="1395" t="s">
        <v>910</v>
      </c>
      <c r="D13" s="799" t="e">
        <f ca="1">结果表!H107</f>
        <v>#REF!</v>
      </c>
    </row>
    <row r="14" spans="1:5" ht="15.6">
      <c r="B14" s="3299"/>
      <c r="C14" s="1390" t="s">
        <v>911</v>
      </c>
      <c r="D14" s="796" t="e">
        <f ca="1">NUMBERSTRING(INT(D13*10000),2)&amp;"元整"</f>
        <v>#REF!</v>
      </c>
    </row>
    <row r="15" spans="1:5" ht="15.6">
      <c r="B15" s="3304"/>
      <c r="C15" s="1391" t="s">
        <v>921</v>
      </c>
      <c r="D15" s="805" t="e">
        <f ca="1">结果表!H108</f>
        <v>#REF!</v>
      </c>
    </row>
    <row r="16" spans="1:5" ht="15.6">
      <c r="B16" s="3305" t="str">
        <f>结果表!E109</f>
        <v>——</v>
      </c>
      <c r="C16" s="1395" t="s">
        <v>922</v>
      </c>
      <c r="D16" s="1396" t="str">
        <f>结果表!H109</f>
        <v>——</v>
      </c>
    </row>
    <row r="17" spans="1:5" ht="15.6">
      <c r="B17" s="3306"/>
      <c r="C17" s="1390" t="s">
        <v>923</v>
      </c>
      <c r="D17" s="796" t="e">
        <f>NUMBERSTRING(INT(D16*10000),2)&amp;"元整"</f>
        <v>#VALUE!</v>
      </c>
    </row>
    <row r="18" spans="1:5" ht="15.6">
      <c r="B18" s="3307"/>
      <c r="C18" s="1391" t="s">
        <v>912</v>
      </c>
      <c r="D18" s="805" t="str">
        <f>结果表!H110</f>
        <v>——</v>
      </c>
    </row>
    <row r="19" spans="1:5" ht="15.6">
      <c r="B19" s="3298" t="str">
        <f>结果表!E111</f>
        <v>——</v>
      </c>
      <c r="C19" s="1395" t="s">
        <v>910</v>
      </c>
      <c r="D19" s="797" t="str">
        <f>结果表!H111</f>
        <v>——</v>
      </c>
    </row>
    <row r="20" spans="1:5" ht="15.6">
      <c r="B20" s="3299"/>
      <c r="C20" s="1390" t="s">
        <v>923</v>
      </c>
      <c r="D20" s="796" t="e">
        <f>NUMBERSTRING(INT(D19*10000),2)&amp;"元整"</f>
        <v>#VALUE!</v>
      </c>
    </row>
    <row r="21" spans="1:5" ht="16.2" thickBot="1">
      <c r="B21" s="3300"/>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1765</v>
      </c>
      <c r="C1" s="1153" t="s">
        <v>1661</v>
      </c>
      <c r="D1" s="1140"/>
      <c r="E1" s="3122"/>
      <c r="F1" s="1733"/>
      <c r="G1" s="1150" t="s">
        <v>1766</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1461</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1801"/>
      <c r="Q2" s="858"/>
      <c r="R2" s="858"/>
      <c r="S2" s="858"/>
      <c r="T2" s="858"/>
      <c r="U2" s="858"/>
      <c r="V2" s="858"/>
      <c r="W2" s="858"/>
      <c r="X2" s="858"/>
      <c r="Y2" s="858"/>
      <c r="Z2" s="858"/>
      <c r="AA2" s="858"/>
      <c r="AB2" s="858"/>
      <c r="AC2" s="1802"/>
    </row>
    <row r="3" spans="1:29" s="341" customFormat="1" ht="28.5" customHeight="1" thickBot="1">
      <c r="A3" s="194" t="s">
        <v>1463</v>
      </c>
      <c r="B3" s="535">
        <f>IF(C2="——",C49,ROUND(B2*10000/D3,0))</f>
        <v>0</v>
      </c>
      <c r="C3" s="343" t="s">
        <v>1767</v>
      </c>
      <c r="D3" s="342">
        <f>IF(D1="",'数据-汇总表'!E3,SUMIF('数据-汇总表'!$C19:$C33,D1,'数据-汇总表'!$E19:$E33))</f>
        <v>77.06</v>
      </c>
      <c r="E3" s="1802"/>
      <c r="F3" s="855"/>
      <c r="G3" s="854"/>
      <c r="H3" s="854"/>
      <c r="I3" s="854"/>
      <c r="J3" s="854"/>
      <c r="K3" s="856"/>
      <c r="L3" s="2501"/>
      <c r="M3" s="2502"/>
      <c r="N3" s="2502"/>
      <c r="O3" s="2502"/>
      <c r="P3" s="1801"/>
      <c r="Q3" s="858"/>
      <c r="R3" s="858"/>
      <c r="S3" s="858"/>
      <c r="T3" s="858"/>
      <c r="U3" s="858"/>
      <c r="V3" s="858"/>
      <c r="W3" s="858"/>
      <c r="X3" s="858"/>
      <c r="Y3" s="858"/>
      <c r="Z3" s="858"/>
      <c r="AA3" s="858"/>
      <c r="AB3" s="858"/>
      <c r="AC3" s="180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491"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491"/>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491"/>
      <c r="AC6" s="3504"/>
    </row>
    <row r="7" spans="1:29" s="101" customFormat="1" ht="1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46" si="3">D8/F8</f>
        <v>1</v>
      </c>
      <c r="AB8" s="50">
        <f t="shared" ref="AB8:AB46" si="4">D8/H8</f>
        <v>1</v>
      </c>
      <c r="AC8" s="50">
        <f t="shared" ref="AC8:AC46" si="5">D8/J8</f>
        <v>1</v>
      </c>
    </row>
    <row r="9" spans="1:29" s="101" customFormat="1" ht="14.4">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1"/>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1776</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99" t="s">
        <v>1690</v>
      </c>
      <c r="Q15" s="1261" t="str">
        <f t="shared" si="6"/>
        <v>商业繁华度</v>
      </c>
      <c r="R15" s="666" t="s">
        <v>14</v>
      </c>
      <c r="S15" s="667">
        <f t="shared" si="0"/>
        <v>100</v>
      </c>
      <c r="T15" s="666" t="s">
        <v>14</v>
      </c>
      <c r="U15" s="667">
        <f t="shared" si="1"/>
        <v>100</v>
      </c>
      <c r="V15" s="666" t="s">
        <v>14</v>
      </c>
      <c r="W15" s="667">
        <f t="shared" si="2"/>
        <v>100</v>
      </c>
      <c r="X15" s="1263"/>
      <c r="Y15" s="3492"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262">
        <v>1</v>
      </c>
    </row>
    <row r="17" spans="1:29" ht="82.8">
      <c r="A17" s="366"/>
      <c r="B17" s="389" t="s">
        <v>1258</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262">
        <v>1</v>
      </c>
    </row>
    <row r="19" spans="1:29" ht="41.4">
      <c r="A19" s="366"/>
      <c r="B19" s="389" t="s">
        <v>1777</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1778</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00"/>
      <c r="Q22" s="1261"/>
      <c r="R22" s="666"/>
      <c r="S22" s="667"/>
      <c r="T22" s="666"/>
      <c r="U22" s="667"/>
      <c r="V22" s="666"/>
      <c r="W22" s="667"/>
      <c r="X22" s="1263"/>
      <c r="Y22" s="3493"/>
      <c r="Z22" s="1262"/>
      <c r="AA22" s="1262">
        <v>1</v>
      </c>
      <c r="AB22" s="1262">
        <v>1</v>
      </c>
      <c r="AC22" s="1262">
        <v>1</v>
      </c>
    </row>
    <row r="23" spans="1:29" ht="55.2">
      <c r="A23" s="366"/>
      <c r="B23" s="389" t="s">
        <v>1260</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00"/>
      <c r="Q23" s="1261" t="str">
        <f>B23</f>
        <v>自然及人文环境</v>
      </c>
      <c r="R23" s="666" t="s">
        <v>14</v>
      </c>
      <c r="S23" s="667">
        <f>F23</f>
        <v>100</v>
      </c>
      <c r="T23" s="666" t="s">
        <v>14</v>
      </c>
      <c r="U23" s="667">
        <f>H23</f>
        <v>100</v>
      </c>
      <c r="V23" s="666" t="s">
        <v>14</v>
      </c>
      <c r="W23" s="667">
        <f>J23</f>
        <v>100</v>
      </c>
      <c r="X23" s="1263"/>
      <c r="Y23" s="3493"/>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262">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00"/>
      <c r="Q25" s="1261" t="str">
        <f t="shared" ref="Q25:Q46" si="11">B25</f>
        <v>临街状况</v>
      </c>
      <c r="R25" s="666" t="s">
        <v>14</v>
      </c>
      <c r="S25" s="667">
        <f>F25</f>
        <v>100</v>
      </c>
      <c r="T25" s="666" t="s">
        <v>14</v>
      </c>
      <c r="U25" s="667">
        <f>H25</f>
        <v>100</v>
      </c>
      <c r="V25" s="666" t="s">
        <v>14</v>
      </c>
      <c r="W25" s="667">
        <f>J25</f>
        <v>100</v>
      </c>
      <c r="X25" s="1263"/>
      <c r="Y25" s="3493"/>
      <c r="Z25" s="1262" t="str">
        <f>Q25</f>
        <v>临街状况</v>
      </c>
      <c r="AA25" s="1262">
        <f t="shared" si="3"/>
        <v>1</v>
      </c>
      <c r="AB25" s="1262">
        <f t="shared" si="4"/>
        <v>1</v>
      </c>
      <c r="AC25" s="1262">
        <f t="shared" si="5"/>
        <v>1</v>
      </c>
    </row>
    <row r="26" spans="1:29" ht="15">
      <c r="A26" s="366"/>
      <c r="B26" s="1064" t="s">
        <v>1780</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00"/>
      <c r="Q26" s="1261" t="str">
        <f t="shared" si="11"/>
        <v>平面位置/可视性</v>
      </c>
      <c r="R26" s="666" t="s">
        <v>14</v>
      </c>
      <c r="S26" s="667">
        <f>F26</f>
        <v>100</v>
      </c>
      <c r="T26" s="666" t="s">
        <v>14</v>
      </c>
      <c r="U26" s="667">
        <f>H26</f>
        <v>100</v>
      </c>
      <c r="V26" s="666" t="s">
        <v>14</v>
      </c>
      <c r="W26" s="667">
        <f>J26</f>
        <v>100</v>
      </c>
      <c r="X26" s="1263"/>
      <c r="Y26" s="3493"/>
      <c r="Z26" s="1262" t="str">
        <f>Q26</f>
        <v>平面位置/可视性</v>
      </c>
      <c r="AA26" s="1262">
        <f t="shared" si="3"/>
        <v>1</v>
      </c>
      <c r="AB26" s="1262">
        <f t="shared" si="4"/>
        <v>1</v>
      </c>
      <c r="AC26" s="1262">
        <f t="shared" si="5"/>
        <v>1</v>
      </c>
    </row>
    <row r="27" spans="1:29" s="101" customFormat="1" ht="15">
      <c r="A27" s="369"/>
      <c r="B27" s="389" t="s">
        <v>1781</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500"/>
      <c r="Q27" s="529" t="str">
        <f t="shared" si="11"/>
        <v>人流量</v>
      </c>
      <c r="R27" s="663" t="s">
        <v>14</v>
      </c>
      <c r="S27" s="664">
        <f>F27</f>
        <v>100</v>
      </c>
      <c r="T27" s="663" t="s">
        <v>14</v>
      </c>
      <c r="U27" s="664">
        <f>H27</f>
        <v>100</v>
      </c>
      <c r="V27" s="663" t="s">
        <v>14</v>
      </c>
      <c r="W27" s="664">
        <f>J27</f>
        <v>100</v>
      </c>
      <c r="X27" s="665"/>
      <c r="Y27" s="3493"/>
      <c r="Z27" s="50" t="str">
        <f>Q27</f>
        <v>人流量</v>
      </c>
      <c r="AA27" s="1262">
        <f>D27/F27</f>
        <v>1</v>
      </c>
      <c r="AB27" s="1262">
        <f>D27/H27</f>
        <v>1</v>
      </c>
      <c r="AC27" s="1262">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0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93"/>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00"/>
      <c r="Q29" s="1261">
        <f t="shared" si="11"/>
        <v>111</v>
      </c>
      <c r="R29" s="666" t="s">
        <v>14</v>
      </c>
      <c r="S29" s="667">
        <f t="shared" si="12"/>
        <v>100</v>
      </c>
      <c r="T29" s="666" t="s">
        <v>14</v>
      </c>
      <c r="U29" s="667">
        <f t="shared" si="13"/>
        <v>100</v>
      </c>
      <c r="V29" s="666" t="s">
        <v>14</v>
      </c>
      <c r="W29" s="667">
        <f t="shared" si="14"/>
        <v>100</v>
      </c>
      <c r="X29" s="1263"/>
      <c r="Y29" s="3493"/>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262">
        <f t="shared" si="5"/>
        <v>1</v>
      </c>
    </row>
    <row r="32" spans="1:29" ht="15">
      <c r="A32" s="378" t="s">
        <v>1693</v>
      </c>
      <c r="B32" s="60" t="s">
        <v>1783</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494" t="s">
        <v>1695</v>
      </c>
      <c r="Q32" s="1261" t="str">
        <f t="shared" si="11"/>
        <v>商业类型</v>
      </c>
      <c r="R32" s="666" t="s">
        <v>14</v>
      </c>
      <c r="S32" s="667">
        <f t="shared" si="12"/>
        <v>100</v>
      </c>
      <c r="T32" s="666" t="s">
        <v>14</v>
      </c>
      <c r="U32" s="667">
        <f t="shared" si="13"/>
        <v>100</v>
      </c>
      <c r="V32" s="666" t="s">
        <v>14</v>
      </c>
      <c r="W32" s="667">
        <f t="shared" si="14"/>
        <v>100</v>
      </c>
      <c r="X32" s="1263"/>
      <c r="Y32" s="3497" t="s">
        <v>1695</v>
      </c>
      <c r="Z32" s="1262" t="str">
        <f t="shared" si="15"/>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95"/>
      <c r="Q33" s="530" t="str">
        <f t="shared" si="11"/>
        <v>项目建筑规模</v>
      </c>
      <c r="R33" s="668" t="s">
        <v>14</v>
      </c>
      <c r="S33" s="669" t="e">
        <f t="shared" si="12"/>
        <v>#N/A</v>
      </c>
      <c r="T33" s="668" t="s">
        <v>14</v>
      </c>
      <c r="U33" s="669" t="e">
        <f t="shared" si="13"/>
        <v>#N/A</v>
      </c>
      <c r="V33" s="668" t="s">
        <v>14</v>
      </c>
      <c r="W33" s="669" t="e">
        <f t="shared" si="14"/>
        <v>#N/A</v>
      </c>
      <c r="X33" s="670"/>
      <c r="Y33" s="3497"/>
      <c r="Z33" s="671" t="str">
        <f t="shared" si="15"/>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95"/>
      <c r="Q34" s="1261" t="str">
        <f t="shared" si="11"/>
        <v>建筑结构</v>
      </c>
      <c r="R34" s="666" t="s">
        <v>14</v>
      </c>
      <c r="S34" s="667">
        <f t="shared" si="12"/>
        <v>100</v>
      </c>
      <c r="T34" s="666" t="s">
        <v>14</v>
      </c>
      <c r="U34" s="667">
        <f t="shared" si="13"/>
        <v>100</v>
      </c>
      <c r="V34" s="666" t="s">
        <v>14</v>
      </c>
      <c r="W34" s="667">
        <f t="shared" si="14"/>
        <v>100</v>
      </c>
      <c r="X34" s="1263"/>
      <c r="Y34" s="3497"/>
      <c r="Z34" s="1262" t="str">
        <f t="shared" si="15"/>
        <v>建筑结构</v>
      </c>
      <c r="AA34" s="1262">
        <f t="shared" si="3"/>
        <v>1</v>
      </c>
      <c r="AB34" s="1262">
        <f t="shared" si="4"/>
        <v>1</v>
      </c>
      <c r="AC34" s="1262">
        <f t="shared" si="5"/>
        <v>1</v>
      </c>
    </row>
    <row r="35" spans="1:29" ht="15">
      <c r="A35" s="408"/>
      <c r="B35" s="363" t="s">
        <v>1784</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495"/>
      <c r="Q35" s="1261" t="str">
        <f t="shared" si="11"/>
        <v>公共部分装修</v>
      </c>
      <c r="R35" s="666" t="s">
        <v>14</v>
      </c>
      <c r="S35" s="667">
        <f t="shared" si="12"/>
        <v>100</v>
      </c>
      <c r="T35" s="666" t="s">
        <v>14</v>
      </c>
      <c r="U35" s="667">
        <f t="shared" si="13"/>
        <v>100</v>
      </c>
      <c r="V35" s="666" t="s">
        <v>14</v>
      </c>
      <c r="W35" s="667">
        <f t="shared" si="14"/>
        <v>100</v>
      </c>
      <c r="X35" s="1263"/>
      <c r="Y35" s="3497"/>
      <c r="Z35" s="1262" t="str">
        <f t="shared" si="15"/>
        <v>公共部分装修</v>
      </c>
      <c r="AA35" s="1262">
        <f t="shared" si="3"/>
        <v>1</v>
      </c>
      <c r="AB35" s="1262">
        <f t="shared" si="4"/>
        <v>1</v>
      </c>
      <c r="AC35" s="1262">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95"/>
      <c r="Q36" s="1261" t="str">
        <f t="shared" si="11"/>
        <v>成新度</v>
      </c>
      <c r="R36" s="666" t="s">
        <v>14</v>
      </c>
      <c r="S36" s="667" t="e">
        <f t="shared" si="12"/>
        <v>#N/A</v>
      </c>
      <c r="T36" s="666" t="s">
        <v>14</v>
      </c>
      <c r="U36" s="667" t="e">
        <f t="shared" si="13"/>
        <v>#N/A</v>
      </c>
      <c r="V36" s="666" t="s">
        <v>14</v>
      </c>
      <c r="W36" s="667" t="e">
        <f t="shared" si="14"/>
        <v>#N/A</v>
      </c>
      <c r="X36" s="1263"/>
      <c r="Y36" s="3497"/>
      <c r="Z36" s="1262" t="str">
        <f t="shared" si="15"/>
        <v>成新度</v>
      </c>
      <c r="AA36" s="1262" t="e">
        <f t="shared" si="3"/>
        <v>#N/A</v>
      </c>
      <c r="AB36" s="1262" t="e">
        <f t="shared" si="4"/>
        <v>#N/A</v>
      </c>
      <c r="AC36" s="1262" t="e">
        <f t="shared" si="5"/>
        <v>#N/A</v>
      </c>
    </row>
    <row r="37" spans="1:29" s="101" customFormat="1" ht="15">
      <c r="A37" s="409"/>
      <c r="B37" s="363" t="s">
        <v>1786</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495"/>
      <c r="Q37" s="529" t="str">
        <f t="shared" si="11"/>
        <v>市政基础设施</v>
      </c>
      <c r="R37" s="663" t="s">
        <v>14</v>
      </c>
      <c r="S37" s="664">
        <f t="shared" si="12"/>
        <v>100</v>
      </c>
      <c r="T37" s="663" t="s">
        <v>14</v>
      </c>
      <c r="U37" s="664">
        <f t="shared" si="13"/>
        <v>100</v>
      </c>
      <c r="V37" s="663" t="s">
        <v>14</v>
      </c>
      <c r="W37" s="664">
        <f t="shared" si="14"/>
        <v>100</v>
      </c>
      <c r="X37" s="665"/>
      <c r="Y37" s="3497"/>
      <c r="Z37" s="50" t="str">
        <f t="shared" si="15"/>
        <v>市政基础设施</v>
      </c>
      <c r="AA37" s="50">
        <f t="shared" si="3"/>
        <v>1</v>
      </c>
      <c r="AB37" s="50">
        <f t="shared" si="4"/>
        <v>1</v>
      </c>
      <c r="AC37" s="50">
        <f t="shared" si="5"/>
        <v>1</v>
      </c>
    </row>
    <row r="38" spans="1:29" ht="15">
      <c r="A38" s="408"/>
      <c r="B38" s="363" t="s">
        <v>1787</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495" t="s">
        <v>1695</v>
      </c>
      <c r="Q38" s="1261" t="str">
        <f t="shared" si="11"/>
        <v>业态</v>
      </c>
      <c r="R38" s="666" t="s">
        <v>14</v>
      </c>
      <c r="S38" s="667">
        <f t="shared" si="12"/>
        <v>100</v>
      </c>
      <c r="T38" s="666" t="s">
        <v>14</v>
      </c>
      <c r="U38" s="667">
        <f t="shared" si="13"/>
        <v>100</v>
      </c>
      <c r="V38" s="666" t="s">
        <v>14</v>
      </c>
      <c r="W38" s="667">
        <f t="shared" si="14"/>
        <v>100</v>
      </c>
      <c r="X38" s="1263"/>
      <c r="Y38" s="3497" t="s">
        <v>1695</v>
      </c>
      <c r="Z38" s="1262" t="str">
        <f t="shared" si="15"/>
        <v>业态</v>
      </c>
      <c r="AA38" s="1262">
        <f t="shared" si="3"/>
        <v>1</v>
      </c>
      <c r="AB38" s="1262">
        <f t="shared" si="4"/>
        <v>1</v>
      </c>
      <c r="AC38" s="1262">
        <f t="shared" si="5"/>
        <v>1</v>
      </c>
    </row>
    <row r="39" spans="1:29" ht="15">
      <c r="A39" s="408"/>
      <c r="B39" s="363" t="s">
        <v>1788</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495"/>
      <c r="Q39" s="1261" t="str">
        <f t="shared" si="11"/>
        <v>层高</v>
      </c>
      <c r="R39" s="666" t="s">
        <v>14</v>
      </c>
      <c r="S39" s="667">
        <f t="shared" si="12"/>
        <v>100</v>
      </c>
      <c r="T39" s="666" t="s">
        <v>14</v>
      </c>
      <c r="U39" s="667">
        <f t="shared" si="13"/>
        <v>100</v>
      </c>
      <c r="V39" s="666" t="s">
        <v>14</v>
      </c>
      <c r="W39" s="667">
        <f t="shared" si="14"/>
        <v>100</v>
      </c>
      <c r="X39" s="1263"/>
      <c r="Y39" s="3497"/>
      <c r="Z39" s="1262" t="str">
        <f t="shared" si="15"/>
        <v>层高</v>
      </c>
      <c r="AA39" s="1262">
        <f t="shared" si="3"/>
        <v>1</v>
      </c>
      <c r="AB39" s="1262">
        <f t="shared" si="4"/>
        <v>1</v>
      </c>
      <c r="AC39" s="1262">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95"/>
      <c r="Q40" s="1261" t="str">
        <f t="shared" si="11"/>
        <v>单套建筑面积</v>
      </c>
      <c r="R40" s="666" t="s">
        <v>14</v>
      </c>
      <c r="S40" s="667">
        <f t="shared" si="12"/>
        <v>100</v>
      </c>
      <c r="T40" s="666" t="s">
        <v>14</v>
      </c>
      <c r="U40" s="667">
        <f t="shared" si="13"/>
        <v>100</v>
      </c>
      <c r="V40" s="666" t="s">
        <v>14</v>
      </c>
      <c r="W40" s="667">
        <f t="shared" si="14"/>
        <v>100</v>
      </c>
      <c r="X40" s="1263"/>
      <c r="Y40" s="3497"/>
      <c r="Z40" s="1262" t="str">
        <f t="shared" si="15"/>
        <v>单套建筑面积</v>
      </c>
      <c r="AA40" s="1262">
        <f t="shared" si="3"/>
        <v>1</v>
      </c>
      <c r="AB40" s="1262">
        <f t="shared" si="4"/>
        <v>1</v>
      </c>
      <c r="AC40" s="1262">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95"/>
      <c r="Q41" s="530" t="str">
        <f t="shared" si="11"/>
        <v>进深比</v>
      </c>
      <c r="R41" s="668" t="s">
        <v>14</v>
      </c>
      <c r="S41" s="669">
        <f t="shared" si="12"/>
        <v>100</v>
      </c>
      <c r="T41" s="668" t="s">
        <v>14</v>
      </c>
      <c r="U41" s="669">
        <f t="shared" si="13"/>
        <v>100</v>
      </c>
      <c r="V41" s="668" t="s">
        <v>14</v>
      </c>
      <c r="W41" s="669">
        <f t="shared" si="14"/>
        <v>100</v>
      </c>
      <c r="X41" s="670"/>
      <c r="Y41" s="3497"/>
      <c r="Z41" s="671" t="str">
        <f t="shared" si="15"/>
        <v>进深比</v>
      </c>
      <c r="AA41" s="1262">
        <f t="shared" si="3"/>
        <v>1</v>
      </c>
      <c r="AB41" s="1262">
        <f t="shared" si="4"/>
        <v>1</v>
      </c>
      <c r="AC41" s="1262">
        <f t="shared" si="5"/>
        <v>1</v>
      </c>
    </row>
    <row r="42" spans="1:29" ht="15">
      <c r="A42" s="408"/>
      <c r="B42" s="363" t="s">
        <v>1791</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495"/>
      <c r="Q42" s="1261" t="str">
        <f t="shared" si="11"/>
        <v>内部装修</v>
      </c>
      <c r="R42" s="666" t="s">
        <v>14</v>
      </c>
      <c r="S42" s="667">
        <f t="shared" si="12"/>
        <v>100</v>
      </c>
      <c r="T42" s="666" t="s">
        <v>14</v>
      </c>
      <c r="U42" s="667">
        <f t="shared" si="13"/>
        <v>100</v>
      </c>
      <c r="V42" s="666" t="s">
        <v>14</v>
      </c>
      <c r="W42" s="667">
        <f t="shared" si="14"/>
        <v>100</v>
      </c>
      <c r="X42" s="1263"/>
      <c r="Y42" s="3497"/>
      <c r="Z42" s="1262" t="str">
        <f t="shared" si="15"/>
        <v>内部装修</v>
      </c>
      <c r="AA42" s="1262">
        <f t="shared" si="3"/>
        <v>1</v>
      </c>
      <c r="AB42" s="1262">
        <f t="shared" si="4"/>
        <v>1</v>
      </c>
      <c r="AC42" s="1262">
        <f t="shared" si="5"/>
        <v>1</v>
      </c>
    </row>
    <row r="43" spans="1:29" ht="28.8">
      <c r="A43" s="408"/>
      <c r="B43" s="363" t="s">
        <v>1706</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495"/>
      <c r="Q43" s="1261" t="str">
        <f t="shared" si="11"/>
        <v>内部装修维护情况</v>
      </c>
      <c r="R43" s="666" t="s">
        <v>14</v>
      </c>
      <c r="S43" s="667">
        <f t="shared" si="12"/>
        <v>100</v>
      </c>
      <c r="T43" s="666" t="s">
        <v>14</v>
      </c>
      <c r="U43" s="667">
        <f t="shared" si="13"/>
        <v>100</v>
      </c>
      <c r="V43" s="666" t="s">
        <v>14</v>
      </c>
      <c r="W43" s="667">
        <f t="shared" si="14"/>
        <v>100</v>
      </c>
      <c r="X43" s="1263"/>
      <c r="Y43" s="3497"/>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95"/>
      <c r="Q44" s="529">
        <f t="shared" si="11"/>
        <v>111</v>
      </c>
      <c r="R44" s="663" t="s">
        <v>14</v>
      </c>
      <c r="S44" s="664">
        <f t="shared" si="12"/>
        <v>100</v>
      </c>
      <c r="T44" s="663" t="s">
        <v>14</v>
      </c>
      <c r="U44" s="664">
        <f t="shared" si="13"/>
        <v>100</v>
      </c>
      <c r="V44" s="663" t="s">
        <v>14</v>
      </c>
      <c r="W44" s="664">
        <f t="shared" si="14"/>
        <v>100</v>
      </c>
      <c r="X44" s="665"/>
      <c r="Y44" s="3497"/>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95"/>
      <c r="Q45" s="1261">
        <f t="shared" si="11"/>
        <v>111</v>
      </c>
      <c r="R45" s="666" t="s">
        <v>14</v>
      </c>
      <c r="S45" s="667">
        <f t="shared" si="12"/>
        <v>100</v>
      </c>
      <c r="T45" s="666" t="s">
        <v>14</v>
      </c>
      <c r="U45" s="667">
        <f t="shared" si="13"/>
        <v>100</v>
      </c>
      <c r="V45" s="666" t="s">
        <v>14</v>
      </c>
      <c r="W45" s="667">
        <f t="shared" si="14"/>
        <v>100</v>
      </c>
      <c r="X45" s="1263"/>
      <c r="Y45" s="3497"/>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96"/>
      <c r="Q46" s="1261">
        <f t="shared" si="11"/>
        <v>111</v>
      </c>
      <c r="R46" s="666" t="s">
        <v>14</v>
      </c>
      <c r="S46" s="667">
        <f t="shared" si="12"/>
        <v>100</v>
      </c>
      <c r="T46" s="666" t="s">
        <v>14</v>
      </c>
      <c r="U46" s="667">
        <f t="shared" si="13"/>
        <v>100</v>
      </c>
      <c r="V46" s="666" t="s">
        <v>14</v>
      </c>
      <c r="W46" s="667">
        <f t="shared" si="14"/>
        <v>100</v>
      </c>
      <c r="X46" s="1263"/>
      <c r="Y46" s="3498"/>
      <c r="Z46" s="1262">
        <f t="shared" si="15"/>
        <v>111</v>
      </c>
      <c r="AA46" s="1262">
        <f t="shared" si="3"/>
        <v>1</v>
      </c>
      <c r="AB46" s="1262">
        <f t="shared" si="4"/>
        <v>1</v>
      </c>
      <c r="AC46" s="1262">
        <f t="shared" si="5"/>
        <v>1</v>
      </c>
    </row>
    <row r="47" spans="1:29" ht="14.4">
      <c r="A47" s="415" t="s">
        <v>1707</v>
      </c>
      <c r="B47" s="416"/>
      <c r="C47" s="1079" t="s">
        <v>0</v>
      </c>
      <c r="D47" s="417"/>
      <c r="E47" s="418"/>
      <c r="F47" s="419"/>
      <c r="G47" s="420"/>
      <c r="H47" s="421"/>
      <c r="I47" s="418"/>
      <c r="J47" s="421"/>
      <c r="K47" s="673"/>
      <c r="L47" s="2492"/>
      <c r="M47" s="2485"/>
      <c r="N47" s="2485"/>
      <c r="O47" s="2485"/>
      <c r="P47" s="3490" t="str">
        <f>A47</f>
        <v>成交单价（元/平方米）</v>
      </c>
      <c r="Q47" s="3490"/>
      <c r="R47" s="3491">
        <f>E47</f>
        <v>0</v>
      </c>
      <c r="S47" s="3491"/>
      <c r="T47" s="3491">
        <f>G47</f>
        <v>0</v>
      </c>
      <c r="U47" s="3491"/>
      <c r="V47" s="3491">
        <f>I47</f>
        <v>0</v>
      </c>
      <c r="W47" s="3491"/>
      <c r="X47" s="384"/>
      <c r="Y47" s="672"/>
      <c r="Z47" s="384"/>
      <c r="AA47" s="384"/>
      <c r="AB47" s="384"/>
      <c r="AC47" s="384"/>
    </row>
    <row r="48" spans="1:29" ht="15" thickBot="1">
      <c r="A48" s="422" t="s">
        <v>1792</v>
      </c>
      <c r="B48" s="423"/>
      <c r="C48" s="1080" t="e">
        <f>R49</f>
        <v>#DIV/0!</v>
      </c>
      <c r="D48" s="2138" t="s">
        <v>2137</v>
      </c>
      <c r="E48" s="1081" t="e">
        <f>R48</f>
        <v>#DIV/0!</v>
      </c>
      <c r="F48" s="2139"/>
      <c r="G48" s="1080" t="e">
        <f>T48</f>
        <v>#DIV/0!</v>
      </c>
      <c r="H48" s="2139"/>
      <c r="I48" s="1081" t="e">
        <f>V48</f>
        <v>#DIV/0!</v>
      </c>
      <c r="J48" s="2139"/>
      <c r="K48" s="2141">
        <f>F48+H48+J48</f>
        <v>0</v>
      </c>
      <c r="L48" s="2492"/>
      <c r="M48" s="2485"/>
      <c r="N48" s="2485"/>
      <c r="O48" s="2485"/>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84"/>
      <c r="Y48" s="384"/>
      <c r="Z48" s="384"/>
      <c r="AA48" s="384"/>
      <c r="AB48" s="384"/>
      <c r="AC48" s="384"/>
    </row>
    <row r="49" spans="1:29" ht="15" thickBot="1">
      <c r="A49" s="426" t="s">
        <v>1793</v>
      </c>
      <c r="B49" s="427"/>
      <c r="C49" s="350" t="e">
        <f>R49</f>
        <v>#DIV/0!</v>
      </c>
      <c r="D49" s="350"/>
      <c r="E49" s="350"/>
      <c r="F49" s="350"/>
      <c r="G49" s="350"/>
      <c r="H49" s="350"/>
      <c r="I49" s="350"/>
      <c r="J49" s="350"/>
      <c r="K49" s="674"/>
      <c r="L49" s="2492"/>
      <c r="M49" s="2485"/>
      <c r="N49" s="2485"/>
      <c r="O49" s="2485"/>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1797</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1678</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7"/>
      <c r="Q58" s="2508"/>
      <c r="R58" s="2508"/>
      <c r="S58" s="2508"/>
      <c r="T58" s="2508"/>
      <c r="U58" s="2508"/>
      <c r="V58" s="2508"/>
      <c r="W58" s="2508"/>
      <c r="X58" s="2508"/>
      <c r="Y58" s="2508"/>
      <c r="Z58" s="2508"/>
      <c r="AA58" s="2508"/>
      <c r="AB58" s="2508"/>
      <c r="AC58" s="2508"/>
    </row>
    <row r="59" spans="1:29" s="101" customFormat="1">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1715</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1680</v>
      </c>
      <c r="B61" s="443"/>
      <c r="C61" s="455" t="s">
        <v>1775</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1718</v>
      </c>
      <c r="B63" s="459" t="s">
        <v>1684</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1687</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1689</v>
      </c>
      <c r="B76" s="459" t="s">
        <v>1719</v>
      </c>
      <c r="C76" s="503" t="s">
        <v>1720</v>
      </c>
      <c r="D76" s="503" t="s">
        <v>1721</v>
      </c>
      <c r="E76" s="503" t="s">
        <v>1722</v>
      </c>
      <c r="F76" s="503" t="s">
        <v>1723</v>
      </c>
      <c r="G76" s="503" t="s">
        <v>1724</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1725</v>
      </c>
      <c r="C78" s="508" t="s">
        <v>1720</v>
      </c>
      <c r="D78" s="508" t="s">
        <v>1721</v>
      </c>
      <c r="E78" s="508" t="s">
        <v>1722</v>
      </c>
      <c r="F78" s="508" t="s">
        <v>1723</v>
      </c>
      <c r="G78" s="508" t="s">
        <v>1724</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1726</v>
      </c>
      <c r="C80" s="508" t="s">
        <v>1720</v>
      </c>
      <c r="D80" s="508" t="s">
        <v>1721</v>
      </c>
      <c r="E80" s="508" t="s">
        <v>1722</v>
      </c>
      <c r="F80" s="508" t="s">
        <v>1723</v>
      </c>
      <c r="G80" s="508" t="s">
        <v>1724</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1778</v>
      </c>
      <c r="C82" s="580" t="s">
        <v>1798</v>
      </c>
      <c r="D82" s="580" t="s">
        <v>1799</v>
      </c>
      <c r="E82" s="580" t="s">
        <v>1800</v>
      </c>
      <c r="F82" s="580" t="s">
        <v>1801</v>
      </c>
      <c r="G82" s="580" t="s">
        <v>1802</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1732</v>
      </c>
      <c r="C84" s="508" t="s">
        <v>1720</v>
      </c>
      <c r="D84" s="508" t="s">
        <v>1721</v>
      </c>
      <c r="E84" s="508" t="s">
        <v>1722</v>
      </c>
      <c r="F84" s="508" t="s">
        <v>1723</v>
      </c>
      <c r="G84" s="508" t="s">
        <v>1724</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1803</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1693</v>
      </c>
      <c r="B100" s="459" t="s">
        <v>1804</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1737</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1739</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1741</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1805</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1806</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1807</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1808</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1743</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1744</v>
      </c>
      <c r="C124" s="508" t="s">
        <v>1720</v>
      </c>
      <c r="D124" s="508" t="s">
        <v>1721</v>
      </c>
      <c r="E124" s="508" t="s">
        <v>1722</v>
      </c>
      <c r="F124" s="508" t="s">
        <v>1723</v>
      </c>
      <c r="G124" s="508" t="s">
        <v>1724</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1809</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2"/>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60" t="s">
        <v>1774</v>
      </c>
      <c r="Q4" s="3561"/>
      <c r="R4" s="3564" t="s">
        <v>1770</v>
      </c>
      <c r="S4" s="3565"/>
      <c r="T4" s="3564" t="s">
        <v>1771</v>
      </c>
      <c r="U4" s="3565"/>
      <c r="V4" s="3566" t="s">
        <v>1772</v>
      </c>
      <c r="W4" s="3566"/>
      <c r="X4" s="1806"/>
      <c r="Y4" s="3564" t="s">
        <v>1774</v>
      </c>
      <c r="Z4" s="3565"/>
      <c r="AA4" s="3568" t="s">
        <v>1770</v>
      </c>
      <c r="AB4" s="3568" t="s">
        <v>1771</v>
      </c>
      <c r="AC4" s="3557" t="s">
        <v>1772</v>
      </c>
    </row>
    <row r="5" spans="1:29">
      <c r="A5" s="347"/>
      <c r="B5" s="348"/>
      <c r="C5" s="3523" t="s">
        <v>1672</v>
      </c>
      <c r="D5" s="3524"/>
      <c r="E5" s="3531" t="s">
        <v>1673</v>
      </c>
      <c r="F5" s="3532"/>
      <c r="G5" s="3523" t="s">
        <v>1674</v>
      </c>
      <c r="H5" s="3524"/>
      <c r="I5" s="3523" t="s">
        <v>1675</v>
      </c>
      <c r="J5" s="3524"/>
      <c r="K5" s="536"/>
      <c r="L5" s="2484"/>
      <c r="M5" s="2485"/>
      <c r="N5" s="2485"/>
      <c r="O5" s="2485"/>
      <c r="P5" s="3562"/>
      <c r="Q5" s="3512"/>
      <c r="R5" s="3517"/>
      <c r="S5" s="3518"/>
      <c r="T5" s="3517"/>
      <c r="U5" s="3518"/>
      <c r="V5" s="3491"/>
      <c r="W5" s="3491"/>
      <c r="X5" s="1263"/>
      <c r="Y5" s="3517"/>
      <c r="Z5" s="3518"/>
      <c r="AA5" s="3503"/>
      <c r="AB5" s="3503"/>
      <c r="AC5" s="3558"/>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63"/>
      <c r="Q6" s="3514"/>
      <c r="R6" s="3517"/>
      <c r="S6" s="3518"/>
      <c r="T6" s="3519"/>
      <c r="U6" s="3520"/>
      <c r="V6" s="3491"/>
      <c r="W6" s="3491"/>
      <c r="X6" s="1263"/>
      <c r="Y6" s="3519"/>
      <c r="Z6" s="3520"/>
      <c r="AA6" s="3504"/>
      <c r="AB6" s="3504"/>
      <c r="AC6" s="3559"/>
    </row>
    <row r="7" spans="1:29" s="101" customFormat="1" ht="1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6"/>
      <c r="M7" s="2437"/>
      <c r="N7" s="2437"/>
      <c r="O7" s="2437"/>
      <c r="P7" s="3567"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801" t="e">
        <f>D7/J7</f>
        <v>#DIV/0!</v>
      </c>
    </row>
    <row r="8" spans="1:29" s="101" customFormat="1" ht="1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67" t="s">
        <v>1682</v>
      </c>
      <c r="Q8" s="3526"/>
      <c r="R8" s="663" t="s">
        <v>14</v>
      </c>
      <c r="S8" s="664">
        <f t="shared" si="0"/>
        <v>100</v>
      </c>
      <c r="T8" s="663" t="s">
        <v>14</v>
      </c>
      <c r="U8" s="664">
        <f t="shared" si="1"/>
        <v>100</v>
      </c>
      <c r="V8" s="663" t="s">
        <v>14</v>
      </c>
      <c r="W8" s="664">
        <f t="shared" si="2"/>
        <v>100</v>
      </c>
      <c r="X8" s="665"/>
      <c r="Y8" s="3525" t="s">
        <v>1682</v>
      </c>
      <c r="Z8" s="3526"/>
      <c r="AA8" s="50">
        <f t="shared" ref="AA8:AA47" si="3">D8/F8</f>
        <v>1</v>
      </c>
      <c r="AB8" s="50">
        <f t="shared" ref="AB8:AB47" si="4">D8/H8</f>
        <v>1</v>
      </c>
      <c r="AC8" s="801">
        <f t="shared" ref="AC8:AC47" si="5">D8/J8</f>
        <v>1</v>
      </c>
    </row>
    <row r="9" spans="1:29" s="101" customFormat="1" ht="14.4">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801">
        <f t="shared" si="5"/>
        <v>1</v>
      </c>
    </row>
    <row r="10" spans="1:29" s="365" customFormat="1" ht="28.8">
      <c r="A10" s="362"/>
      <c r="B10" s="363" t="s">
        <v>1687</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1"/>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801">
        <f t="shared" si="5"/>
        <v>1</v>
      </c>
    </row>
    <row r="15" spans="1:29" ht="69">
      <c r="A15" s="378" t="s">
        <v>1689</v>
      </c>
      <c r="B15" s="553" t="s">
        <v>1810</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99" t="s">
        <v>1690</v>
      </c>
      <c r="Q15" s="1261" t="str">
        <f t="shared" si="6"/>
        <v>办公集聚程度</v>
      </c>
      <c r="R15" s="666" t="s">
        <v>14</v>
      </c>
      <c r="S15" s="667">
        <f t="shared" si="0"/>
        <v>100</v>
      </c>
      <c r="T15" s="666" t="s">
        <v>14</v>
      </c>
      <c r="U15" s="667">
        <f t="shared" si="1"/>
        <v>100</v>
      </c>
      <c r="V15" s="666" t="s">
        <v>14</v>
      </c>
      <c r="W15" s="667">
        <f t="shared" si="2"/>
        <v>100</v>
      </c>
      <c r="X15" s="1263"/>
      <c r="Y15" s="3492" t="s">
        <v>1690</v>
      </c>
      <c r="Z15" s="1262" t="str">
        <f t="shared" si="7"/>
        <v>办公集聚程度</v>
      </c>
      <c r="AA15" s="1262">
        <f t="shared" si="3"/>
        <v>1</v>
      </c>
      <c r="AB15" s="1262">
        <f t="shared" si="4"/>
        <v>1</v>
      </c>
      <c r="AC15" s="1809">
        <f t="shared" si="5"/>
        <v>1</v>
      </c>
    </row>
    <row r="16" spans="1:29" ht="15">
      <c r="A16" s="366"/>
      <c r="B16" s="554"/>
      <c r="C16" s="1756"/>
      <c r="D16" s="386"/>
      <c r="E16" s="385"/>
      <c r="F16" s="386"/>
      <c r="G16" s="1756"/>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809">
        <v>1</v>
      </c>
    </row>
    <row r="17" spans="1:29" ht="82.8">
      <c r="A17" s="366"/>
      <c r="B17" s="555" t="s">
        <v>1258</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809">
        <f t="shared" si="5"/>
        <v>1</v>
      </c>
    </row>
    <row r="18" spans="1:29" ht="15">
      <c r="A18" s="366"/>
      <c r="B18" s="400"/>
      <c r="C18" s="1811"/>
      <c r="D18" s="388"/>
      <c r="E18" s="1754"/>
      <c r="F18" s="388"/>
      <c r="G18" s="1755"/>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809">
        <v>1</v>
      </c>
    </row>
    <row r="19" spans="1:29" ht="41.4">
      <c r="A19" s="366"/>
      <c r="B19" s="555" t="s">
        <v>1811</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809">
        <f t="shared" si="5"/>
        <v>1</v>
      </c>
    </row>
    <row r="20" spans="1:29" ht="15">
      <c r="A20" s="366"/>
      <c r="B20" s="400"/>
      <c r="C20" s="1756"/>
      <c r="D20" s="386"/>
      <c r="E20" s="1749"/>
      <c r="F20" s="386"/>
      <c r="G20" s="1750"/>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809">
        <v>1</v>
      </c>
    </row>
    <row r="21" spans="1:29" ht="27.6">
      <c r="A21" s="366"/>
      <c r="B21" s="556" t="s">
        <v>1812</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6"/>
      <c r="H22" s="386"/>
      <c r="I22" s="1756"/>
      <c r="J22" s="386"/>
      <c r="K22" s="1062"/>
      <c r="L22" s="2490"/>
      <c r="M22" s="2485"/>
      <c r="N22" s="2485"/>
      <c r="O22" s="2485"/>
      <c r="P22" s="3500"/>
      <c r="Q22" s="1261"/>
      <c r="R22" s="666"/>
      <c r="S22" s="667"/>
      <c r="T22" s="666"/>
      <c r="U22" s="667"/>
      <c r="V22" s="666"/>
      <c r="W22" s="667"/>
      <c r="X22" s="1263"/>
      <c r="Y22" s="3493"/>
      <c r="Z22" s="1262"/>
      <c r="AA22" s="1262">
        <v>1</v>
      </c>
      <c r="AB22" s="1262">
        <v>1</v>
      </c>
      <c r="AC22" s="1809">
        <v>1</v>
      </c>
    </row>
    <row r="23" spans="1:29" ht="55.2">
      <c r="A23" s="366"/>
      <c r="B23" s="555" t="s">
        <v>1813</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00"/>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809">
        <f t="shared" si="5"/>
        <v>1</v>
      </c>
    </row>
    <row r="24" spans="1:29" ht="15">
      <c r="A24" s="366"/>
      <c r="B24" s="556"/>
      <c r="C24" s="1756"/>
      <c r="D24" s="386"/>
      <c r="E24" s="1749"/>
      <c r="F24" s="386"/>
      <c r="G24" s="1750"/>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809">
        <v>1</v>
      </c>
    </row>
    <row r="25" spans="1:29" ht="28.8">
      <c r="A25" s="347"/>
      <c r="B25" s="555" t="s">
        <v>1814</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00"/>
      <c r="Q25" s="1261" t="str">
        <f>B25</f>
        <v>毗邻道路的类型与等级</v>
      </c>
      <c r="R25" s="666" t="s">
        <v>14</v>
      </c>
      <c r="S25" s="667">
        <f>F25</f>
        <v>100</v>
      </c>
      <c r="T25" s="666" t="s">
        <v>14</v>
      </c>
      <c r="U25" s="667">
        <f>H25</f>
        <v>100</v>
      </c>
      <c r="V25" s="666" t="s">
        <v>14</v>
      </c>
      <c r="W25" s="667">
        <f>J25</f>
        <v>100</v>
      </c>
      <c r="X25" s="1263"/>
      <c r="Y25" s="3493"/>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90"/>
      <c r="M26" s="2485"/>
      <c r="N26" s="2485"/>
      <c r="O26" s="2485"/>
      <c r="P26" s="3500"/>
      <c r="Q26" s="1261"/>
      <c r="R26" s="666"/>
      <c r="S26" s="667"/>
      <c r="T26" s="666"/>
      <c r="U26" s="667"/>
      <c r="V26" s="666"/>
      <c r="W26" s="667"/>
      <c r="X26" s="1263"/>
      <c r="Y26" s="3493"/>
      <c r="Z26" s="1262"/>
      <c r="AA26" s="1262">
        <v>1</v>
      </c>
      <c r="AB26" s="1262">
        <v>1</v>
      </c>
      <c r="AC26" s="1809">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00"/>
      <c r="Q27" s="1261" t="str">
        <f t="shared" ref="Q27:Q47" si="11">B27</f>
        <v>楼层</v>
      </c>
      <c r="R27" s="666" t="s">
        <v>14</v>
      </c>
      <c r="S27" s="667">
        <f>F27</f>
        <v>100</v>
      </c>
      <c r="T27" s="666" t="s">
        <v>14</v>
      </c>
      <c r="U27" s="667">
        <f>H27</f>
        <v>100</v>
      </c>
      <c r="V27" s="666" t="s">
        <v>14</v>
      </c>
      <c r="W27" s="667">
        <f>J27</f>
        <v>100</v>
      </c>
      <c r="X27" s="1263"/>
      <c r="Y27" s="3493"/>
      <c r="Z27" s="1262" t="str">
        <f>Q27</f>
        <v>楼层</v>
      </c>
      <c r="AA27" s="1262">
        <f t="shared" si="3"/>
        <v>1</v>
      </c>
      <c r="AB27" s="1262">
        <f t="shared" si="4"/>
        <v>1</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500"/>
      <c r="Q28" s="529" t="str">
        <f t="shared" si="11"/>
        <v>朝向</v>
      </c>
      <c r="R28" s="663" t="s">
        <v>14</v>
      </c>
      <c r="S28" s="664">
        <f>F28</f>
        <v>100</v>
      </c>
      <c r="T28" s="663" t="s">
        <v>14</v>
      </c>
      <c r="U28" s="664">
        <f>H28</f>
        <v>100</v>
      </c>
      <c r="V28" s="663" t="s">
        <v>14</v>
      </c>
      <c r="W28" s="664">
        <f>J28</f>
        <v>100</v>
      </c>
      <c r="X28" s="665"/>
      <c r="Y28" s="3493"/>
      <c r="Z28" s="50" t="str">
        <f>Q28</f>
        <v>朝向</v>
      </c>
      <c r="AA28" s="1262">
        <f>D28/F28</f>
        <v>1</v>
      </c>
      <c r="AB28" s="1262">
        <f>D28/H28</f>
        <v>1</v>
      </c>
      <c r="AC28" s="1809">
        <f>D28/J28</f>
        <v>1</v>
      </c>
    </row>
    <row r="29" spans="1:29" ht="15">
      <c r="A29" s="366"/>
      <c r="B29" s="1097">
        <v>111</v>
      </c>
      <c r="C29" s="1760"/>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500"/>
      <c r="Q29" s="1261">
        <f t="shared" si="11"/>
        <v>111</v>
      </c>
      <c r="R29" s="666" t="s">
        <v>14</v>
      </c>
      <c r="S29" s="667">
        <f t="shared" ref="S29:S47" si="12">F29</f>
        <v>100</v>
      </c>
      <c r="T29" s="666" t="s">
        <v>14</v>
      </c>
      <c r="U29" s="667">
        <f t="shared" ref="U29:U47" si="13">H29</f>
        <v>100</v>
      </c>
      <c r="V29" s="666" t="s">
        <v>14</v>
      </c>
      <c r="W29" s="667">
        <f t="shared" ref="W29:W47" si="14">J29</f>
        <v>100</v>
      </c>
      <c r="X29" s="1263"/>
      <c r="Y29" s="3493"/>
      <c r="Z29" s="1262">
        <f t="shared" ref="Z29:Z47" si="15">Q29</f>
        <v>111</v>
      </c>
      <c r="AA29" s="1262">
        <f t="shared" si="3"/>
        <v>1</v>
      </c>
      <c r="AB29" s="1262">
        <f t="shared" si="4"/>
        <v>1</v>
      </c>
      <c r="AC29" s="1809">
        <f t="shared" si="5"/>
        <v>1</v>
      </c>
    </row>
    <row r="30" spans="1:29" ht="15">
      <c r="A30" s="366"/>
      <c r="B30" s="1097">
        <v>111</v>
      </c>
      <c r="C30" s="1760"/>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809">
        <f t="shared" si="5"/>
        <v>1</v>
      </c>
    </row>
    <row r="31" spans="1:29" ht="15">
      <c r="A31" s="366"/>
      <c r="B31" s="1097">
        <v>111</v>
      </c>
      <c r="C31" s="1760"/>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809">
        <f t="shared" si="5"/>
        <v>1</v>
      </c>
    </row>
    <row r="32" spans="1:29" ht="15.6" thickBot="1">
      <c r="A32" s="374"/>
      <c r="B32" s="558">
        <v>111</v>
      </c>
      <c r="C32" s="1761"/>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500"/>
      <c r="Q32" s="1261">
        <f t="shared" si="11"/>
        <v>111</v>
      </c>
      <c r="R32" s="666" t="s">
        <v>14</v>
      </c>
      <c r="S32" s="667">
        <f t="shared" si="12"/>
        <v>100</v>
      </c>
      <c r="T32" s="666" t="s">
        <v>14</v>
      </c>
      <c r="U32" s="667">
        <f t="shared" si="13"/>
        <v>100</v>
      </c>
      <c r="V32" s="666" t="s">
        <v>14</v>
      </c>
      <c r="W32" s="667">
        <f t="shared" si="14"/>
        <v>100</v>
      </c>
      <c r="X32" s="1263"/>
      <c r="Y32" s="3493"/>
      <c r="Z32" s="1262">
        <f t="shared" si="15"/>
        <v>111</v>
      </c>
      <c r="AA32" s="1262">
        <f t="shared" si="3"/>
        <v>1</v>
      </c>
      <c r="AB32" s="1262">
        <f t="shared" si="4"/>
        <v>1</v>
      </c>
      <c r="AC32" s="1809">
        <f t="shared" si="5"/>
        <v>1</v>
      </c>
    </row>
    <row r="33" spans="1:29" ht="15">
      <c r="A33" s="378" t="s">
        <v>1693</v>
      </c>
      <c r="B33" s="60" t="s">
        <v>1816</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494" t="s">
        <v>1695</v>
      </c>
      <c r="Q33" s="1261" t="str">
        <f t="shared" si="11"/>
        <v>建筑类型</v>
      </c>
      <c r="R33" s="666" t="s">
        <v>14</v>
      </c>
      <c r="S33" s="667">
        <f t="shared" si="12"/>
        <v>100</v>
      </c>
      <c r="T33" s="666" t="s">
        <v>14</v>
      </c>
      <c r="U33" s="667">
        <f t="shared" si="13"/>
        <v>100</v>
      </c>
      <c r="V33" s="666" t="s">
        <v>14</v>
      </c>
      <c r="W33" s="667">
        <f t="shared" si="14"/>
        <v>100</v>
      </c>
      <c r="X33" s="1263"/>
      <c r="Y33" s="3497" t="s">
        <v>1695</v>
      </c>
      <c r="Z33" s="1262" t="str">
        <f t="shared" si="15"/>
        <v>建筑类型</v>
      </c>
      <c r="AA33" s="1262">
        <f t="shared" si="3"/>
        <v>1</v>
      </c>
      <c r="AB33" s="1262">
        <f t="shared" si="4"/>
        <v>1</v>
      </c>
      <c r="AC33" s="1809">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95"/>
      <c r="Q34" s="530" t="str">
        <f t="shared" si="11"/>
        <v>项目建筑规模</v>
      </c>
      <c r="R34" s="668" t="s">
        <v>14</v>
      </c>
      <c r="S34" s="669" t="e">
        <f t="shared" si="12"/>
        <v>#N/A</v>
      </c>
      <c r="T34" s="668" t="s">
        <v>14</v>
      </c>
      <c r="U34" s="669" t="e">
        <f t="shared" si="13"/>
        <v>#N/A</v>
      </c>
      <c r="V34" s="668" t="s">
        <v>14</v>
      </c>
      <c r="W34" s="669" t="e">
        <f t="shared" si="14"/>
        <v>#N/A</v>
      </c>
      <c r="X34" s="670"/>
      <c r="Y34" s="3497"/>
      <c r="Z34" s="671" t="str">
        <f t="shared" si="15"/>
        <v>项目建筑规模</v>
      </c>
      <c r="AA34" s="1262" t="e">
        <f t="shared" si="3"/>
        <v>#N/A</v>
      </c>
      <c r="AB34" s="1262" t="e">
        <f t="shared" si="4"/>
        <v>#N/A</v>
      </c>
      <c r="AC34" s="1809"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95"/>
      <c r="Q35" s="1261" t="str">
        <f t="shared" si="11"/>
        <v>建筑结构</v>
      </c>
      <c r="R35" s="666" t="s">
        <v>14</v>
      </c>
      <c r="S35" s="667">
        <f t="shared" si="12"/>
        <v>100</v>
      </c>
      <c r="T35" s="666" t="s">
        <v>14</v>
      </c>
      <c r="U35" s="667">
        <f t="shared" si="13"/>
        <v>100</v>
      </c>
      <c r="V35" s="666" t="s">
        <v>14</v>
      </c>
      <c r="W35" s="667">
        <f t="shared" si="14"/>
        <v>100</v>
      </c>
      <c r="X35" s="1263"/>
      <c r="Y35" s="3497"/>
      <c r="Z35" s="1262" t="str">
        <f t="shared" si="15"/>
        <v>建筑结构</v>
      </c>
      <c r="AA35" s="1262">
        <f t="shared" si="3"/>
        <v>1</v>
      </c>
      <c r="AB35" s="1262">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95"/>
      <c r="Q36" s="1261" t="str">
        <f t="shared" si="11"/>
        <v>公共部分装修</v>
      </c>
      <c r="R36" s="666" t="s">
        <v>14</v>
      </c>
      <c r="S36" s="667">
        <f t="shared" si="12"/>
        <v>100</v>
      </c>
      <c r="T36" s="666" t="s">
        <v>14</v>
      </c>
      <c r="U36" s="667">
        <f t="shared" si="13"/>
        <v>100</v>
      </c>
      <c r="V36" s="666" t="s">
        <v>14</v>
      </c>
      <c r="W36" s="667">
        <f t="shared" si="14"/>
        <v>100</v>
      </c>
      <c r="X36" s="1263"/>
      <c r="Y36" s="3497"/>
      <c r="Z36" s="1262" t="str">
        <f t="shared" si="15"/>
        <v>公共部分装修</v>
      </c>
      <c r="AA36" s="1262">
        <f t="shared" si="3"/>
        <v>1</v>
      </c>
      <c r="AB36" s="1262">
        <f t="shared" si="4"/>
        <v>1</v>
      </c>
      <c r="AC36" s="1809">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95"/>
      <c r="Q37" s="1261" t="str">
        <f t="shared" si="11"/>
        <v>成新度</v>
      </c>
      <c r="R37" s="666" t="s">
        <v>14</v>
      </c>
      <c r="S37" s="667" t="e">
        <f t="shared" si="12"/>
        <v>#N/A</v>
      </c>
      <c r="T37" s="666" t="s">
        <v>14</v>
      </c>
      <c r="U37" s="667" t="e">
        <f t="shared" si="13"/>
        <v>#N/A</v>
      </c>
      <c r="V37" s="666" t="s">
        <v>14</v>
      </c>
      <c r="W37" s="667" t="e">
        <f t="shared" si="14"/>
        <v>#N/A</v>
      </c>
      <c r="X37" s="1263"/>
      <c r="Y37" s="3497"/>
      <c r="Z37" s="1262" t="str">
        <f t="shared" si="15"/>
        <v>成新度</v>
      </c>
      <c r="AA37" s="1262" t="e">
        <f t="shared" si="3"/>
        <v>#N/A</v>
      </c>
      <c r="AB37" s="1262" t="e">
        <f t="shared" si="4"/>
        <v>#N/A</v>
      </c>
      <c r="AC37" s="1809"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95"/>
      <c r="Q38" s="529" t="str">
        <f t="shared" si="11"/>
        <v>写字楼等级</v>
      </c>
      <c r="R38" s="663" t="s">
        <v>14</v>
      </c>
      <c r="S38" s="664">
        <f t="shared" si="12"/>
        <v>100</v>
      </c>
      <c r="T38" s="663" t="s">
        <v>14</v>
      </c>
      <c r="U38" s="664">
        <f t="shared" si="13"/>
        <v>100</v>
      </c>
      <c r="V38" s="663" t="s">
        <v>14</v>
      </c>
      <c r="W38" s="664">
        <f t="shared" si="14"/>
        <v>100</v>
      </c>
      <c r="X38" s="665"/>
      <c r="Y38" s="3497"/>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95" t="s">
        <v>1695</v>
      </c>
      <c r="Q39" s="1261" t="str">
        <f t="shared" si="11"/>
        <v>物业管理</v>
      </c>
      <c r="R39" s="666" t="s">
        <v>14</v>
      </c>
      <c r="S39" s="667">
        <f t="shared" si="12"/>
        <v>100</v>
      </c>
      <c r="T39" s="666" t="s">
        <v>14</v>
      </c>
      <c r="U39" s="667">
        <f t="shared" si="13"/>
        <v>100</v>
      </c>
      <c r="V39" s="666" t="s">
        <v>14</v>
      </c>
      <c r="W39" s="667">
        <f t="shared" si="14"/>
        <v>100</v>
      </c>
      <c r="X39" s="1263"/>
      <c r="Y39" s="3497" t="s">
        <v>1695</v>
      </c>
      <c r="Z39" s="1262" t="str">
        <f t="shared" si="15"/>
        <v>物业管理</v>
      </c>
      <c r="AA39" s="1262">
        <f t="shared" si="3"/>
        <v>1</v>
      </c>
      <c r="AB39" s="1262">
        <f t="shared" si="4"/>
        <v>1</v>
      </c>
      <c r="AC39" s="1809">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95"/>
      <c r="Q40" s="1261" t="str">
        <f t="shared" si="11"/>
        <v>市政基础设施</v>
      </c>
      <c r="R40" s="666" t="s">
        <v>14</v>
      </c>
      <c r="S40" s="667">
        <f t="shared" si="12"/>
        <v>100</v>
      </c>
      <c r="T40" s="666" t="s">
        <v>14</v>
      </c>
      <c r="U40" s="667">
        <f t="shared" si="13"/>
        <v>100</v>
      </c>
      <c r="V40" s="666" t="s">
        <v>14</v>
      </c>
      <c r="W40" s="667">
        <f t="shared" si="14"/>
        <v>100</v>
      </c>
      <c r="X40" s="1263"/>
      <c r="Y40" s="3497"/>
      <c r="Z40" s="1262" t="str">
        <f t="shared" si="15"/>
        <v>市政基础设施</v>
      </c>
      <c r="AA40" s="1262">
        <f t="shared" si="3"/>
        <v>1</v>
      </c>
      <c r="AB40" s="1262">
        <f t="shared" si="4"/>
        <v>1</v>
      </c>
      <c r="AC40" s="1809">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95"/>
      <c r="Q41" s="1261" t="str">
        <f t="shared" si="11"/>
        <v>层高</v>
      </c>
      <c r="R41" s="666" t="s">
        <v>14</v>
      </c>
      <c r="S41" s="667">
        <f t="shared" si="12"/>
        <v>100</v>
      </c>
      <c r="T41" s="666" t="s">
        <v>14</v>
      </c>
      <c r="U41" s="667">
        <f t="shared" si="13"/>
        <v>100</v>
      </c>
      <c r="V41" s="666" t="s">
        <v>14</v>
      </c>
      <c r="W41" s="667">
        <f t="shared" si="14"/>
        <v>100</v>
      </c>
      <c r="X41" s="1263"/>
      <c r="Y41" s="3497"/>
      <c r="Z41" s="1262" t="str">
        <f t="shared" si="15"/>
        <v>层高</v>
      </c>
      <c r="AA41" s="1262">
        <f t="shared" si="3"/>
        <v>1</v>
      </c>
      <c r="AB41" s="1262">
        <f t="shared" si="4"/>
        <v>1</v>
      </c>
      <c r="AC41" s="1809">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95"/>
      <c r="Q42" s="530" t="str">
        <f t="shared" si="11"/>
        <v>单套建筑面积</v>
      </c>
      <c r="R42" s="668" t="s">
        <v>14</v>
      </c>
      <c r="S42" s="669">
        <f t="shared" si="12"/>
        <v>100</v>
      </c>
      <c r="T42" s="668" t="s">
        <v>14</v>
      </c>
      <c r="U42" s="669">
        <f t="shared" si="13"/>
        <v>100</v>
      </c>
      <c r="V42" s="668" t="s">
        <v>14</v>
      </c>
      <c r="W42" s="669">
        <f t="shared" si="14"/>
        <v>100</v>
      </c>
      <c r="X42" s="670"/>
      <c r="Y42" s="3497"/>
      <c r="Z42" s="671" t="str">
        <f t="shared" si="15"/>
        <v>单套建筑面积</v>
      </c>
      <c r="AA42" s="1262">
        <f t="shared" si="3"/>
        <v>1</v>
      </c>
      <c r="AB42" s="1262">
        <f t="shared" si="4"/>
        <v>1</v>
      </c>
      <c r="AC42" s="1809">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95"/>
      <c r="Q43" s="1261" t="str">
        <f t="shared" si="11"/>
        <v>内部装修</v>
      </c>
      <c r="R43" s="666" t="s">
        <v>14</v>
      </c>
      <c r="S43" s="667">
        <f t="shared" si="12"/>
        <v>100</v>
      </c>
      <c r="T43" s="666" t="s">
        <v>14</v>
      </c>
      <c r="U43" s="667">
        <f t="shared" si="13"/>
        <v>100</v>
      </c>
      <c r="V43" s="666" t="s">
        <v>14</v>
      </c>
      <c r="W43" s="667">
        <f t="shared" si="14"/>
        <v>100</v>
      </c>
      <c r="X43" s="1263"/>
      <c r="Y43" s="3497"/>
      <c r="Z43" s="1262" t="str">
        <f t="shared" si="15"/>
        <v>内部装修</v>
      </c>
      <c r="AA43" s="1262">
        <f t="shared" si="3"/>
        <v>1</v>
      </c>
      <c r="AB43" s="1262">
        <f t="shared" si="4"/>
        <v>1</v>
      </c>
      <c r="AC43" s="1809">
        <f t="shared" si="5"/>
        <v>1</v>
      </c>
    </row>
    <row r="44" spans="1:29" ht="28.8">
      <c r="A44" s="408"/>
      <c r="B44" s="363" t="s">
        <v>1706</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495"/>
      <c r="Q44" s="1261" t="str">
        <f t="shared" si="11"/>
        <v>内部装修维护情况</v>
      </c>
      <c r="R44" s="666" t="s">
        <v>14</v>
      </c>
      <c r="S44" s="667">
        <f t="shared" si="12"/>
        <v>100</v>
      </c>
      <c r="T44" s="666" t="s">
        <v>14</v>
      </c>
      <c r="U44" s="667">
        <f t="shared" si="13"/>
        <v>100</v>
      </c>
      <c r="V44" s="666" t="s">
        <v>14</v>
      </c>
      <c r="W44" s="667">
        <f t="shared" si="14"/>
        <v>100</v>
      </c>
      <c r="X44" s="1263"/>
      <c r="Y44" s="3497"/>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95"/>
      <c r="Q45" s="529">
        <f t="shared" si="11"/>
        <v>111</v>
      </c>
      <c r="R45" s="663" t="s">
        <v>14</v>
      </c>
      <c r="S45" s="664">
        <f t="shared" si="12"/>
        <v>100</v>
      </c>
      <c r="T45" s="663" t="s">
        <v>14</v>
      </c>
      <c r="U45" s="664">
        <f t="shared" si="13"/>
        <v>100</v>
      </c>
      <c r="V45" s="663" t="s">
        <v>14</v>
      </c>
      <c r="W45" s="664">
        <f t="shared" si="14"/>
        <v>100</v>
      </c>
      <c r="X45" s="665"/>
      <c r="Y45" s="3497"/>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95"/>
      <c r="Q46" s="1261">
        <f t="shared" si="11"/>
        <v>111</v>
      </c>
      <c r="R46" s="666" t="s">
        <v>14</v>
      </c>
      <c r="S46" s="667">
        <f t="shared" si="12"/>
        <v>100</v>
      </c>
      <c r="T46" s="666" t="s">
        <v>14</v>
      </c>
      <c r="U46" s="667">
        <f t="shared" si="13"/>
        <v>100</v>
      </c>
      <c r="V46" s="666" t="s">
        <v>14</v>
      </c>
      <c r="W46" s="667">
        <f t="shared" si="14"/>
        <v>100</v>
      </c>
      <c r="X46" s="1263"/>
      <c r="Y46" s="3497"/>
      <c r="Z46" s="1262">
        <f t="shared" si="15"/>
        <v>111</v>
      </c>
      <c r="AA46" s="1262">
        <f t="shared" si="3"/>
        <v>1</v>
      </c>
      <c r="AB46" s="1262">
        <f t="shared" si="4"/>
        <v>1</v>
      </c>
      <c r="AC46" s="1809">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96"/>
      <c r="Q47" s="1261">
        <f t="shared" si="11"/>
        <v>111</v>
      </c>
      <c r="R47" s="666" t="s">
        <v>14</v>
      </c>
      <c r="S47" s="667">
        <f t="shared" si="12"/>
        <v>100</v>
      </c>
      <c r="T47" s="666" t="s">
        <v>14</v>
      </c>
      <c r="U47" s="667">
        <f t="shared" si="13"/>
        <v>100</v>
      </c>
      <c r="V47" s="666" t="s">
        <v>14</v>
      </c>
      <c r="W47" s="667">
        <f t="shared" si="14"/>
        <v>100</v>
      </c>
      <c r="X47" s="1263"/>
      <c r="Y47" s="3498"/>
      <c r="Z47" s="1262">
        <f t="shared" si="15"/>
        <v>111</v>
      </c>
      <c r="AA47" s="1262">
        <f t="shared" si="3"/>
        <v>1</v>
      </c>
      <c r="AB47" s="1262">
        <f t="shared" si="4"/>
        <v>1</v>
      </c>
      <c r="AC47" s="1809">
        <f t="shared" si="5"/>
        <v>1</v>
      </c>
    </row>
    <row r="48" spans="1:29" ht="14.4">
      <c r="A48" s="415" t="s">
        <v>1707</v>
      </c>
      <c r="B48" s="416"/>
      <c r="C48" s="1079" t="s">
        <v>0</v>
      </c>
      <c r="D48" s="417"/>
      <c r="E48" s="418"/>
      <c r="F48" s="419"/>
      <c r="G48" s="420"/>
      <c r="H48" s="421"/>
      <c r="I48" s="418"/>
      <c r="J48" s="421"/>
      <c r="K48" s="673"/>
      <c r="L48" s="2492"/>
      <c r="M48" s="2485"/>
      <c r="N48" s="2485"/>
      <c r="O48" s="2485"/>
      <c r="P48" s="3501" t="str">
        <f>A48</f>
        <v>成交单价（元/平方米）</v>
      </c>
      <c r="Q48" s="3490"/>
      <c r="R48" s="3491">
        <f>E48</f>
        <v>0</v>
      </c>
      <c r="S48" s="3491"/>
      <c r="T48" s="3491">
        <f>G48</f>
        <v>0</v>
      </c>
      <c r="U48" s="3491"/>
      <c r="V48" s="3491">
        <f>I48</f>
        <v>0</v>
      </c>
      <c r="W48" s="3491"/>
      <c r="X48" s="384"/>
      <c r="Y48" s="672"/>
      <c r="Z48" s="384"/>
      <c r="AA48" s="384"/>
      <c r="AB48" s="384"/>
      <c r="AC48" s="554"/>
    </row>
    <row r="49" spans="1:29" ht="15" thickBot="1">
      <c r="A49" s="422" t="s">
        <v>1792</v>
      </c>
      <c r="B49" s="423"/>
      <c r="C49" s="1080" t="e">
        <f>R50</f>
        <v>#DIV/0!</v>
      </c>
      <c r="D49" s="2138" t="s">
        <v>2137</v>
      </c>
      <c r="E49" s="1081" t="e">
        <f>R49</f>
        <v>#DIV/0!</v>
      </c>
      <c r="F49" s="2139"/>
      <c r="G49" s="1080" t="e">
        <f>T49</f>
        <v>#DIV/0!</v>
      </c>
      <c r="H49" s="2139"/>
      <c r="I49" s="1081" t="e">
        <f>V49</f>
        <v>#DIV/0!</v>
      </c>
      <c r="J49" s="2139"/>
      <c r="K49" s="2141">
        <f>F49+H49+J49</f>
        <v>0</v>
      </c>
      <c r="L49" s="2492"/>
      <c r="M49" s="2485"/>
      <c r="N49" s="2485"/>
      <c r="O49" s="2485"/>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84"/>
      <c r="Y49" s="384"/>
      <c r="Z49" s="384"/>
      <c r="AA49" s="384"/>
      <c r="AB49" s="384"/>
      <c r="AC49" s="554"/>
    </row>
    <row r="50" spans="1:29" ht="15" thickBot="1">
      <c r="A50" s="426" t="s">
        <v>1793</v>
      </c>
      <c r="B50" s="427"/>
      <c r="C50" s="350" t="e">
        <f>R50</f>
        <v>#DIV/0!</v>
      </c>
      <c r="D50" s="350"/>
      <c r="E50" s="350"/>
      <c r="F50" s="350"/>
      <c r="G50" s="350"/>
      <c r="H50" s="350"/>
      <c r="I50" s="350"/>
      <c r="J50" s="428"/>
      <c r="K50" s="674"/>
      <c r="L50" s="2492"/>
      <c r="M50" s="2485"/>
      <c r="N50" s="2485"/>
      <c r="O50" s="2485"/>
      <c r="P50" s="3554" t="str">
        <f>A50</f>
        <v>估价对象XX用房的比较价值（楼面单价，元/平方米）</v>
      </c>
      <c r="Q50" s="3555"/>
      <c r="R50" s="3556" t="e">
        <f>IF(F1="售价",ROUND(IF(D49="简单平均",AVERAGE(R49:V49),R49*F49+T49*H49+V49*J49),0),ROUND(IF(D49="简单平均",AVERAGE(R49:V49),R49*F49+T49*H49+V49*J49),1))</f>
        <v>#DIV/0!</v>
      </c>
      <c r="S50" s="3556"/>
      <c r="T50" s="3556"/>
      <c r="U50" s="3556"/>
      <c r="V50" s="3556"/>
      <c r="W50" s="355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1797</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1678</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5"/>
      <c r="Q59" s="2508"/>
      <c r="R59" s="2508"/>
      <c r="S59" s="2508"/>
      <c r="T59" s="2508"/>
      <c r="U59" s="2508"/>
      <c r="V59" s="2508"/>
      <c r="W59" s="2508"/>
      <c r="X59" s="2508"/>
      <c r="Y59" s="2508"/>
      <c r="Z59" s="2508"/>
      <c r="AA59" s="2508"/>
      <c r="AB59" s="2508"/>
      <c r="AC59" s="2508"/>
    </row>
    <row r="60" spans="1:29" s="101" customFormat="1">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1715</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1680</v>
      </c>
      <c r="B62" s="443"/>
      <c r="C62" s="455" t="s">
        <v>1775</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1718</v>
      </c>
      <c r="B64" s="459" t="s">
        <v>1684</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1687</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1689</v>
      </c>
      <c r="B77" s="459" t="s">
        <v>1820</v>
      </c>
      <c r="C77" s="503" t="s">
        <v>1720</v>
      </c>
      <c r="D77" s="503" t="s">
        <v>1721</v>
      </c>
      <c r="E77" s="503" t="s">
        <v>1722</v>
      </c>
      <c r="F77" s="503" t="s">
        <v>1723</v>
      </c>
      <c r="G77" s="503" t="s">
        <v>1724</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1725</v>
      </c>
      <c r="C79" s="508" t="s">
        <v>1720</v>
      </c>
      <c r="D79" s="508" t="s">
        <v>1721</v>
      </c>
      <c r="E79" s="508" t="s">
        <v>1722</v>
      </c>
      <c r="F79" s="508" t="s">
        <v>1723</v>
      </c>
      <c r="G79" s="508" t="s">
        <v>1724</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1726</v>
      </c>
      <c r="C81" s="508" t="s">
        <v>1720</v>
      </c>
      <c r="D81" s="508" t="s">
        <v>1721</v>
      </c>
      <c r="E81" s="508" t="s">
        <v>1722</v>
      </c>
      <c r="F81" s="508" t="s">
        <v>1723</v>
      </c>
      <c r="G81" s="508" t="s">
        <v>1724</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1812</v>
      </c>
      <c r="C83" s="580" t="s">
        <v>1798</v>
      </c>
      <c r="D83" s="580" t="s">
        <v>1799</v>
      </c>
      <c r="E83" s="580" t="s">
        <v>1800</v>
      </c>
      <c r="F83" s="580" t="s">
        <v>1801</v>
      </c>
      <c r="G83" s="580" t="s">
        <v>1802</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1821</v>
      </c>
      <c r="C85" s="508" t="s">
        <v>1720</v>
      </c>
      <c r="D85" s="508" t="s">
        <v>1721</v>
      </c>
      <c r="E85" s="508" t="s">
        <v>1722</v>
      </c>
      <c r="F85" s="508" t="s">
        <v>1723</v>
      </c>
      <c r="G85" s="508" t="s">
        <v>1724</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1822</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1693</v>
      </c>
      <c r="B101" s="459" t="s">
        <v>1735</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1737</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1739</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1823</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1740</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1741</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1824</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1807</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1743</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1744</v>
      </c>
      <c r="C125" s="508" t="s">
        <v>1720</v>
      </c>
      <c r="D125" s="508" t="s">
        <v>1721</v>
      </c>
      <c r="E125" s="508" t="s">
        <v>1722</v>
      </c>
      <c r="F125" s="508" t="s">
        <v>1723</v>
      </c>
      <c r="G125" s="508" t="s">
        <v>1724</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1825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859"/>
      <c r="M4" s="860"/>
      <c r="N4" s="860"/>
      <c r="O4" s="860"/>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859"/>
      <c r="M5" s="860"/>
      <c r="N5" s="860"/>
      <c r="O5" s="860"/>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859"/>
      <c r="M6" s="860"/>
      <c r="N6" s="860"/>
      <c r="O6" s="860"/>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525" t="s">
        <v>1682</v>
      </c>
      <c r="Q8" s="3526"/>
      <c r="R8" s="663" t="s">
        <v>14</v>
      </c>
      <c r="S8" s="664">
        <f t="shared" si="0"/>
        <v>100</v>
      </c>
      <c r="T8" s="663" t="s">
        <v>14</v>
      </c>
      <c r="U8" s="664">
        <f t="shared" si="1"/>
        <v>100</v>
      </c>
      <c r="V8" s="663" t="s">
        <v>14</v>
      </c>
      <c r="W8" s="664">
        <f t="shared" si="2"/>
        <v>100</v>
      </c>
      <c r="X8" s="665"/>
      <c r="Y8" s="3525" t="s">
        <v>1682</v>
      </c>
      <c r="Z8" s="3526"/>
      <c r="AA8" s="50">
        <f t="shared" ref="AA8:AA40" si="3">D8/F8</f>
        <v>1</v>
      </c>
      <c r="AB8" s="50">
        <f t="shared" ref="AB8:AB40" si="4">D8/H8</f>
        <v>1</v>
      </c>
      <c r="AC8" s="50">
        <f t="shared" ref="AC8:AC40" si="5">D8/J8</f>
        <v>1</v>
      </c>
    </row>
    <row r="9" spans="1:29" s="101" customFormat="1" ht="14.4">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90"/>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93"/>
      <c r="Q16" s="1261"/>
      <c r="R16" s="666"/>
      <c r="S16" s="667"/>
      <c r="T16" s="666"/>
      <c r="U16" s="667"/>
      <c r="V16" s="666"/>
      <c r="W16" s="667"/>
      <c r="X16" s="1263"/>
      <c r="Y16" s="3493"/>
      <c r="Z16" s="1262"/>
      <c r="AA16" s="1262">
        <v>1</v>
      </c>
      <c r="AB16" s="1262">
        <v>1</v>
      </c>
      <c r="AC16" s="1262">
        <v>1</v>
      </c>
    </row>
    <row r="17" spans="1:29" ht="96.6">
      <c r="A17" s="366"/>
      <c r="B17" s="389" t="s">
        <v>1258</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93"/>
      <c r="Q18" s="1261"/>
      <c r="R18" s="666"/>
      <c r="S18" s="667"/>
      <c r="T18" s="666"/>
      <c r="U18" s="667"/>
      <c r="V18" s="666"/>
      <c r="W18" s="667"/>
      <c r="X18" s="1263"/>
      <c r="Y18" s="3493"/>
      <c r="Z18" s="1262"/>
      <c r="AA18" s="1262">
        <v>1</v>
      </c>
      <c r="AB18" s="1262">
        <v>1</v>
      </c>
      <c r="AC18" s="1262">
        <v>1</v>
      </c>
    </row>
    <row r="19" spans="1:29" ht="41.4">
      <c r="A19" s="366"/>
      <c r="B19" s="389" t="s">
        <v>1811</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93"/>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93"/>
      <c r="Q20" s="1261"/>
      <c r="R20" s="666"/>
      <c r="S20" s="667"/>
      <c r="T20" s="666"/>
      <c r="U20" s="667"/>
      <c r="V20" s="666"/>
      <c r="W20" s="667"/>
      <c r="X20" s="1263"/>
      <c r="Y20" s="3493"/>
      <c r="Z20" s="1262"/>
      <c r="AA20" s="1262">
        <v>1</v>
      </c>
      <c r="AB20" s="1262">
        <v>1</v>
      </c>
      <c r="AC20" s="1262">
        <v>1</v>
      </c>
    </row>
    <row r="21" spans="1:29" ht="41.4">
      <c r="A21" s="366"/>
      <c r="B21" s="585" t="s">
        <v>1812</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93"/>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93"/>
      <c r="Q22" s="1261"/>
      <c r="R22" s="666"/>
      <c r="S22" s="667"/>
      <c r="T22" s="666"/>
      <c r="U22" s="667"/>
      <c r="V22" s="666"/>
      <c r="W22" s="667"/>
      <c r="X22" s="1263"/>
      <c r="Y22" s="3493"/>
      <c r="Z22" s="1262"/>
      <c r="AA22" s="1262">
        <v>1</v>
      </c>
      <c r="AB22" s="1262">
        <v>1</v>
      </c>
      <c r="AC22" s="1262">
        <v>1</v>
      </c>
    </row>
    <row r="23" spans="1:29" ht="82.8">
      <c r="A23" s="366"/>
      <c r="B23" s="389" t="s">
        <v>1813</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93"/>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93"/>
      <c r="Q24" s="1261"/>
      <c r="R24" s="666"/>
      <c r="S24" s="667"/>
      <c r="T24" s="666"/>
      <c r="U24" s="667"/>
      <c r="V24" s="666"/>
      <c r="W24" s="667"/>
      <c r="X24" s="1263"/>
      <c r="Y24" s="3493"/>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93"/>
      <c r="Q25" s="1261">
        <f>B25</f>
        <v>111</v>
      </c>
      <c r="R25" s="666" t="s">
        <v>14</v>
      </c>
      <c r="S25" s="667">
        <f>F25</f>
        <v>100</v>
      </c>
      <c r="T25" s="666" t="s">
        <v>14</v>
      </c>
      <c r="U25" s="667">
        <f>H25</f>
        <v>100</v>
      </c>
      <c r="V25" s="666" t="s">
        <v>14</v>
      </c>
      <c r="W25" s="667">
        <f>J25</f>
        <v>100</v>
      </c>
      <c r="X25" s="1263"/>
      <c r="Y25" s="3493"/>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93"/>
      <c r="Q26" s="1261">
        <f t="shared" ref="Q26:Q40" si="11">B26</f>
        <v>111</v>
      </c>
      <c r="R26" s="666" t="s">
        <v>14</v>
      </c>
      <c r="S26" s="667">
        <f>F26</f>
        <v>100</v>
      </c>
      <c r="T26" s="666" t="s">
        <v>14</v>
      </c>
      <c r="U26" s="667">
        <f>H26</f>
        <v>100</v>
      </c>
      <c r="V26" s="666" t="s">
        <v>14</v>
      </c>
      <c r="W26" s="667">
        <f>J26</f>
        <v>100</v>
      </c>
      <c r="X26" s="1263"/>
      <c r="Y26" s="3493"/>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93"/>
      <c r="Q27" s="529">
        <f t="shared" si="11"/>
        <v>111</v>
      </c>
      <c r="R27" s="663" t="s">
        <v>14</v>
      </c>
      <c r="S27" s="664">
        <f>F27</f>
        <v>100</v>
      </c>
      <c r="T27" s="663" t="s">
        <v>14</v>
      </c>
      <c r="U27" s="664">
        <f>H27</f>
        <v>100</v>
      </c>
      <c r="V27" s="663" t="s">
        <v>14</v>
      </c>
      <c r="W27" s="664">
        <f>J27</f>
        <v>100</v>
      </c>
      <c r="X27" s="665"/>
      <c r="Y27" s="3493"/>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93"/>
      <c r="Q28" s="1261">
        <f t="shared" si="11"/>
        <v>111</v>
      </c>
      <c r="R28" s="666" t="s">
        <v>14</v>
      </c>
      <c r="S28" s="667">
        <f t="shared" ref="S28:S40" si="12">F28</f>
        <v>100</v>
      </c>
      <c r="T28" s="666" t="s">
        <v>14</v>
      </c>
      <c r="U28" s="667">
        <f t="shared" ref="U28:U40" si="13">H28</f>
        <v>100</v>
      </c>
      <c r="V28" s="666" t="s">
        <v>14</v>
      </c>
      <c r="W28" s="667">
        <f t="shared" ref="W28:W40" si="14">J28</f>
        <v>100</v>
      </c>
      <c r="X28" s="1263"/>
      <c r="Y28" s="3493"/>
      <c r="Z28" s="1262">
        <f t="shared" ref="Z28:Z40" si="15">Q28</f>
        <v>111</v>
      </c>
      <c r="AA28" s="1262">
        <f t="shared" si="3"/>
        <v>1</v>
      </c>
      <c r="AB28" s="1262">
        <f t="shared" si="4"/>
        <v>1</v>
      </c>
      <c r="AC28" s="1262">
        <f t="shared" si="5"/>
        <v>1</v>
      </c>
    </row>
    <row r="29" spans="1:29" ht="30">
      <c r="A29" s="403" t="s">
        <v>1693</v>
      </c>
      <c r="B29" s="60" t="s">
        <v>1816</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569" t="s">
        <v>1695</v>
      </c>
      <c r="Q29" s="1261" t="str">
        <f t="shared" si="11"/>
        <v>建筑类型</v>
      </c>
      <c r="R29" s="666" t="s">
        <v>14</v>
      </c>
      <c r="S29" s="667">
        <f t="shared" si="12"/>
        <v>100</v>
      </c>
      <c r="T29" s="666" t="s">
        <v>14</v>
      </c>
      <c r="U29" s="667">
        <f t="shared" si="13"/>
        <v>100</v>
      </c>
      <c r="V29" s="666" t="s">
        <v>14</v>
      </c>
      <c r="W29" s="667">
        <f t="shared" si="14"/>
        <v>100</v>
      </c>
      <c r="X29" s="1263"/>
      <c r="Y29" s="3497" t="s">
        <v>1695</v>
      </c>
      <c r="Z29" s="1262" t="str">
        <f t="shared" si="15"/>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97"/>
      <c r="Q30" s="530" t="str">
        <f t="shared" si="11"/>
        <v>项目建筑规模</v>
      </c>
      <c r="R30" s="668" t="s">
        <v>14</v>
      </c>
      <c r="S30" s="669" t="e">
        <f t="shared" si="12"/>
        <v>#N/A</v>
      </c>
      <c r="T30" s="668" t="s">
        <v>14</v>
      </c>
      <c r="U30" s="669" t="e">
        <f t="shared" si="13"/>
        <v>#N/A</v>
      </c>
      <c r="V30" s="668" t="s">
        <v>14</v>
      </c>
      <c r="W30" s="669" t="e">
        <f t="shared" si="14"/>
        <v>#N/A</v>
      </c>
      <c r="X30" s="670"/>
      <c r="Y30" s="3497"/>
      <c r="Z30" s="671" t="str">
        <f t="shared" si="15"/>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97"/>
      <c r="Q31" s="1261" t="str">
        <f t="shared" si="11"/>
        <v>建筑结构</v>
      </c>
      <c r="R31" s="666" t="s">
        <v>14</v>
      </c>
      <c r="S31" s="667">
        <f t="shared" si="12"/>
        <v>100</v>
      </c>
      <c r="T31" s="666" t="s">
        <v>14</v>
      </c>
      <c r="U31" s="667">
        <f t="shared" si="13"/>
        <v>100</v>
      </c>
      <c r="V31" s="666" t="s">
        <v>14</v>
      </c>
      <c r="W31" s="667">
        <f t="shared" si="14"/>
        <v>100</v>
      </c>
      <c r="X31" s="1263"/>
      <c r="Y31" s="3497"/>
      <c r="Z31" s="1262" t="str">
        <f t="shared" si="15"/>
        <v>建筑结构</v>
      </c>
      <c r="AA31" s="1262">
        <f t="shared" si="3"/>
        <v>1</v>
      </c>
      <c r="AB31" s="1262">
        <f t="shared" si="4"/>
        <v>1</v>
      </c>
      <c r="AC31" s="1262">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97"/>
      <c r="Q32" s="1261" t="str">
        <f t="shared" si="11"/>
        <v>公共部分装修</v>
      </c>
      <c r="R32" s="666" t="s">
        <v>14</v>
      </c>
      <c r="S32" s="667">
        <f t="shared" si="12"/>
        <v>100</v>
      </c>
      <c r="T32" s="666" t="s">
        <v>14</v>
      </c>
      <c r="U32" s="667">
        <f t="shared" si="13"/>
        <v>100</v>
      </c>
      <c r="V32" s="666" t="s">
        <v>14</v>
      </c>
      <c r="W32" s="667">
        <f t="shared" si="14"/>
        <v>100</v>
      </c>
      <c r="X32" s="1263"/>
      <c r="Y32" s="3497"/>
      <c r="Z32" s="1262" t="str">
        <f t="shared" si="15"/>
        <v>公共部分装修</v>
      </c>
      <c r="AA32" s="1262">
        <f t="shared" si="3"/>
        <v>1</v>
      </c>
      <c r="AB32" s="1262">
        <f t="shared" si="4"/>
        <v>1</v>
      </c>
      <c r="AC32" s="1262">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97"/>
      <c r="Q33" s="1261" t="str">
        <f t="shared" si="11"/>
        <v>成新度</v>
      </c>
      <c r="R33" s="666" t="s">
        <v>14</v>
      </c>
      <c r="S33" s="667" t="e">
        <f t="shared" si="12"/>
        <v>#N/A</v>
      </c>
      <c r="T33" s="666" t="s">
        <v>14</v>
      </c>
      <c r="U33" s="667" t="e">
        <f t="shared" si="13"/>
        <v>#N/A</v>
      </c>
      <c r="V33" s="666" t="s">
        <v>14</v>
      </c>
      <c r="W33" s="667" t="e">
        <f t="shared" si="14"/>
        <v>#N/A</v>
      </c>
      <c r="X33" s="1263"/>
      <c r="Y33" s="3497"/>
      <c r="Z33" s="1262" t="str">
        <f t="shared" si="15"/>
        <v>成新度</v>
      </c>
      <c r="AA33" s="1262" t="e">
        <f t="shared" si="3"/>
        <v>#N/A</v>
      </c>
      <c r="AB33" s="1262" t="e">
        <f t="shared" si="4"/>
        <v>#N/A</v>
      </c>
      <c r="AC33" s="1262"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97"/>
      <c r="Q34" s="529" t="str">
        <f t="shared" si="11"/>
        <v>物业管理</v>
      </c>
      <c r="R34" s="663" t="s">
        <v>14</v>
      </c>
      <c r="S34" s="664">
        <f t="shared" si="12"/>
        <v>100</v>
      </c>
      <c r="T34" s="663" t="s">
        <v>14</v>
      </c>
      <c r="U34" s="664">
        <f t="shared" si="13"/>
        <v>100</v>
      </c>
      <c r="V34" s="663" t="s">
        <v>14</v>
      </c>
      <c r="W34" s="664">
        <f t="shared" si="14"/>
        <v>100</v>
      </c>
      <c r="X34" s="665"/>
      <c r="Y34" s="3497"/>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97" t="s">
        <v>1695</v>
      </c>
      <c r="Q35" s="1261" t="str">
        <f t="shared" si="11"/>
        <v>市政基础设施</v>
      </c>
      <c r="R35" s="666" t="s">
        <v>14</v>
      </c>
      <c r="S35" s="667">
        <f t="shared" si="12"/>
        <v>100</v>
      </c>
      <c r="T35" s="666" t="s">
        <v>14</v>
      </c>
      <c r="U35" s="667">
        <f t="shared" si="13"/>
        <v>100</v>
      </c>
      <c r="V35" s="666" t="s">
        <v>14</v>
      </c>
      <c r="W35" s="667">
        <f t="shared" si="14"/>
        <v>100</v>
      </c>
      <c r="X35" s="1263"/>
      <c r="Y35" s="3497" t="s">
        <v>1695</v>
      </c>
      <c r="Z35" s="1262" t="str">
        <f t="shared" si="15"/>
        <v>市政基础设施</v>
      </c>
      <c r="AA35" s="1262">
        <f t="shared" si="3"/>
        <v>1</v>
      </c>
      <c r="AB35" s="1262">
        <f t="shared" si="4"/>
        <v>1</v>
      </c>
      <c r="AC35" s="1262">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97"/>
      <c r="Q36" s="1261" t="str">
        <f t="shared" si="11"/>
        <v>内部装修</v>
      </c>
      <c r="R36" s="666" t="s">
        <v>14</v>
      </c>
      <c r="S36" s="667">
        <f t="shared" si="12"/>
        <v>100</v>
      </c>
      <c r="T36" s="666" t="s">
        <v>14</v>
      </c>
      <c r="U36" s="667">
        <f t="shared" si="13"/>
        <v>100</v>
      </c>
      <c r="V36" s="666" t="s">
        <v>14</v>
      </c>
      <c r="W36" s="667">
        <f t="shared" si="14"/>
        <v>100</v>
      </c>
      <c r="X36" s="1263"/>
      <c r="Y36" s="3497"/>
      <c r="Z36" s="1262" t="str">
        <f t="shared" si="15"/>
        <v>内部装修</v>
      </c>
      <c r="AA36" s="1262">
        <f t="shared" si="3"/>
        <v>1</v>
      </c>
      <c r="AB36" s="1262">
        <f t="shared" si="4"/>
        <v>1</v>
      </c>
      <c r="AC36" s="1262">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97"/>
      <c r="Q37" s="1261" t="str">
        <f t="shared" si="11"/>
        <v>内部装修状况</v>
      </c>
      <c r="R37" s="666" t="s">
        <v>14</v>
      </c>
      <c r="S37" s="667">
        <f t="shared" si="12"/>
        <v>100</v>
      </c>
      <c r="T37" s="666" t="s">
        <v>14</v>
      </c>
      <c r="U37" s="667">
        <f t="shared" si="13"/>
        <v>100</v>
      </c>
      <c r="V37" s="666" t="s">
        <v>14</v>
      </c>
      <c r="W37" s="667">
        <f t="shared" si="14"/>
        <v>100</v>
      </c>
      <c r="X37" s="1263"/>
      <c r="Y37" s="3497"/>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97"/>
      <c r="Q38" s="530">
        <f t="shared" si="11"/>
        <v>111</v>
      </c>
      <c r="R38" s="668" t="s">
        <v>14</v>
      </c>
      <c r="S38" s="669">
        <f t="shared" si="12"/>
        <v>100</v>
      </c>
      <c r="T38" s="668" t="s">
        <v>14</v>
      </c>
      <c r="U38" s="669">
        <f t="shared" si="13"/>
        <v>100</v>
      </c>
      <c r="V38" s="668" t="s">
        <v>14</v>
      </c>
      <c r="W38" s="669">
        <f t="shared" si="14"/>
        <v>100</v>
      </c>
      <c r="X38" s="670"/>
      <c r="Y38" s="3497"/>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97"/>
      <c r="Q39" s="1261">
        <f t="shared" si="11"/>
        <v>111</v>
      </c>
      <c r="R39" s="666" t="s">
        <v>14</v>
      </c>
      <c r="S39" s="667">
        <f t="shared" si="12"/>
        <v>100</v>
      </c>
      <c r="T39" s="666" t="s">
        <v>14</v>
      </c>
      <c r="U39" s="667">
        <f t="shared" si="13"/>
        <v>100</v>
      </c>
      <c r="V39" s="666" t="s">
        <v>14</v>
      </c>
      <c r="W39" s="667">
        <f t="shared" si="14"/>
        <v>100</v>
      </c>
      <c r="X39" s="1263"/>
      <c r="Y39" s="3497"/>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98"/>
      <c r="Q40" s="1261">
        <f t="shared" si="11"/>
        <v>111</v>
      </c>
      <c r="R40" s="666" t="s">
        <v>14</v>
      </c>
      <c r="S40" s="667">
        <f t="shared" si="12"/>
        <v>100</v>
      </c>
      <c r="T40" s="666" t="s">
        <v>14</v>
      </c>
      <c r="U40" s="667">
        <f t="shared" si="13"/>
        <v>100</v>
      </c>
      <c r="V40" s="666" t="s">
        <v>14</v>
      </c>
      <c r="W40" s="667">
        <f t="shared" si="14"/>
        <v>100</v>
      </c>
      <c r="X40" s="1263"/>
      <c r="Y40" s="3498"/>
      <c r="Z40" s="1262">
        <f t="shared" si="15"/>
        <v>111</v>
      </c>
      <c r="AA40" s="1262">
        <f t="shared" si="3"/>
        <v>1</v>
      </c>
      <c r="AB40" s="1262">
        <f t="shared" si="4"/>
        <v>1</v>
      </c>
      <c r="AC40" s="1262">
        <f t="shared" si="5"/>
        <v>1</v>
      </c>
    </row>
    <row r="41" spans="1:29" ht="14.4">
      <c r="A41" s="415" t="s">
        <v>1707</v>
      </c>
      <c r="B41" s="416"/>
      <c r="C41" s="1079" t="s">
        <v>0</v>
      </c>
      <c r="D41" s="417"/>
      <c r="E41" s="418"/>
      <c r="F41" s="419"/>
      <c r="G41" s="420"/>
      <c r="H41" s="421"/>
      <c r="I41" s="418"/>
      <c r="J41" s="421"/>
      <c r="K41" s="673"/>
      <c r="L41" s="872"/>
      <c r="M41" s="860"/>
      <c r="N41" s="860"/>
      <c r="O41" s="860"/>
      <c r="P41" s="3490" t="str">
        <f>A41</f>
        <v>成交单价（元/平方米）</v>
      </c>
      <c r="Q41" s="3490"/>
      <c r="R41" s="3491">
        <f>E41</f>
        <v>0</v>
      </c>
      <c r="S41" s="3491"/>
      <c r="T41" s="3491">
        <f>G41</f>
        <v>0</v>
      </c>
      <c r="U41" s="3491"/>
      <c r="V41" s="3491">
        <f>I41</f>
        <v>0</v>
      </c>
      <c r="W41" s="3491"/>
      <c r="X41" s="384"/>
      <c r="Y41" s="672"/>
      <c r="Z41" s="384"/>
      <c r="AA41" s="384"/>
      <c r="AB41" s="384"/>
      <c r="AC41" s="384"/>
    </row>
    <row r="42" spans="1:29" ht="15" thickBot="1">
      <c r="A42" s="422" t="s">
        <v>1792</v>
      </c>
      <c r="B42" s="423"/>
      <c r="C42" s="1080" t="e">
        <f>R43</f>
        <v>#DIV/0!</v>
      </c>
      <c r="D42" s="2138" t="s">
        <v>2137</v>
      </c>
      <c r="E42" s="1081" t="e">
        <f>R42</f>
        <v>#DIV/0!</v>
      </c>
      <c r="F42" s="2139"/>
      <c r="G42" s="1080" t="e">
        <f>T42</f>
        <v>#DIV/0!</v>
      </c>
      <c r="H42" s="2139"/>
      <c r="I42" s="1081" t="e">
        <f>V42</f>
        <v>#DIV/0!</v>
      </c>
      <c r="J42" s="2139"/>
      <c r="K42" s="2141">
        <f>F42+H42+J42</f>
        <v>0</v>
      </c>
      <c r="L42" s="872"/>
      <c r="M42" s="860"/>
      <c r="N42" s="860"/>
      <c r="O42" s="860"/>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1678</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1715</v>
      </c>
      <c r="B54" s="449"/>
      <c r="C54" s="450"/>
      <c r="D54" s="451"/>
      <c r="E54" s="451"/>
      <c r="F54" s="451"/>
      <c r="G54" s="451"/>
      <c r="H54" s="451"/>
      <c r="I54" s="451"/>
      <c r="J54" s="451"/>
      <c r="K54" s="451"/>
      <c r="L54" s="451"/>
      <c r="M54" s="452"/>
      <c r="N54" s="2536"/>
      <c r="O54" s="2537"/>
      <c r="P54" s="438"/>
      <c r="Q54" s="438"/>
    </row>
    <row r="55" spans="1:17" s="101" customFormat="1" ht="14.4">
      <c r="A55" s="454" t="s">
        <v>1680</v>
      </c>
      <c r="B55" s="443"/>
      <c r="C55" s="455" t="s">
        <v>1775</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1718</v>
      </c>
      <c r="B57" s="459" t="s">
        <v>1684</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1687</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1812</v>
      </c>
      <c r="C76" s="580" t="s">
        <v>1798</v>
      </c>
      <c r="D76" s="580" t="s">
        <v>1799</v>
      </c>
      <c r="E76" s="580" t="s">
        <v>1800</v>
      </c>
      <c r="F76" s="580" t="s">
        <v>1801</v>
      </c>
      <c r="G76" s="580" t="s">
        <v>1802</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1693</v>
      </c>
      <c r="B88" s="459" t="s">
        <v>1735</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3334</v>
      </c>
      <c r="C1" s="1139" t="s">
        <v>1661</v>
      </c>
      <c r="D1" s="1140"/>
      <c r="E1" s="3129"/>
      <c r="F1" s="1733"/>
      <c r="G1" s="1142" t="s">
        <v>1766</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6" si="3">D8/F8</f>
        <v>1</v>
      </c>
      <c r="AB8" s="50">
        <f t="shared" ref="AB8:AB36" si="4">D8/H8</f>
        <v>1</v>
      </c>
      <c r="AC8" s="50">
        <f t="shared" ref="AC8:AC36" si="5">D8/J8</f>
        <v>1</v>
      </c>
    </row>
    <row r="9" spans="1:29" s="101" customFormat="1" ht="14.4">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564"/>
      <c r="B10" s="565" t="s">
        <v>1687</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44" t="s">
        <v>1689</v>
      </c>
      <c r="B14" s="553" t="s">
        <v>1832</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93"/>
      <c r="Q15" s="1261"/>
      <c r="R15" s="666"/>
      <c r="S15" s="667"/>
      <c r="T15" s="666"/>
      <c r="U15" s="667"/>
      <c r="V15" s="666"/>
      <c r="W15" s="667"/>
      <c r="X15" s="1263"/>
      <c r="Y15" s="3493"/>
      <c r="Z15" s="1262"/>
      <c r="AA15" s="1262">
        <v>1</v>
      </c>
      <c r="AB15" s="1262">
        <v>1</v>
      </c>
      <c r="AC15" s="1262">
        <v>1</v>
      </c>
    </row>
    <row r="16" spans="1:29" ht="41.4">
      <c r="A16" s="347"/>
      <c r="B16" s="555" t="s">
        <v>1811</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93"/>
      <c r="Q17" s="1261"/>
      <c r="R17" s="666"/>
      <c r="S17" s="667"/>
      <c r="T17" s="666"/>
      <c r="U17" s="667"/>
      <c r="V17" s="666"/>
      <c r="W17" s="667"/>
      <c r="X17" s="1263"/>
      <c r="Y17" s="3493"/>
      <c r="Z17" s="1262"/>
      <c r="AA17" s="1262">
        <v>1</v>
      </c>
      <c r="AB17" s="1262">
        <v>1</v>
      </c>
      <c r="AC17" s="1262">
        <v>1</v>
      </c>
    </row>
    <row r="18" spans="1:29" ht="41.4">
      <c r="A18" s="347"/>
      <c r="B18" s="556" t="s">
        <v>1812</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493"/>
      <c r="Q19" s="1261"/>
      <c r="R19" s="666"/>
      <c r="S19" s="667"/>
      <c r="T19" s="666"/>
      <c r="U19" s="667"/>
      <c r="V19" s="666"/>
      <c r="W19" s="667"/>
      <c r="X19" s="1263"/>
      <c r="Y19" s="3493"/>
      <c r="Z19" s="1262"/>
      <c r="AA19" s="1262">
        <v>1</v>
      </c>
      <c r="AB19" s="1262">
        <v>1</v>
      </c>
      <c r="AC19" s="1262">
        <v>1</v>
      </c>
    </row>
    <row r="20" spans="1:29" ht="55.2">
      <c r="A20" s="347"/>
      <c r="B20" s="555" t="s">
        <v>1833</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93"/>
      <c r="Q21" s="1261"/>
      <c r="R21" s="666"/>
      <c r="S21" s="667"/>
      <c r="T21" s="666"/>
      <c r="U21" s="667"/>
      <c r="V21" s="666"/>
      <c r="W21" s="667"/>
      <c r="X21" s="1263"/>
      <c r="Y21" s="3493"/>
      <c r="Z21" s="1262"/>
      <c r="AA21" s="1262">
        <v>1</v>
      </c>
      <c r="AB21" s="1262">
        <v>1</v>
      </c>
      <c r="AC21" s="1262">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93"/>
      <c r="Q24" s="1261">
        <f t="shared" ref="Q24:Q36"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573" t="s">
        <v>1693</v>
      </c>
      <c r="B26" s="59"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69" t="s">
        <v>1695</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97" t="s">
        <v>1695</v>
      </c>
      <c r="Z26" s="1262" t="str">
        <f t="shared" ref="Z26:Z36" si="15">Q26</f>
        <v>配套类型</v>
      </c>
      <c r="AA26" s="1262" t="e">
        <f t="shared" si="3"/>
        <v>#DIV/0!</v>
      </c>
      <c r="AB26" s="1262" t="e">
        <f t="shared" si="4"/>
        <v>#DIV/0!</v>
      </c>
      <c r="AC26" s="1262"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97"/>
      <c r="Q27" s="530" t="str">
        <f t="shared" si="11"/>
        <v>项目停车位配比</v>
      </c>
      <c r="R27" s="668" t="s">
        <v>14</v>
      </c>
      <c r="S27" s="669">
        <f t="shared" si="12"/>
        <v>100</v>
      </c>
      <c r="T27" s="668" t="s">
        <v>14</v>
      </c>
      <c r="U27" s="669">
        <f t="shared" si="13"/>
        <v>100</v>
      </c>
      <c r="V27" s="668" t="s">
        <v>14</v>
      </c>
      <c r="W27" s="669">
        <f t="shared" si="14"/>
        <v>100</v>
      </c>
      <c r="X27" s="670"/>
      <c r="Y27" s="3497"/>
      <c r="Z27" s="671" t="str">
        <f t="shared" si="15"/>
        <v>项目停车位配比</v>
      </c>
      <c r="AA27" s="1262">
        <f t="shared" si="3"/>
        <v>1</v>
      </c>
      <c r="AB27" s="1262">
        <f t="shared" si="4"/>
        <v>1</v>
      </c>
      <c r="AC27" s="1262">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97"/>
      <c r="Q28" s="1261" t="str">
        <f t="shared" si="11"/>
        <v>公共部分装修</v>
      </c>
      <c r="R28" s="666" t="s">
        <v>14</v>
      </c>
      <c r="S28" s="667">
        <f t="shared" si="12"/>
        <v>100</v>
      </c>
      <c r="T28" s="666" t="s">
        <v>14</v>
      </c>
      <c r="U28" s="667">
        <f t="shared" si="13"/>
        <v>100</v>
      </c>
      <c r="V28" s="666" t="s">
        <v>14</v>
      </c>
      <c r="W28" s="667">
        <f t="shared" si="14"/>
        <v>100</v>
      </c>
      <c r="X28" s="1263"/>
      <c r="Y28" s="3497"/>
      <c r="Z28" s="1262" t="str">
        <f t="shared" si="15"/>
        <v>公共部分装修</v>
      </c>
      <c r="AA28" s="1262">
        <f t="shared" si="3"/>
        <v>1</v>
      </c>
      <c r="AB28" s="1262">
        <f t="shared" si="4"/>
        <v>1</v>
      </c>
      <c r="AC28" s="1262">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97"/>
      <c r="Q29" s="1261" t="str">
        <f t="shared" si="11"/>
        <v>成新率</v>
      </c>
      <c r="R29" s="666" t="s">
        <v>14</v>
      </c>
      <c r="S29" s="667" t="e">
        <f t="shared" si="12"/>
        <v>#N/A</v>
      </c>
      <c r="T29" s="666" t="s">
        <v>14</v>
      </c>
      <c r="U29" s="667" t="e">
        <f t="shared" si="13"/>
        <v>#N/A</v>
      </c>
      <c r="V29" s="666" t="s">
        <v>14</v>
      </c>
      <c r="W29" s="667" t="e">
        <f t="shared" si="14"/>
        <v>#N/A</v>
      </c>
      <c r="X29" s="1263"/>
      <c r="Y29" s="3497"/>
      <c r="Z29" s="1262" t="str">
        <f t="shared" si="15"/>
        <v>成新率</v>
      </c>
      <c r="AA29" s="1262" t="e">
        <f t="shared" si="3"/>
        <v>#N/A</v>
      </c>
      <c r="AB29" s="1262" t="e">
        <f t="shared" si="4"/>
        <v>#N/A</v>
      </c>
      <c r="AC29" s="1262"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97"/>
      <c r="Q30" s="1261" t="str">
        <f t="shared" si="11"/>
        <v>物业等级</v>
      </c>
      <c r="R30" s="666" t="s">
        <v>14</v>
      </c>
      <c r="S30" s="667">
        <f t="shared" si="12"/>
        <v>100</v>
      </c>
      <c r="T30" s="666" t="s">
        <v>14</v>
      </c>
      <c r="U30" s="667">
        <f t="shared" si="13"/>
        <v>100</v>
      </c>
      <c r="V30" s="666" t="s">
        <v>14</v>
      </c>
      <c r="W30" s="667">
        <f t="shared" si="14"/>
        <v>100</v>
      </c>
      <c r="X30" s="1263"/>
      <c r="Y30" s="3497"/>
      <c r="Z30" s="1262" t="str">
        <f t="shared" si="15"/>
        <v>物业等级</v>
      </c>
      <c r="AA30" s="1262">
        <f t="shared" si="3"/>
        <v>1</v>
      </c>
      <c r="AB30" s="1262">
        <f t="shared" si="4"/>
        <v>1</v>
      </c>
      <c r="AC30" s="1262">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97"/>
      <c r="Q31" s="529" t="str">
        <f t="shared" si="11"/>
        <v>停车位面积</v>
      </c>
      <c r="R31" s="663" t="s">
        <v>14</v>
      </c>
      <c r="S31" s="664" t="e">
        <f t="shared" si="12"/>
        <v>#N/A</v>
      </c>
      <c r="T31" s="663" t="s">
        <v>14</v>
      </c>
      <c r="U31" s="664" t="e">
        <f t="shared" si="13"/>
        <v>#N/A</v>
      </c>
      <c r="V31" s="663" t="s">
        <v>14</v>
      </c>
      <c r="W31" s="664" t="e">
        <f t="shared" si="14"/>
        <v>#N/A</v>
      </c>
      <c r="X31" s="665"/>
      <c r="Y31" s="3497"/>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97" t="s">
        <v>1695</v>
      </c>
      <c r="Q32" s="1261" t="str">
        <f t="shared" si="11"/>
        <v>车位类型</v>
      </c>
      <c r="R32" s="666" t="s">
        <v>14</v>
      </c>
      <c r="S32" s="667">
        <f t="shared" si="12"/>
        <v>100</v>
      </c>
      <c r="T32" s="666" t="s">
        <v>14</v>
      </c>
      <c r="U32" s="667">
        <f t="shared" si="13"/>
        <v>100</v>
      </c>
      <c r="V32" s="666" t="s">
        <v>14</v>
      </c>
      <c r="W32" s="667">
        <f t="shared" si="14"/>
        <v>100</v>
      </c>
      <c r="X32" s="1263"/>
      <c r="Y32" s="3497" t="s">
        <v>1695</v>
      </c>
      <c r="Z32" s="1262" t="str">
        <f t="shared" si="15"/>
        <v>车位类型</v>
      </c>
      <c r="AA32" s="1262">
        <f t="shared" si="3"/>
        <v>1</v>
      </c>
      <c r="AB32" s="1262">
        <f t="shared" si="4"/>
        <v>1</v>
      </c>
      <c r="AC32" s="1262">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97"/>
      <c r="Q33" s="1261" t="str">
        <f t="shared" si="11"/>
        <v>是否直接入户</v>
      </c>
      <c r="R33" s="666" t="s">
        <v>14</v>
      </c>
      <c r="S33" s="667">
        <f t="shared" si="12"/>
        <v>100</v>
      </c>
      <c r="T33" s="666" t="s">
        <v>14</v>
      </c>
      <c r="U33" s="667">
        <f t="shared" si="13"/>
        <v>100</v>
      </c>
      <c r="V33" s="666" t="s">
        <v>14</v>
      </c>
      <c r="W33" s="667">
        <f t="shared" si="14"/>
        <v>100</v>
      </c>
      <c r="X33" s="1263"/>
      <c r="Y33" s="3497"/>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97"/>
      <c r="Q35" s="530">
        <f t="shared" si="11"/>
        <v>111</v>
      </c>
      <c r="R35" s="668" t="s">
        <v>14</v>
      </c>
      <c r="S35" s="669">
        <f t="shared" si="12"/>
        <v>100</v>
      </c>
      <c r="T35" s="668" t="s">
        <v>14</v>
      </c>
      <c r="U35" s="669">
        <f t="shared" si="13"/>
        <v>100</v>
      </c>
      <c r="V35" s="668" t="s">
        <v>14</v>
      </c>
      <c r="W35" s="669">
        <f t="shared" si="14"/>
        <v>100</v>
      </c>
      <c r="X35" s="670"/>
      <c r="Y35" s="3497"/>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97"/>
      <c r="Q36" s="1261">
        <f t="shared" si="11"/>
        <v>111</v>
      </c>
      <c r="R36" s="666" t="s">
        <v>14</v>
      </c>
      <c r="S36" s="667">
        <f t="shared" si="12"/>
        <v>100</v>
      </c>
      <c r="T36" s="666" t="s">
        <v>14</v>
      </c>
      <c r="U36" s="667">
        <f t="shared" si="13"/>
        <v>100</v>
      </c>
      <c r="V36" s="666" t="s">
        <v>14</v>
      </c>
      <c r="W36" s="667">
        <f t="shared" si="14"/>
        <v>100</v>
      </c>
      <c r="X36" s="1263"/>
      <c r="Y36" s="3497"/>
      <c r="Z36" s="1262">
        <f t="shared" si="15"/>
        <v>111</v>
      </c>
      <c r="AA36" s="1262">
        <f t="shared" si="3"/>
        <v>1</v>
      </c>
      <c r="AB36" s="1262">
        <f t="shared" si="4"/>
        <v>1</v>
      </c>
      <c r="AC36" s="1262">
        <f t="shared" si="5"/>
        <v>1</v>
      </c>
    </row>
    <row r="37" spans="1:29" ht="14.4">
      <c r="A37" s="415" t="s">
        <v>1843</v>
      </c>
      <c r="B37" s="1818" t="s">
        <v>3355</v>
      </c>
      <c r="C37" s="1079" t="s">
        <v>0</v>
      </c>
      <c r="D37" s="417"/>
      <c r="E37" s="418"/>
      <c r="F37" s="419"/>
      <c r="G37" s="420"/>
      <c r="H37" s="421"/>
      <c r="I37" s="418"/>
      <c r="J37" s="421"/>
      <c r="K37" s="544"/>
      <c r="L37" s="2492"/>
      <c r="M37" s="2485"/>
      <c r="N37" s="2485"/>
      <c r="O37" s="2485"/>
      <c r="P37" s="3490" t="str">
        <f>A37</f>
        <v>成交单价</v>
      </c>
      <c r="Q37" s="3490"/>
      <c r="R37" s="3491">
        <f>E37</f>
        <v>0</v>
      </c>
      <c r="S37" s="3491"/>
      <c r="T37" s="3491">
        <f>G37</f>
        <v>0</v>
      </c>
      <c r="U37" s="3491"/>
      <c r="V37" s="3491">
        <f>I37</f>
        <v>0</v>
      </c>
      <c r="W37" s="3491"/>
      <c r="X37" s="384"/>
      <c r="Y37" s="672"/>
      <c r="Z37" s="384"/>
      <c r="AA37" s="384"/>
      <c r="AB37" s="384"/>
      <c r="AC37" s="384"/>
    </row>
    <row r="38" spans="1:29" ht="15" thickBot="1">
      <c r="A38" s="422" t="s">
        <v>1844</v>
      </c>
      <c r="B38" s="423" t="str">
        <f>B37</f>
        <v>元/平方米</v>
      </c>
      <c r="C38" s="1080" t="e">
        <f>R39</f>
        <v>#DIV/0!</v>
      </c>
      <c r="D38" s="2138" t="s">
        <v>2137</v>
      </c>
      <c r="E38" s="1081" t="e">
        <f>R38</f>
        <v>#DIV/0!</v>
      </c>
      <c r="F38" s="2139"/>
      <c r="G38" s="1080" t="e">
        <f>T38</f>
        <v>#DIV/0!</v>
      </c>
      <c r="H38" s="2139"/>
      <c r="I38" s="1081" t="e">
        <f>V38</f>
        <v>#DIV/0!</v>
      </c>
      <c r="J38" s="2139"/>
      <c r="K38" s="2141">
        <f>F38+H38+J38</f>
        <v>0</v>
      </c>
      <c r="L38" s="2492"/>
      <c r="M38" s="2485"/>
      <c r="N38" s="2485"/>
      <c r="O38" s="2485"/>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92"/>
      <c r="M39" s="2485"/>
      <c r="N39" s="2485"/>
      <c r="O39" s="2485"/>
      <c r="P39" s="3487" t="str">
        <f>A39</f>
        <v>估价对象XX用房的比较价值（楼面单价，元/平方米）</v>
      </c>
      <c r="Q39" s="3488"/>
      <c r="R39" s="3570" t="e">
        <f>IF(F1="售价",ROUND(IF(D38="简单平均",AVERAGE(R38:W38),R38*F38+T38*H38+V38*J38),0),ROUND(IF(D38="简单平均",AVERAGE(R38:V38),R38*F38+T38*H38+V38*J38),1))</f>
        <v>#DIV/0!</v>
      </c>
      <c r="S39" s="3570"/>
      <c r="T39" s="3570"/>
      <c r="U39" s="3570"/>
      <c r="V39" s="3570"/>
      <c r="W39" s="3570"/>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1849</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1850</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5"/>
      <c r="Q48" s="2508"/>
      <c r="R48" s="2508"/>
      <c r="S48" s="2508"/>
      <c r="T48" s="2508"/>
      <c r="U48" s="2508"/>
      <c r="V48" s="2508"/>
      <c r="W48" s="2508"/>
      <c r="X48" s="2508"/>
      <c r="Y48" s="2508"/>
      <c r="Z48" s="2508"/>
      <c r="AA48" s="2508"/>
      <c r="AB48" s="2508"/>
      <c r="AC48" s="2508"/>
    </row>
    <row r="49" spans="1:29" s="101" customFormat="1">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1715</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1680</v>
      </c>
      <c r="B51" s="443"/>
      <c r="C51" s="455" t="s">
        <v>1775</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1718</v>
      </c>
      <c r="B53" s="459" t="s">
        <v>1684</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1687</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1726</v>
      </c>
      <c r="C65" s="508" t="s">
        <v>1720</v>
      </c>
      <c r="D65" s="508" t="s">
        <v>1721</v>
      </c>
      <c r="E65" s="508" t="s">
        <v>1722</v>
      </c>
      <c r="F65" s="508" t="s">
        <v>1723</v>
      </c>
      <c r="G65" s="508" t="s">
        <v>1724</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1812</v>
      </c>
      <c r="C67" s="580" t="s">
        <v>1798</v>
      </c>
      <c r="D67" s="580" t="s">
        <v>1799</v>
      </c>
      <c r="E67" s="580" t="s">
        <v>1800</v>
      </c>
      <c r="F67" s="580" t="s">
        <v>1801</v>
      </c>
      <c r="G67" s="580" t="s">
        <v>1802</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1732</v>
      </c>
      <c r="C69" s="508" t="s">
        <v>1720</v>
      </c>
      <c r="D69" s="508" t="s">
        <v>1721</v>
      </c>
      <c r="E69" s="508" t="s">
        <v>1722</v>
      </c>
      <c r="F69" s="508" t="s">
        <v>1723</v>
      </c>
      <c r="G69" s="508" t="s">
        <v>1724</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1851</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1693</v>
      </c>
      <c r="B79" s="459" t="s">
        <v>1852</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1853</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1739</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1855</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1857</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1858</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SUMIF(46:46,YEAR(E7)&amp;"-"&amp;MONTH(E7),47:47)</f>
        <v>0</v>
      </c>
      <c r="G7" s="1819"/>
      <c r="H7" s="354">
        <f>SUMIF(46:46,YEAR(G7)&amp;"-"&amp;MONTH(G7),47:47)</f>
        <v>0</v>
      </c>
      <c r="I7" s="355"/>
      <c r="J7" s="354">
        <f>SUMIF(46:46,YEAR(I7)&amp;"-"&amp;MONTH(I7),47:47)</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4" si="3">D8/F8</f>
        <v>1</v>
      </c>
      <c r="AB8" s="50">
        <f t="shared" ref="AB8:AB34" si="4">D8/H8</f>
        <v>1</v>
      </c>
      <c r="AC8" s="50">
        <f t="shared" ref="AC8:AC34" si="5">D8/J8</f>
        <v>1</v>
      </c>
    </row>
    <row r="9" spans="1:29" s="101" customFormat="1" ht="14.4">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362"/>
      <c r="B10" s="363" t="s">
        <v>1687</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78" t="s">
        <v>1689</v>
      </c>
      <c r="B14" s="58" t="s">
        <v>1832</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93"/>
      <c r="Q15" s="1261"/>
      <c r="R15" s="666"/>
      <c r="S15" s="667"/>
      <c r="T15" s="666"/>
      <c r="U15" s="667"/>
      <c r="V15" s="666"/>
      <c r="W15" s="667"/>
      <c r="X15" s="1263"/>
      <c r="Y15" s="3493"/>
      <c r="Z15" s="1262"/>
      <c r="AA15" s="1262">
        <v>1</v>
      </c>
      <c r="AB15" s="1262">
        <v>1</v>
      </c>
      <c r="AC15" s="1262">
        <v>1</v>
      </c>
    </row>
    <row r="16" spans="1:29" ht="41.4">
      <c r="A16" s="366"/>
      <c r="B16" s="389" t="s">
        <v>1811</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93"/>
      <c r="Q17" s="1261"/>
      <c r="R17" s="666"/>
      <c r="S17" s="667"/>
      <c r="T17" s="666"/>
      <c r="U17" s="667"/>
      <c r="V17" s="666"/>
      <c r="W17" s="667"/>
      <c r="X17" s="1263"/>
      <c r="Y17" s="3493"/>
      <c r="Z17" s="1262"/>
      <c r="AA17" s="1262">
        <v>1</v>
      </c>
      <c r="AB17" s="1262">
        <v>1</v>
      </c>
      <c r="AC17" s="1262">
        <v>1</v>
      </c>
    </row>
    <row r="18" spans="1:29" ht="41.4">
      <c r="A18" s="366"/>
      <c r="B18" s="585" t="s">
        <v>1812</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493"/>
      <c r="Q19" s="1261"/>
      <c r="R19" s="666"/>
      <c r="S19" s="667"/>
      <c r="T19" s="666"/>
      <c r="U19" s="667"/>
      <c r="V19" s="666"/>
      <c r="W19" s="667"/>
      <c r="X19" s="1263"/>
      <c r="Y19" s="3493"/>
      <c r="Z19" s="1262"/>
      <c r="AA19" s="1262">
        <v>1</v>
      </c>
      <c r="AB19" s="1262">
        <v>1</v>
      </c>
      <c r="AC19" s="1262">
        <v>1</v>
      </c>
    </row>
    <row r="20" spans="1:29" ht="55.2">
      <c r="A20" s="366"/>
      <c r="B20" s="389" t="s">
        <v>1833</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93"/>
      <c r="Q21" s="1261"/>
      <c r="R21" s="666"/>
      <c r="S21" s="667"/>
      <c r="T21" s="666"/>
      <c r="U21" s="667"/>
      <c r="V21" s="666"/>
      <c r="W21" s="667"/>
      <c r="X21" s="1263"/>
      <c r="Y21" s="3493"/>
      <c r="Z21" s="1262"/>
      <c r="AA21" s="1262">
        <v>1</v>
      </c>
      <c r="AB21" s="1262">
        <v>1</v>
      </c>
      <c r="AC21" s="1262">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93"/>
      <c r="Q24" s="1261">
        <f t="shared" ref="Q24:Q34"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403" t="s">
        <v>1693</v>
      </c>
      <c r="B26" s="60" t="s">
        <v>1837</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69" t="s">
        <v>1695</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97" t="s">
        <v>1695</v>
      </c>
      <c r="Z26" s="1262" t="str">
        <f t="shared" ref="Z26:Z34" si="15">Q26</f>
        <v>公共部分装修</v>
      </c>
      <c r="AA26" s="1262">
        <f t="shared" si="3"/>
        <v>1</v>
      </c>
      <c r="AB26" s="1262">
        <f t="shared" si="4"/>
        <v>1</v>
      </c>
      <c r="AC26" s="1262">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97"/>
      <c r="Q27" s="530" t="str">
        <f t="shared" si="11"/>
        <v>成新率</v>
      </c>
      <c r="R27" s="668" t="s">
        <v>14</v>
      </c>
      <c r="S27" s="669" t="e">
        <f t="shared" si="12"/>
        <v>#N/A</v>
      </c>
      <c r="T27" s="668" t="s">
        <v>14</v>
      </c>
      <c r="U27" s="669" t="e">
        <f t="shared" si="13"/>
        <v>#N/A</v>
      </c>
      <c r="V27" s="668" t="s">
        <v>14</v>
      </c>
      <c r="W27" s="669" t="e">
        <f t="shared" si="14"/>
        <v>#N/A</v>
      </c>
      <c r="X27" s="670"/>
      <c r="Y27" s="3497"/>
      <c r="Z27" s="671" t="str">
        <f t="shared" si="15"/>
        <v>成新率</v>
      </c>
      <c r="AA27" s="1262" t="e">
        <f t="shared" si="3"/>
        <v>#N/A</v>
      </c>
      <c r="AB27" s="1262" t="e">
        <f t="shared" si="4"/>
        <v>#N/A</v>
      </c>
      <c r="AC27" s="1262"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97"/>
      <c r="Q28" s="1261" t="str">
        <f t="shared" si="11"/>
        <v>物业等级</v>
      </c>
      <c r="R28" s="666" t="s">
        <v>14</v>
      </c>
      <c r="S28" s="667">
        <f t="shared" si="12"/>
        <v>100</v>
      </c>
      <c r="T28" s="666" t="s">
        <v>14</v>
      </c>
      <c r="U28" s="667">
        <f t="shared" si="13"/>
        <v>100</v>
      </c>
      <c r="V28" s="666" t="s">
        <v>14</v>
      </c>
      <c r="W28" s="667">
        <f t="shared" si="14"/>
        <v>100</v>
      </c>
      <c r="X28" s="1263"/>
      <c r="Y28" s="3497"/>
      <c r="Z28" s="1262" t="str">
        <f t="shared" si="15"/>
        <v>物业等级</v>
      </c>
      <c r="AA28" s="1262">
        <f t="shared" si="3"/>
        <v>1</v>
      </c>
      <c r="AB28" s="1262">
        <f t="shared" si="4"/>
        <v>1</v>
      </c>
      <c r="AC28" s="1262">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97"/>
      <c r="Q29" s="1261" t="str">
        <f t="shared" si="11"/>
        <v>有无电梯</v>
      </c>
      <c r="R29" s="666" t="s">
        <v>14</v>
      </c>
      <c r="S29" s="667">
        <f t="shared" si="12"/>
        <v>100</v>
      </c>
      <c r="T29" s="666" t="s">
        <v>14</v>
      </c>
      <c r="U29" s="667">
        <f t="shared" si="13"/>
        <v>100</v>
      </c>
      <c r="V29" s="666" t="s">
        <v>14</v>
      </c>
      <c r="W29" s="667">
        <f t="shared" si="14"/>
        <v>100</v>
      </c>
      <c r="X29" s="1263"/>
      <c r="Y29" s="3497"/>
      <c r="Z29" s="1262" t="str">
        <f t="shared" si="15"/>
        <v>有无电梯</v>
      </c>
      <c r="AA29" s="1262">
        <f t="shared" si="3"/>
        <v>1</v>
      </c>
      <c r="AB29" s="1262">
        <f t="shared" si="4"/>
        <v>1</v>
      </c>
      <c r="AC29" s="1262">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97"/>
      <c r="Q30" s="1261" t="str">
        <f t="shared" si="11"/>
        <v>建筑面积</v>
      </c>
      <c r="R30" s="666" t="s">
        <v>14</v>
      </c>
      <c r="S30" s="667" t="e">
        <f t="shared" si="12"/>
        <v>#N/A</v>
      </c>
      <c r="T30" s="666" t="s">
        <v>14</v>
      </c>
      <c r="U30" s="667" t="e">
        <f t="shared" si="13"/>
        <v>#N/A</v>
      </c>
      <c r="V30" s="666" t="s">
        <v>14</v>
      </c>
      <c r="W30" s="667" t="e">
        <f t="shared" si="14"/>
        <v>#N/A</v>
      </c>
      <c r="X30" s="1263"/>
      <c r="Y30" s="3497"/>
      <c r="Z30" s="1262" t="str">
        <f t="shared" si="15"/>
        <v>建筑面积</v>
      </c>
      <c r="AA30" s="1262" t="e">
        <f t="shared" si="3"/>
        <v>#N/A</v>
      </c>
      <c r="AB30" s="1262" t="e">
        <f t="shared" si="4"/>
        <v>#N/A</v>
      </c>
      <c r="AC30" s="1262"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97"/>
      <c r="Q31" s="529" t="str">
        <f t="shared" si="11"/>
        <v>是否封闭</v>
      </c>
      <c r="R31" s="663" t="s">
        <v>14</v>
      </c>
      <c r="S31" s="664">
        <f t="shared" si="12"/>
        <v>100</v>
      </c>
      <c r="T31" s="663" t="s">
        <v>14</v>
      </c>
      <c r="U31" s="664">
        <f t="shared" si="13"/>
        <v>100</v>
      </c>
      <c r="V31" s="663" t="s">
        <v>14</v>
      </c>
      <c r="W31" s="664">
        <f t="shared" si="14"/>
        <v>100</v>
      </c>
      <c r="X31" s="665"/>
      <c r="Y31" s="34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97" t="s">
        <v>1695</v>
      </c>
      <c r="Q32" s="1261">
        <f t="shared" si="11"/>
        <v>111</v>
      </c>
      <c r="R32" s="666" t="s">
        <v>14</v>
      </c>
      <c r="S32" s="667">
        <f t="shared" si="12"/>
        <v>100</v>
      </c>
      <c r="T32" s="666" t="s">
        <v>14</v>
      </c>
      <c r="U32" s="667">
        <f t="shared" si="13"/>
        <v>100</v>
      </c>
      <c r="V32" s="666" t="s">
        <v>14</v>
      </c>
      <c r="W32" s="667">
        <f t="shared" si="14"/>
        <v>100</v>
      </c>
      <c r="X32" s="1263"/>
      <c r="Y32" s="3497" t="s">
        <v>1695</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97"/>
      <c r="Q33" s="1261">
        <f t="shared" si="11"/>
        <v>111</v>
      </c>
      <c r="R33" s="666" t="s">
        <v>14</v>
      </c>
      <c r="S33" s="667">
        <f t="shared" si="12"/>
        <v>100</v>
      </c>
      <c r="T33" s="666" t="s">
        <v>14</v>
      </c>
      <c r="U33" s="667">
        <f t="shared" si="13"/>
        <v>100</v>
      </c>
      <c r="V33" s="666" t="s">
        <v>14</v>
      </c>
      <c r="W33" s="667">
        <f t="shared" si="14"/>
        <v>100</v>
      </c>
      <c r="X33" s="1263"/>
      <c r="Y33" s="3497"/>
      <c r="Z33" s="1262">
        <f t="shared" si="15"/>
        <v>111</v>
      </c>
      <c r="AA33" s="1262">
        <f t="shared" si="3"/>
        <v>1</v>
      </c>
      <c r="AB33" s="1262">
        <f t="shared" si="4"/>
        <v>1</v>
      </c>
      <c r="AC33" s="1262">
        <f t="shared" si="5"/>
        <v>1</v>
      </c>
    </row>
    <row r="34" spans="1:30" ht="15.6" thickBot="1">
      <c r="A34" s="414"/>
      <c r="B34" s="1747">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30" ht="14.4">
      <c r="A35" s="415" t="s">
        <v>1707</v>
      </c>
      <c r="B35" s="416"/>
      <c r="C35" s="1079" t="s">
        <v>0</v>
      </c>
      <c r="D35" s="417"/>
      <c r="E35" s="418"/>
      <c r="F35" s="419"/>
      <c r="G35" s="420"/>
      <c r="H35" s="421"/>
      <c r="I35" s="418"/>
      <c r="J35" s="421"/>
      <c r="K35" s="673"/>
      <c r="L35" s="2492"/>
      <c r="M35" s="2485"/>
      <c r="N35" s="2485"/>
      <c r="O35" s="2485"/>
      <c r="P35" s="3490" t="str">
        <f>A35</f>
        <v>成交单价（元/平方米）</v>
      </c>
      <c r="Q35" s="3490"/>
      <c r="R35" s="3491">
        <f>E35</f>
        <v>0</v>
      </c>
      <c r="S35" s="3491"/>
      <c r="T35" s="3491">
        <f>G35</f>
        <v>0</v>
      </c>
      <c r="U35" s="3491"/>
      <c r="V35" s="3491">
        <f>I35</f>
        <v>0</v>
      </c>
      <c r="W35" s="3491"/>
      <c r="X35" s="384"/>
      <c r="Y35" s="672"/>
      <c r="Z35" s="384"/>
      <c r="AA35" s="384"/>
      <c r="AB35" s="384"/>
      <c r="AC35" s="384"/>
    </row>
    <row r="36" spans="1:30" ht="15" thickBot="1">
      <c r="A36" s="422" t="s">
        <v>1792</v>
      </c>
      <c r="B36" s="423"/>
      <c r="C36" s="1080" t="e">
        <f>R37</f>
        <v>#DIV/0!</v>
      </c>
      <c r="D36" s="2138" t="s">
        <v>2137</v>
      </c>
      <c r="E36" s="1081" t="e">
        <f>R36</f>
        <v>#DIV/0!</v>
      </c>
      <c r="F36" s="2139"/>
      <c r="G36" s="1080" t="e">
        <f>T36</f>
        <v>#DIV/0!</v>
      </c>
      <c r="H36" s="2139"/>
      <c r="I36" s="1081" t="e">
        <f>V36</f>
        <v>#DIV/0!</v>
      </c>
      <c r="J36" s="2139"/>
      <c r="K36" s="2141">
        <f>F36+H36+J36</f>
        <v>0</v>
      </c>
      <c r="L36" s="2492"/>
      <c r="M36" s="2485"/>
      <c r="N36" s="2485"/>
      <c r="O36" s="2485"/>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92"/>
      <c r="M37" s="2485"/>
      <c r="N37" s="2485"/>
      <c r="O37" s="2485"/>
      <c r="P37" s="3487" t="str">
        <f>A37</f>
        <v>估价对象XX用房的比较价值（楼面单价，元/平方米）</v>
      </c>
      <c r="Q37" s="3488"/>
      <c r="R37" s="3570" t="e">
        <f>IF(F1="售价",ROUND(IF(D36="简单平均",AVERAGE(R36:W36),R36*F36+T36*H36+V36*J36),0),ROUND(IF(D36="简单平均",AVERAGE(R36:V36),R36*F36+T36*H36+V36*J36),1))</f>
        <v>#DIV/0!</v>
      </c>
      <c r="S37" s="3570"/>
      <c r="T37" s="3570"/>
      <c r="U37" s="3570"/>
      <c r="V37" s="3570"/>
      <c r="W37" s="3570"/>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1797</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1678</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8"/>
      <c r="Q46" s="2508"/>
      <c r="R46" s="2508"/>
      <c r="S46" s="2508"/>
      <c r="T46" s="2508"/>
      <c r="U46" s="2508"/>
      <c r="V46" s="2508"/>
      <c r="W46" s="2508"/>
      <c r="X46" s="2508"/>
      <c r="Y46" s="2508"/>
      <c r="Z46" s="2508"/>
      <c r="AA46" s="2508"/>
      <c r="AB46" s="2508"/>
      <c r="AC46" s="2508"/>
      <c r="AD46" s="2508"/>
    </row>
    <row r="47" spans="1:30" s="101" customFormat="1">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1715</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1680</v>
      </c>
      <c r="B49" s="443"/>
      <c r="C49" s="455" t="s">
        <v>1775</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1718</v>
      </c>
      <c r="B51" s="459" t="s">
        <v>1684</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1687</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1862</v>
      </c>
      <c r="C63" s="508" t="s">
        <v>1720</v>
      </c>
      <c r="D63" s="508" t="s">
        <v>1721</v>
      </c>
      <c r="E63" s="508" t="s">
        <v>1722</v>
      </c>
      <c r="F63" s="508" t="s">
        <v>1723</v>
      </c>
      <c r="G63" s="508" t="s">
        <v>1724</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1812</v>
      </c>
      <c r="C65" s="580" t="s">
        <v>1798</v>
      </c>
      <c r="D65" s="580" t="s">
        <v>1799</v>
      </c>
      <c r="E65" s="580" t="s">
        <v>1800</v>
      </c>
      <c r="F65" s="580" t="s">
        <v>1801</v>
      </c>
      <c r="G65" s="580" t="s">
        <v>1802</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1732</v>
      </c>
      <c r="C67" s="508" t="s">
        <v>1720</v>
      </c>
      <c r="D67" s="508" t="s">
        <v>1721</v>
      </c>
      <c r="E67" s="508" t="s">
        <v>1722</v>
      </c>
      <c r="F67" s="508" t="s">
        <v>1723</v>
      </c>
      <c r="G67" s="508" t="s">
        <v>1724</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1851</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1693</v>
      </c>
      <c r="B77" s="459" t="s">
        <v>1739</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1855</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1863</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1865</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5" si="3">D8/F8</f>
        <v>#DIV/0!</v>
      </c>
      <c r="AB8" s="50" t="e">
        <f t="shared" ref="AB8:AB45" si="4">D8/H8</f>
        <v>#DIV/0!</v>
      </c>
      <c r="AC8" s="50" t="e">
        <f t="shared" ref="AC8:AC45" si="5">D8/J8</f>
        <v>#DIV/0!</v>
      </c>
    </row>
    <row r="9" spans="1:29" s="101" customFormat="1" ht="14.4">
      <c r="A9" s="358"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402"/>
      <c r="F10" s="118">
        <f>ROUND(100/'数据-取费表'!G16,0)</f>
        <v>112</v>
      </c>
      <c r="G10" s="401"/>
      <c r="H10" s="118">
        <f>ROUND(100/'数据-取费表'!G16,0)</f>
        <v>112</v>
      </c>
      <c r="I10" s="401"/>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90"/>
      <c r="Q12" s="529" t="str">
        <f t="shared" si="6"/>
        <v>配建</v>
      </c>
      <c r="R12" s="663" t="s">
        <v>14</v>
      </c>
      <c r="S12" s="664">
        <f t="shared" si="0"/>
        <v>100</v>
      </c>
      <c r="T12" s="663" t="s">
        <v>14</v>
      </c>
      <c r="U12" s="664">
        <f t="shared" si="1"/>
        <v>100</v>
      </c>
      <c r="V12" s="663" t="s">
        <v>14</v>
      </c>
      <c r="W12" s="664">
        <f t="shared" si="2"/>
        <v>100</v>
      </c>
      <c r="X12" s="665"/>
      <c r="Y12" s="338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D14/F14</f>
        <v>1</v>
      </c>
      <c r="AB14" s="50">
        <f>D14/H14</f>
        <v>1</v>
      </c>
      <c r="AC14" s="50">
        <f>D14/J14</f>
        <v>1</v>
      </c>
    </row>
    <row r="15" spans="1:29" ht="96.6">
      <c r="A15" s="378" t="s">
        <v>1689</v>
      </c>
      <c r="B15" s="58" t="s">
        <v>1256</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92" t="s">
        <v>1690</v>
      </c>
      <c r="Q15" s="1261" t="str">
        <f t="shared" si="6"/>
        <v>居住社区成熟度</v>
      </c>
      <c r="R15" s="666" t="s">
        <v>14</v>
      </c>
      <c r="S15" s="667">
        <f t="shared" si="0"/>
        <v>100</v>
      </c>
      <c r="T15" s="666" t="s">
        <v>14</v>
      </c>
      <c r="U15" s="667">
        <f t="shared" si="1"/>
        <v>100</v>
      </c>
      <c r="V15" s="666" t="s">
        <v>14</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82.8">
      <c r="A17" s="366"/>
      <c r="B17" s="389" t="s">
        <v>1776</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93"/>
      <c r="Q17" s="1261" t="str">
        <f>B17</f>
        <v>商业繁华度</v>
      </c>
      <c r="R17" s="666" t="s">
        <v>14</v>
      </c>
      <c r="S17" s="667">
        <f>F17</f>
        <v>100</v>
      </c>
      <c r="T17" s="666" t="s">
        <v>14</v>
      </c>
      <c r="U17" s="667">
        <f>H17</f>
        <v>100</v>
      </c>
      <c r="V17" s="666" t="s">
        <v>14</v>
      </c>
      <c r="W17" s="667">
        <f>J17</f>
        <v>100</v>
      </c>
      <c r="X17" s="1263"/>
      <c r="Y17" s="3493"/>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82.8">
      <c r="A19" s="366"/>
      <c r="B19" s="389" t="s">
        <v>1810</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93"/>
      <c r="Q19" s="1261" t="str">
        <f>B19</f>
        <v>办公集聚程度</v>
      </c>
      <c r="R19" s="666" t="s">
        <v>14</v>
      </c>
      <c r="S19" s="667">
        <f>F19</f>
        <v>100</v>
      </c>
      <c r="T19" s="666" t="s">
        <v>14</v>
      </c>
      <c r="U19" s="667">
        <f>H19</f>
        <v>100</v>
      </c>
      <c r="V19" s="666" t="s">
        <v>14</v>
      </c>
      <c r="W19" s="667">
        <f>J19</f>
        <v>100</v>
      </c>
      <c r="X19" s="1263"/>
      <c r="Y19" s="3493"/>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493"/>
      <c r="Q20" s="1261"/>
      <c r="R20" s="666"/>
      <c r="S20" s="667"/>
      <c r="T20" s="666"/>
      <c r="U20" s="667"/>
      <c r="V20" s="666"/>
      <c r="W20" s="667"/>
      <c r="X20" s="1263"/>
      <c r="Y20" s="3493"/>
      <c r="Z20" s="1262"/>
      <c r="AA20" s="1262">
        <v>1</v>
      </c>
      <c r="AB20" s="1262">
        <v>1</v>
      </c>
      <c r="AC20" s="1262">
        <v>1</v>
      </c>
    </row>
    <row r="21" spans="1:29" ht="96.6">
      <c r="A21" s="366"/>
      <c r="B21" s="389" t="s">
        <v>1832</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93"/>
      <c r="Q21" s="1261" t="str">
        <f>B21</f>
        <v>交通便捷度</v>
      </c>
      <c r="R21" s="666" t="s">
        <v>14</v>
      </c>
      <c r="S21" s="667">
        <f>F21</f>
        <v>100</v>
      </c>
      <c r="T21" s="666" t="s">
        <v>14</v>
      </c>
      <c r="U21" s="667">
        <f>H21</f>
        <v>100</v>
      </c>
      <c r="V21" s="666" t="s">
        <v>14</v>
      </c>
      <c r="W21" s="667">
        <f>J21</f>
        <v>100</v>
      </c>
      <c r="X21" s="1263"/>
      <c r="Y21" s="3493"/>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ht="28.8">
      <c r="A23" s="347"/>
      <c r="B23" s="389" t="s">
        <v>1870</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93"/>
      <c r="Q23" s="1261" t="str">
        <f t="shared" ref="Q23:Q37" si="8">B23</f>
        <v>区域土地利用方向</v>
      </c>
      <c r="R23" s="666" t="s">
        <v>14</v>
      </c>
      <c r="S23" s="667">
        <f>F23</f>
        <v>100</v>
      </c>
      <c r="T23" s="666" t="s">
        <v>14</v>
      </c>
      <c r="U23" s="667">
        <f>H23</f>
        <v>100</v>
      </c>
      <c r="V23" s="666" t="s">
        <v>14</v>
      </c>
      <c r="W23" s="667">
        <f>J23</f>
        <v>100</v>
      </c>
      <c r="X23" s="1263"/>
      <c r="Y23" s="3493"/>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493"/>
      <c r="Q24" s="1261"/>
      <c r="R24" s="666"/>
      <c r="S24" s="667"/>
      <c r="T24" s="666"/>
      <c r="U24" s="667"/>
      <c r="V24" s="666"/>
      <c r="W24" s="667"/>
      <c r="X24" s="1263"/>
      <c r="Y24" s="3493"/>
      <c r="Z24" s="1262"/>
      <c r="AA24" s="1262"/>
      <c r="AB24" s="1262"/>
      <c r="AC24" s="1262"/>
    </row>
    <row r="25" spans="1:29" ht="55.2">
      <c r="A25" s="347"/>
      <c r="B25" s="585" t="s">
        <v>1871</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93"/>
      <c r="Q25" s="1261" t="str">
        <f t="shared" si="8"/>
        <v>自然及人文环境状况</v>
      </c>
      <c r="R25" s="666" t="s">
        <v>14</v>
      </c>
      <c r="S25" s="667">
        <f>F25</f>
        <v>100</v>
      </c>
      <c r="T25" s="666" t="s">
        <v>14</v>
      </c>
      <c r="U25" s="667">
        <f>H25</f>
        <v>100</v>
      </c>
      <c r="V25" s="666" t="s">
        <v>14</v>
      </c>
      <c r="W25" s="667">
        <f>J25</f>
        <v>100</v>
      </c>
      <c r="X25" s="1263"/>
      <c r="Y25" s="3493"/>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493"/>
      <c r="Q26" s="1261"/>
      <c r="R26" s="666"/>
      <c r="S26" s="667"/>
      <c r="T26" s="666"/>
      <c r="U26" s="667"/>
      <c r="V26" s="666"/>
      <c r="W26" s="667"/>
      <c r="X26" s="1263"/>
      <c r="Y26" s="3493"/>
      <c r="Z26" s="1262"/>
      <c r="AA26" s="1262">
        <v>1</v>
      </c>
      <c r="AB26" s="1262">
        <v>1</v>
      </c>
      <c r="AC26" s="1262">
        <v>1</v>
      </c>
    </row>
    <row r="27" spans="1:29" s="101" customFormat="1" ht="41.4">
      <c r="A27" s="442"/>
      <c r="B27" s="585" t="s">
        <v>1777</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93"/>
      <c r="Q27" s="529" t="str">
        <f t="shared" si="8"/>
        <v>公共配套设施</v>
      </c>
      <c r="R27" s="663" t="s">
        <v>14</v>
      </c>
      <c r="S27" s="664">
        <f>F27</f>
        <v>100</v>
      </c>
      <c r="T27" s="663" t="s">
        <v>14</v>
      </c>
      <c r="U27" s="664">
        <f>H27</f>
        <v>100</v>
      </c>
      <c r="V27" s="663" t="s">
        <v>14</v>
      </c>
      <c r="W27" s="664">
        <f>J27</f>
        <v>100</v>
      </c>
      <c r="X27" s="665"/>
      <c r="Y27" s="3493"/>
      <c r="Z27" s="50" t="str">
        <f>Q27</f>
        <v>公共配套设施</v>
      </c>
      <c r="AA27" s="1262">
        <f>D27/F27</f>
        <v>1</v>
      </c>
      <c r="AB27" s="1262">
        <f>D27/H27</f>
        <v>1</v>
      </c>
      <c r="AC27" s="1262">
        <f>D27/J27</f>
        <v>1</v>
      </c>
    </row>
    <row r="28" spans="1:29" s="101" customFormat="1" ht="15">
      <c r="A28" s="442"/>
      <c r="B28" s="394"/>
      <c r="C28" s="1823"/>
      <c r="D28" s="386"/>
      <c r="E28" s="1756"/>
      <c r="F28" s="386"/>
      <c r="G28" s="1756"/>
      <c r="H28" s="386"/>
      <c r="I28" s="385"/>
      <c r="J28" s="386"/>
      <c r="K28" s="591"/>
      <c r="L28" s="2486"/>
      <c r="M28" s="2437"/>
      <c r="N28" s="2437"/>
      <c r="O28" s="2538"/>
      <c r="P28" s="3493"/>
      <c r="Q28" s="529"/>
      <c r="R28" s="663"/>
      <c r="S28" s="664"/>
      <c r="T28" s="663"/>
      <c r="U28" s="664"/>
      <c r="V28" s="663"/>
      <c r="W28" s="664"/>
      <c r="X28" s="665"/>
      <c r="Y28" s="3493"/>
      <c r="Z28" s="50"/>
      <c r="AA28" s="1262">
        <v>1</v>
      </c>
      <c r="AB28" s="1262">
        <v>1</v>
      </c>
      <c r="AC28" s="1262">
        <v>1</v>
      </c>
    </row>
    <row r="29" spans="1:29" s="101" customFormat="1" ht="41.4">
      <c r="A29" s="442"/>
      <c r="B29" s="585" t="s">
        <v>1778</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93"/>
      <c r="Q29" s="529" t="str">
        <f t="shared" ref="Q29" si="9">B29</f>
        <v>基础设施水平</v>
      </c>
      <c r="R29" s="663" t="s">
        <v>14</v>
      </c>
      <c r="S29" s="664">
        <f>F29</f>
        <v>100</v>
      </c>
      <c r="T29" s="663" t="s">
        <v>14</v>
      </c>
      <c r="U29" s="664">
        <f>H29</f>
        <v>100</v>
      </c>
      <c r="V29" s="663" t="s">
        <v>14</v>
      </c>
      <c r="W29" s="664">
        <f>J29</f>
        <v>100</v>
      </c>
      <c r="X29" s="665"/>
      <c r="Y29" s="3493"/>
      <c r="Z29" s="50" t="str">
        <f>Q29</f>
        <v>基础设施水平</v>
      </c>
      <c r="AA29" s="1262">
        <f>D29/F29</f>
        <v>1</v>
      </c>
      <c r="AB29" s="1262">
        <f>D29/H29</f>
        <v>1</v>
      </c>
      <c r="AC29" s="1262">
        <f>D29/J29</f>
        <v>1</v>
      </c>
    </row>
    <row r="30" spans="1:29" s="101" customFormat="1" ht="15">
      <c r="A30" s="442"/>
      <c r="B30" s="394"/>
      <c r="C30" s="1823"/>
      <c r="D30" s="386"/>
      <c r="E30" s="1824"/>
      <c r="F30" s="386"/>
      <c r="G30" s="1824"/>
      <c r="H30" s="386"/>
      <c r="I30" s="1824"/>
      <c r="J30" s="386"/>
      <c r="K30" s="591"/>
      <c r="L30" s="2486"/>
      <c r="M30" s="2437"/>
      <c r="N30" s="2437"/>
      <c r="O30" s="2538"/>
      <c r="P30" s="3493"/>
      <c r="Q30" s="529"/>
      <c r="R30" s="663"/>
      <c r="S30" s="664"/>
      <c r="T30" s="663"/>
      <c r="U30" s="664"/>
      <c r="V30" s="663"/>
      <c r="W30" s="664"/>
      <c r="X30" s="665"/>
      <c r="Y30" s="3493"/>
      <c r="Z30" s="50"/>
      <c r="AA30" s="1262">
        <v>1</v>
      </c>
      <c r="AB30" s="1262">
        <v>1</v>
      </c>
      <c r="AC30" s="1262">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93"/>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93"/>
      <c r="Z31" s="1262" t="str">
        <f t="shared" ref="Z31:Z45" si="13">Q31</f>
        <v>临街状况</v>
      </c>
      <c r="AA31" s="1262">
        <f t="shared" si="3"/>
        <v>1</v>
      </c>
      <c r="AB31" s="1262">
        <f t="shared" si="4"/>
        <v>1</v>
      </c>
      <c r="AC31" s="1262">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93"/>
      <c r="Q32" s="1261" t="str">
        <f t="shared" si="8"/>
        <v>毗邻道路的类型与等级</v>
      </c>
      <c r="R32" s="666" t="s">
        <v>14</v>
      </c>
      <c r="S32" s="667">
        <f t="shared" si="10"/>
        <v>100</v>
      </c>
      <c r="T32" s="666" t="s">
        <v>14</v>
      </c>
      <c r="U32" s="667">
        <f t="shared" si="11"/>
        <v>100</v>
      </c>
      <c r="V32" s="666" t="s">
        <v>14</v>
      </c>
      <c r="W32" s="667">
        <f t="shared" si="12"/>
        <v>100</v>
      </c>
      <c r="X32" s="1263"/>
      <c r="Y32" s="3493"/>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93"/>
      <c r="Q33" s="1261"/>
      <c r="R33" s="666"/>
      <c r="S33" s="667"/>
      <c r="T33" s="666"/>
      <c r="U33" s="667"/>
      <c r="V33" s="666"/>
      <c r="W33" s="667"/>
      <c r="X33" s="1263"/>
      <c r="Y33" s="3493"/>
      <c r="Z33" s="1262"/>
      <c r="AA33" s="1262">
        <v>1</v>
      </c>
      <c r="AB33" s="1262">
        <v>1</v>
      </c>
      <c r="AC33" s="1262">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93"/>
      <c r="Q34" s="1261" t="str">
        <f t="shared" si="8"/>
        <v>土地级别</v>
      </c>
      <c r="R34" s="666" t="s">
        <v>14</v>
      </c>
      <c r="S34" s="667">
        <f t="shared" si="10"/>
        <v>100</v>
      </c>
      <c r="T34" s="666" t="s">
        <v>14</v>
      </c>
      <c r="U34" s="667">
        <f t="shared" si="11"/>
        <v>100</v>
      </c>
      <c r="V34" s="666" t="s">
        <v>14</v>
      </c>
      <c r="W34" s="667">
        <f t="shared" si="12"/>
        <v>100</v>
      </c>
      <c r="X34" s="1263"/>
      <c r="Y34" s="3493"/>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93"/>
      <c r="Q35" s="1261">
        <f t="shared" si="8"/>
        <v>111</v>
      </c>
      <c r="R35" s="666" t="s">
        <v>14</v>
      </c>
      <c r="S35" s="667">
        <f t="shared" si="10"/>
        <v>100</v>
      </c>
      <c r="T35" s="666" t="s">
        <v>14</v>
      </c>
      <c r="U35" s="667">
        <f t="shared" si="11"/>
        <v>100</v>
      </c>
      <c r="V35" s="666" t="s">
        <v>14</v>
      </c>
      <c r="W35" s="667">
        <f t="shared" si="12"/>
        <v>100</v>
      </c>
      <c r="X35" s="1263"/>
      <c r="Y35" s="3493"/>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69" t="s">
        <v>1695</v>
      </c>
      <c r="Q36" s="1261">
        <f t="shared" si="8"/>
        <v>111</v>
      </c>
      <c r="R36" s="666" t="s">
        <v>14</v>
      </c>
      <c r="S36" s="667">
        <f t="shared" si="10"/>
        <v>100</v>
      </c>
      <c r="T36" s="666" t="s">
        <v>14</v>
      </c>
      <c r="U36" s="667">
        <f t="shared" si="11"/>
        <v>100</v>
      </c>
      <c r="V36" s="666" t="s">
        <v>14</v>
      </c>
      <c r="W36" s="667">
        <f t="shared" si="12"/>
        <v>100</v>
      </c>
      <c r="X36" s="1263"/>
      <c r="Y36" s="3497" t="s">
        <v>1695</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97"/>
      <c r="Q37" s="1261">
        <f t="shared" si="8"/>
        <v>111</v>
      </c>
      <c r="R37" s="668" t="s">
        <v>14</v>
      </c>
      <c r="S37" s="669">
        <f t="shared" si="10"/>
        <v>100</v>
      </c>
      <c r="T37" s="668" t="s">
        <v>14</v>
      </c>
      <c r="U37" s="669">
        <f t="shared" si="11"/>
        <v>100</v>
      </c>
      <c r="V37" s="668" t="s">
        <v>14</v>
      </c>
      <c r="W37" s="669">
        <f t="shared" si="12"/>
        <v>100</v>
      </c>
      <c r="X37" s="670"/>
      <c r="Y37" s="3497"/>
      <c r="Z37" s="671">
        <f t="shared" si="13"/>
        <v>111</v>
      </c>
      <c r="AA37" s="1262">
        <f t="shared" si="3"/>
        <v>1</v>
      </c>
      <c r="AB37" s="1262">
        <f t="shared" si="4"/>
        <v>1</v>
      </c>
      <c r="AC37" s="1262">
        <f t="shared" si="5"/>
        <v>1</v>
      </c>
    </row>
    <row r="38" spans="1:29" ht="15.6">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97"/>
      <c r="Q38" s="1261" t="str">
        <f>B38</f>
        <v>宗地面积</v>
      </c>
      <c r="R38" s="666" t="s">
        <v>14</v>
      </c>
      <c r="S38" s="667" t="e">
        <f t="shared" si="10"/>
        <v>#N/A</v>
      </c>
      <c r="T38" s="666" t="s">
        <v>14</v>
      </c>
      <c r="U38" s="667" t="e">
        <f t="shared" si="11"/>
        <v>#N/A</v>
      </c>
      <c r="V38" s="666" t="s">
        <v>14</v>
      </c>
      <c r="W38" s="667" t="e">
        <f t="shared" si="12"/>
        <v>#N/A</v>
      </c>
      <c r="X38" s="1263"/>
      <c r="Y38" s="3497"/>
      <c r="Z38" s="1262" t="str">
        <f t="shared" si="13"/>
        <v>宗地面积</v>
      </c>
      <c r="AA38" s="1262" t="e">
        <f t="shared" si="3"/>
        <v>#N/A</v>
      </c>
      <c r="AB38" s="1262" t="e">
        <f t="shared" si="4"/>
        <v>#N/A</v>
      </c>
      <c r="AC38" s="1262" t="e">
        <f t="shared" si="5"/>
        <v>#N/A</v>
      </c>
    </row>
    <row r="39" spans="1:29" ht="15">
      <c r="A39" s="408"/>
      <c r="B39" s="363" t="s">
        <v>1874</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497"/>
      <c r="Q39" s="1261" t="str">
        <f t="shared" ref="Q39:Q45" si="14">B39</f>
        <v>宗地形状</v>
      </c>
      <c r="R39" s="666" t="s">
        <v>14</v>
      </c>
      <c r="S39" s="667">
        <f t="shared" si="10"/>
        <v>100</v>
      </c>
      <c r="T39" s="666" t="s">
        <v>14</v>
      </c>
      <c r="U39" s="667">
        <f t="shared" si="11"/>
        <v>100</v>
      </c>
      <c r="V39" s="666" t="s">
        <v>14</v>
      </c>
      <c r="W39" s="667">
        <f t="shared" si="12"/>
        <v>100</v>
      </c>
      <c r="X39" s="1263"/>
      <c r="Y39" s="3497"/>
      <c r="Z39" s="1262" t="str">
        <f t="shared" si="13"/>
        <v>宗地形状</v>
      </c>
      <c r="AA39" s="1262">
        <f t="shared" si="3"/>
        <v>1</v>
      </c>
      <c r="AB39" s="1262">
        <f t="shared" si="4"/>
        <v>1</v>
      </c>
      <c r="AC39" s="1262">
        <f t="shared" si="5"/>
        <v>1</v>
      </c>
    </row>
    <row r="40" spans="1:29" ht="15">
      <c r="A40" s="408"/>
      <c r="B40" s="363" t="s">
        <v>1875</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497"/>
      <c r="Q40" s="1261" t="str">
        <f t="shared" si="14"/>
        <v>临街宽度及深度</v>
      </c>
      <c r="R40" s="666" t="s">
        <v>14</v>
      </c>
      <c r="S40" s="667">
        <f t="shared" si="10"/>
        <v>100</v>
      </c>
      <c r="T40" s="666" t="s">
        <v>14</v>
      </c>
      <c r="U40" s="667">
        <f t="shared" si="11"/>
        <v>100</v>
      </c>
      <c r="V40" s="666" t="s">
        <v>14</v>
      </c>
      <c r="W40" s="667">
        <f t="shared" si="12"/>
        <v>100</v>
      </c>
      <c r="X40" s="1263"/>
      <c r="Y40" s="3497"/>
      <c r="Z40" s="1262" t="str">
        <f t="shared" si="13"/>
        <v>临街宽度及深度</v>
      </c>
      <c r="AA40" s="1262">
        <f t="shared" si="3"/>
        <v>1</v>
      </c>
      <c r="AB40" s="1262">
        <f t="shared" si="4"/>
        <v>1</v>
      </c>
      <c r="AC40" s="1262">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97"/>
      <c r="Q41" s="1261" t="str">
        <f t="shared" si="14"/>
        <v>宗地开发程度</v>
      </c>
      <c r="R41" s="663" t="s">
        <v>14</v>
      </c>
      <c r="S41" s="664">
        <f t="shared" si="10"/>
        <v>100</v>
      </c>
      <c r="T41" s="663" t="s">
        <v>14</v>
      </c>
      <c r="U41" s="664">
        <f t="shared" si="11"/>
        <v>100</v>
      </c>
      <c r="V41" s="663" t="s">
        <v>14</v>
      </c>
      <c r="W41" s="664">
        <f t="shared" si="12"/>
        <v>100</v>
      </c>
      <c r="X41" s="665"/>
      <c r="Y41" s="3497"/>
      <c r="Z41" s="50" t="str">
        <f t="shared" si="13"/>
        <v>宗地开发程度</v>
      </c>
      <c r="AA41" s="50">
        <f t="shared" si="3"/>
        <v>1</v>
      </c>
      <c r="AB41" s="50">
        <f t="shared" si="4"/>
        <v>1</v>
      </c>
      <c r="AC41" s="50">
        <f t="shared" si="5"/>
        <v>1</v>
      </c>
    </row>
    <row r="42" spans="1:29" ht="15">
      <c r="A42" s="408"/>
      <c r="B42" s="363" t="s">
        <v>1877</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497" t="s">
        <v>1695</v>
      </c>
      <c r="Q42" s="1261" t="str">
        <f t="shared" si="14"/>
        <v>工程地质条件</v>
      </c>
      <c r="R42" s="666" t="s">
        <v>14</v>
      </c>
      <c r="S42" s="667">
        <f t="shared" si="10"/>
        <v>100</v>
      </c>
      <c r="T42" s="666" t="s">
        <v>14</v>
      </c>
      <c r="U42" s="667">
        <f t="shared" si="11"/>
        <v>100</v>
      </c>
      <c r="V42" s="666" t="s">
        <v>14</v>
      </c>
      <c r="W42" s="667">
        <f t="shared" si="12"/>
        <v>100</v>
      </c>
      <c r="X42" s="1263"/>
      <c r="Y42" s="3497" t="s">
        <v>1695</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97"/>
      <c r="Q43" s="1261">
        <f t="shared" si="14"/>
        <v>111</v>
      </c>
      <c r="R43" s="666" t="s">
        <v>14</v>
      </c>
      <c r="S43" s="667">
        <f t="shared" si="10"/>
        <v>100</v>
      </c>
      <c r="T43" s="666" t="s">
        <v>14</v>
      </c>
      <c r="U43" s="667">
        <f t="shared" si="11"/>
        <v>100</v>
      </c>
      <c r="V43" s="666" t="s">
        <v>14</v>
      </c>
      <c r="W43" s="667">
        <f t="shared" si="12"/>
        <v>100</v>
      </c>
      <c r="X43" s="1263"/>
      <c r="Y43" s="3497"/>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97"/>
      <c r="Q44" s="1261">
        <f t="shared" si="14"/>
        <v>111</v>
      </c>
      <c r="R44" s="666" t="s">
        <v>14</v>
      </c>
      <c r="S44" s="667">
        <f t="shared" si="10"/>
        <v>100</v>
      </c>
      <c r="T44" s="666" t="s">
        <v>14</v>
      </c>
      <c r="U44" s="667">
        <f t="shared" si="11"/>
        <v>100</v>
      </c>
      <c r="V44" s="666" t="s">
        <v>14</v>
      </c>
      <c r="W44" s="667">
        <f t="shared" si="12"/>
        <v>100</v>
      </c>
      <c r="X44" s="1263"/>
      <c r="Y44" s="3497"/>
      <c r="Z44" s="1262">
        <f t="shared" si="13"/>
        <v>111</v>
      </c>
      <c r="AA44" s="1262">
        <f t="shared" si="3"/>
        <v>1</v>
      </c>
      <c r="AB44" s="1262">
        <f t="shared" si="4"/>
        <v>1</v>
      </c>
      <c r="AC44" s="1262">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97"/>
      <c r="Q45" s="1261">
        <f t="shared" si="14"/>
        <v>111</v>
      </c>
      <c r="R45" s="668" t="s">
        <v>14</v>
      </c>
      <c r="S45" s="669">
        <f t="shared" si="10"/>
        <v>100</v>
      </c>
      <c r="T45" s="668" t="s">
        <v>14</v>
      </c>
      <c r="U45" s="669">
        <f t="shared" si="11"/>
        <v>100</v>
      </c>
      <c r="V45" s="668" t="s">
        <v>14</v>
      </c>
      <c r="W45" s="669">
        <f t="shared" si="12"/>
        <v>100</v>
      </c>
      <c r="X45" s="670"/>
      <c r="Y45" s="3497"/>
      <c r="Z45" s="671">
        <f t="shared" si="13"/>
        <v>111</v>
      </c>
      <c r="AA45" s="1262">
        <f t="shared" si="3"/>
        <v>1</v>
      </c>
      <c r="AB45" s="1262">
        <f t="shared" si="4"/>
        <v>1</v>
      </c>
      <c r="AC45" s="1262">
        <f t="shared" si="5"/>
        <v>1</v>
      </c>
    </row>
    <row r="46" spans="1:29" ht="14.4">
      <c r="A46" s="415" t="s">
        <v>1843</v>
      </c>
      <c r="B46" s="1827" t="s">
        <v>1878</v>
      </c>
      <c r="C46" s="601" t="s">
        <v>0</v>
      </c>
      <c r="D46" s="417"/>
      <c r="E46" s="418"/>
      <c r="F46" s="419"/>
      <c r="G46" s="420"/>
      <c r="H46" s="421"/>
      <c r="I46" s="418"/>
      <c r="J46" s="421"/>
      <c r="K46" s="673"/>
      <c r="L46" s="2492"/>
      <c r="M46" s="2485"/>
      <c r="N46" s="2485"/>
      <c r="O46" s="2485"/>
      <c r="P46" s="3490" t="str">
        <f>A46</f>
        <v>成交单价</v>
      </c>
      <c r="Q46" s="3490"/>
      <c r="R46" s="3491">
        <f>E46</f>
        <v>0</v>
      </c>
      <c r="S46" s="3491"/>
      <c r="T46" s="3491">
        <f>G46</f>
        <v>0</v>
      </c>
      <c r="U46" s="3491"/>
      <c r="V46" s="3491">
        <f>I46</f>
        <v>0</v>
      </c>
      <c r="W46" s="3491"/>
      <c r="X46" s="384"/>
      <c r="Y46" s="672"/>
      <c r="Z46" s="384"/>
      <c r="AA46" s="384"/>
      <c r="AB46" s="384"/>
      <c r="AC46" s="384"/>
    </row>
    <row r="47" spans="1:29" ht="15" thickBot="1">
      <c r="A47" s="422" t="s">
        <v>1792</v>
      </c>
      <c r="B47" s="602"/>
      <c r="C47" s="425" t="e">
        <f>R48</f>
        <v>#DIV/0!</v>
      </c>
      <c r="D47" s="2138" t="s">
        <v>2137</v>
      </c>
      <c r="E47" s="425" t="e">
        <f>R47</f>
        <v>#DIV/0!</v>
      </c>
      <c r="F47" s="2139"/>
      <c r="G47" s="424" t="e">
        <f>T47</f>
        <v>#DIV/0!</v>
      </c>
      <c r="H47" s="2139"/>
      <c r="I47" s="425" t="e">
        <f>V47</f>
        <v>#DIV/0!</v>
      </c>
      <c r="J47" s="2139"/>
      <c r="K47" s="2141">
        <f>F47+H47+J47</f>
        <v>0</v>
      </c>
      <c r="L47" s="2492"/>
      <c r="M47" s="2485"/>
      <c r="N47" s="2485"/>
      <c r="O47" s="2485"/>
      <c r="P47" s="3490" t="str">
        <f>A47</f>
        <v>比较价值（元/平方米）</v>
      </c>
      <c r="Q47" s="3490"/>
      <c r="R47" s="3571" t="e">
        <f>ROUND(PRODUCT(R46,AA7:AA45),0)</f>
        <v>#DIV/0!</v>
      </c>
      <c r="S47" s="3571"/>
      <c r="T47" s="3571" t="e">
        <f>ROUND(PRODUCT(T46,AB7:AB45),0)</f>
        <v>#DIV/0!</v>
      </c>
      <c r="U47" s="3571"/>
      <c r="V47" s="3571" t="e">
        <f>ROUND(PRODUCT(V46,AC7:AC45),0)</f>
        <v>#DIV/0!</v>
      </c>
      <c r="W47" s="357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92"/>
      <c r="M48" s="2485"/>
      <c r="N48" s="2485"/>
      <c r="O48" s="2485"/>
      <c r="P48" s="3487" t="str">
        <f>A48</f>
        <v>估价对象XX用房的比较价值（楼面单价，元/平方米）</v>
      </c>
      <c r="Q48" s="3488"/>
      <c r="R48" s="3572" t="e">
        <f>ROUND(IF(D47="简单平均",AVERAGE(R47:W47),R47*F47+T47*H47+V47*J47),0)</f>
        <v>#DIV/0!</v>
      </c>
      <c r="S48" s="3572"/>
      <c r="T48" s="3572"/>
      <c r="U48" s="3572"/>
      <c r="V48" s="3572"/>
      <c r="W48" s="3572"/>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1880</v>
      </c>
      <c r="B55" s="604" t="s">
        <v>1881</v>
      </c>
      <c r="C55" s="1828" t="s">
        <v>1882</v>
      </c>
      <c r="D55" s="1829" t="s">
        <v>1883</v>
      </c>
      <c r="E55" s="605" t="s">
        <v>1884</v>
      </c>
      <c r="F55" s="836" t="s">
        <v>1885</v>
      </c>
      <c r="G55" s="3505" t="s">
        <v>1886</v>
      </c>
      <c r="H55" s="3573"/>
      <c r="I55" s="126" t="s">
        <v>1887</v>
      </c>
      <c r="J55" s="1830">
        <f>项目基本情况!F35</f>
        <v>0</v>
      </c>
      <c r="K55" s="1831" t="s">
        <v>1888</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1889</v>
      </c>
      <c r="B56" s="608" t="e">
        <f>C48</f>
        <v>#DIV/0!</v>
      </c>
      <c r="C56" s="609">
        <v>1</v>
      </c>
      <c r="D56" s="889">
        <v>1</v>
      </c>
      <c r="E56" s="609">
        <f>'数据-汇总表'!E8+'数据-汇总表'!E9</f>
        <v>77.06</v>
      </c>
      <c r="F56" s="832" t="e">
        <f t="shared" ref="F56:F64" si="15">ROUND(B56*E56/10000,0)</f>
        <v>#DIV/0!</v>
      </c>
      <c r="G56" s="3501"/>
      <c r="H56" s="349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1890</v>
      </c>
      <c r="B57" s="209" t="e">
        <f>ROUND($C$48*C57*D57,0)</f>
        <v>#DIV/0!</v>
      </c>
      <c r="C57" s="162">
        <f t="shared" ref="C57:C64" si="16">IF($C$55="北京市系数",I57,J57)</f>
        <v>0</v>
      </c>
      <c r="D57" s="890">
        <v>0.25</v>
      </c>
      <c r="E57" s="613"/>
      <c r="F57" s="832" t="e">
        <f t="shared" si="15"/>
        <v>#DIV/0!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1892</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1893</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1894</v>
      </c>
      <c r="B60" s="209" t="e">
        <f t="shared" si="17"/>
        <v>#DIV/0!</v>
      </c>
      <c r="C60" s="162">
        <f t="shared" si="16"/>
        <v>0</v>
      </c>
      <c r="D60" s="890">
        <v>0.25</v>
      </c>
      <c r="E60" s="208">
        <f>'数据-汇总表'!E11</f>
        <v>0</v>
      </c>
      <c r="F60" s="832" t="e">
        <f t="shared" si="15"/>
        <v>#DIV/0!</v>
      </c>
      <c r="G60" s="1832"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1900</v>
      </c>
      <c r="B63" s="209" t="e">
        <f t="shared" si="17"/>
        <v>#DIV/0!</v>
      </c>
      <c r="C63" s="162">
        <f t="shared" si="16"/>
        <v>0</v>
      </c>
      <c r="D63" s="890">
        <v>0.25</v>
      </c>
      <c r="E63" s="208">
        <f>'数据-汇总表'!E14</f>
        <v>0</v>
      </c>
      <c r="F63" s="832" t="e">
        <f t="shared" si="15"/>
        <v>#DIV/0!</v>
      </c>
      <c r="G63" s="1832"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1901</v>
      </c>
      <c r="B64" s="209" t="e">
        <f t="shared" si="17"/>
        <v>#DIV/0!</v>
      </c>
      <c r="C64" s="162">
        <f t="shared" si="16"/>
        <v>0</v>
      </c>
      <c r="D64" s="890">
        <v>0.25</v>
      </c>
      <c r="E64" s="208">
        <f>'数据-汇总表'!E15</f>
        <v>0</v>
      </c>
      <c r="F64" s="832" t="e">
        <f t="shared" si="15"/>
        <v>#DIV/0!</v>
      </c>
      <c r="G64" s="1833"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1797</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8" t="s">
        <v>1903</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1" customFormat="1" ht="15" thickBot="1">
      <c r="A71" s="448" t="s">
        <v>1715</v>
      </c>
      <c r="B71" s="449"/>
      <c r="C71" s="450"/>
      <c r="D71" s="451"/>
      <c r="E71" s="451"/>
      <c r="F71" s="451"/>
      <c r="G71" s="451"/>
      <c r="H71" s="451"/>
      <c r="I71" s="451"/>
      <c r="J71" s="451"/>
      <c r="K71" s="451"/>
      <c r="L71" s="451"/>
      <c r="M71" s="452"/>
      <c r="N71" s="451"/>
      <c r="O71" s="888"/>
      <c r="P71" s="2506"/>
      <c r="Q71" s="2506"/>
      <c r="R71" s="2437"/>
      <c r="S71" s="2437"/>
      <c r="T71" s="2437"/>
      <c r="U71" s="2437"/>
      <c r="V71" s="2437"/>
      <c r="W71" s="2437"/>
      <c r="X71" s="2437"/>
      <c r="Y71" s="2437"/>
      <c r="Z71" s="2437"/>
      <c r="AA71" s="2437"/>
      <c r="AB71" s="2437"/>
      <c r="AC71" s="2437"/>
    </row>
    <row r="72" spans="1:29" s="101" customFormat="1" ht="14.4">
      <c r="A72" s="454" t="s">
        <v>1680</v>
      </c>
      <c r="B72" s="443"/>
      <c r="C72" s="455" t="s">
        <v>1775</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1718</v>
      </c>
      <c r="B74" s="459" t="s">
        <v>1684</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1687</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1689</v>
      </c>
      <c r="B87" s="459" t="s">
        <v>1719</v>
      </c>
      <c r="C87" s="503" t="s">
        <v>1720</v>
      </c>
      <c r="D87" s="503" t="s">
        <v>1721</v>
      </c>
      <c r="E87" s="503" t="s">
        <v>1722</v>
      </c>
      <c r="F87" s="503" t="s">
        <v>1723</v>
      </c>
      <c r="G87" s="503" t="s">
        <v>1724</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1905</v>
      </c>
      <c r="C89" s="508" t="s">
        <v>1720</v>
      </c>
      <c r="D89" s="508" t="s">
        <v>1721</v>
      </c>
      <c r="E89" s="508" t="s">
        <v>1722</v>
      </c>
      <c r="F89" s="508" t="s">
        <v>1723</v>
      </c>
      <c r="G89" s="508" t="s">
        <v>1724</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1820</v>
      </c>
      <c r="C91" s="508" t="s">
        <v>1720</v>
      </c>
      <c r="D91" s="508" t="s">
        <v>1721</v>
      </c>
      <c r="E91" s="508" t="s">
        <v>1722</v>
      </c>
      <c r="F91" s="508" t="s">
        <v>1723</v>
      </c>
      <c r="G91" s="508" t="s">
        <v>1724</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1725</v>
      </c>
      <c r="C93" s="508" t="s">
        <v>1720</v>
      </c>
      <c r="D93" s="508" t="s">
        <v>1721</v>
      </c>
      <c r="E93" s="508" t="s">
        <v>1722</v>
      </c>
      <c r="F93" s="508" t="s">
        <v>1723</v>
      </c>
      <c r="G93" s="508" t="s">
        <v>1724</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1906</v>
      </c>
      <c r="C95" s="508" t="s">
        <v>1720</v>
      </c>
      <c r="D95" s="508" t="s">
        <v>1721</v>
      </c>
      <c r="E95" s="508" t="s">
        <v>1722</v>
      </c>
      <c r="F95" s="508" t="s">
        <v>1723</v>
      </c>
      <c r="G95" s="508" t="s">
        <v>1724</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1907</v>
      </c>
      <c r="C97" s="503" t="s">
        <v>1720</v>
      </c>
      <c r="D97" s="503" t="s">
        <v>1721</v>
      </c>
      <c r="E97" s="503" t="s">
        <v>1722</v>
      </c>
      <c r="F97" s="503" t="s">
        <v>1723</v>
      </c>
      <c r="G97" s="503" t="s">
        <v>1724</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1777</v>
      </c>
      <c r="C99" s="503" t="s">
        <v>1720</v>
      </c>
      <c r="D99" s="503" t="s">
        <v>1721</v>
      </c>
      <c r="E99" s="503" t="s">
        <v>1722</v>
      </c>
      <c r="F99" s="503" t="s">
        <v>1723</v>
      </c>
      <c r="G99" s="503" t="s">
        <v>1724</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1778</v>
      </c>
      <c r="C101" s="580" t="s">
        <v>1798</v>
      </c>
      <c r="D101" s="580" t="s">
        <v>1799</v>
      </c>
      <c r="E101" s="580" t="s">
        <v>1800</v>
      </c>
      <c r="F101" s="580" t="s">
        <v>1801</v>
      </c>
      <c r="G101" s="580" t="s">
        <v>1802</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1814</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1872</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1913</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1914</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1915</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1916</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74" t="s">
        <v>1918</v>
      </c>
      <c r="D6" s="3575"/>
      <c r="E6" s="3576" t="s">
        <v>1918</v>
      </c>
      <c r="F6" s="3577"/>
      <c r="G6" s="3574" t="s">
        <v>1918</v>
      </c>
      <c r="H6" s="3575"/>
      <c r="I6" s="3574" t="s">
        <v>1918</v>
      </c>
      <c r="J6" s="3575"/>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0" si="3">D8/F8</f>
        <v>#DIV/0!</v>
      </c>
      <c r="AB8" s="50" t="e">
        <f t="shared" ref="AB8:AB40" si="4">D8/H8</f>
        <v>#DIV/0!</v>
      </c>
      <c r="AC8" s="50" t="e">
        <f t="shared" ref="AC8:AC40" si="5">D8/J8</f>
        <v>#DIV/0!</v>
      </c>
    </row>
    <row r="9" spans="1:29" s="101" customFormat="1" ht="14.4">
      <c r="A9" s="358"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370"/>
      <c r="F10" s="118">
        <f>ROUND(100/'数据-取费表'!G16,0)</f>
        <v>112</v>
      </c>
      <c r="G10" s="370"/>
      <c r="H10" s="118">
        <f>ROUND(100/'数据-取费表'!G16,0)</f>
        <v>112</v>
      </c>
      <c r="I10" s="370"/>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96.6">
      <c r="A17" s="366"/>
      <c r="B17" s="555" t="s">
        <v>1832</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28.8">
      <c r="A19" s="366"/>
      <c r="B19" s="555" t="s">
        <v>1870</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93"/>
      <c r="Q19" s="1261" t="str">
        <f t="shared" ref="Q19:Q33" si="8">B19</f>
        <v>区域土地利用方向</v>
      </c>
      <c r="R19" s="666" t="s">
        <v>14</v>
      </c>
      <c r="S19" s="667">
        <f>F19</f>
        <v>100</v>
      </c>
      <c r="T19" s="666" t="s">
        <v>14</v>
      </c>
      <c r="U19" s="667">
        <f>H19</f>
        <v>100</v>
      </c>
      <c r="V19" s="666" t="s">
        <v>14</v>
      </c>
      <c r="W19" s="667">
        <f>J19</f>
        <v>100</v>
      </c>
      <c r="X19" s="1263"/>
      <c r="Y19" s="3493"/>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493"/>
      <c r="Q20" s="1261"/>
      <c r="R20" s="666"/>
      <c r="S20" s="667"/>
      <c r="T20" s="666"/>
      <c r="U20" s="667"/>
      <c r="V20" s="666"/>
      <c r="W20" s="667"/>
      <c r="X20" s="1263"/>
      <c r="Y20" s="3493"/>
      <c r="Z20" s="1262"/>
      <c r="AA20" s="1262"/>
      <c r="AB20" s="1262"/>
      <c r="AC20" s="1262"/>
    </row>
    <row r="21" spans="1:29" ht="82.8">
      <c r="A21" s="347"/>
      <c r="B21" s="555" t="s">
        <v>1920</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93"/>
      <c r="Q21" s="1261" t="str">
        <f t="shared" si="8"/>
        <v>环境状况</v>
      </c>
      <c r="R21" s="666" t="s">
        <v>14</v>
      </c>
      <c r="S21" s="667">
        <f>F21</f>
        <v>100</v>
      </c>
      <c r="T21" s="666" t="s">
        <v>14</v>
      </c>
      <c r="U21" s="667">
        <f>H21</f>
        <v>100</v>
      </c>
      <c r="V21" s="666" t="s">
        <v>14</v>
      </c>
      <c r="W21" s="667">
        <f>J21</f>
        <v>100</v>
      </c>
      <c r="X21" s="1263"/>
      <c r="Y21" s="3493"/>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s="101" customFormat="1" ht="41.4">
      <c r="A23" s="442"/>
      <c r="B23" s="556" t="s">
        <v>1777</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93"/>
      <c r="Q23" s="529" t="str">
        <f t="shared" si="8"/>
        <v>公共配套设施</v>
      </c>
      <c r="R23" s="663" t="s">
        <v>14</v>
      </c>
      <c r="S23" s="664">
        <f>F23</f>
        <v>100</v>
      </c>
      <c r="T23" s="663" t="s">
        <v>14</v>
      </c>
      <c r="U23" s="664">
        <f>H23</f>
        <v>100</v>
      </c>
      <c r="V23" s="663" t="s">
        <v>14</v>
      </c>
      <c r="W23" s="664">
        <f>J23</f>
        <v>100</v>
      </c>
      <c r="X23" s="665"/>
      <c r="Y23" s="3493"/>
      <c r="Z23" s="50" t="str">
        <f>Q23</f>
        <v>公共配套设施</v>
      </c>
      <c r="AA23" s="1262">
        <f>D23/F23</f>
        <v>1</v>
      </c>
      <c r="AB23" s="1262">
        <f>D23/H23</f>
        <v>1</v>
      </c>
      <c r="AC23" s="1262">
        <f>D23/J23</f>
        <v>1</v>
      </c>
    </row>
    <row r="24" spans="1:29" s="101" customFormat="1" ht="15">
      <c r="A24" s="442"/>
      <c r="B24" s="400"/>
      <c r="C24" s="1823"/>
      <c r="D24" s="386"/>
      <c r="E24" s="1756"/>
      <c r="F24" s="386"/>
      <c r="G24" s="1756"/>
      <c r="H24" s="386"/>
      <c r="I24" s="385"/>
      <c r="J24" s="386"/>
      <c r="K24" s="591"/>
      <c r="L24" s="2486"/>
      <c r="M24" s="2437"/>
      <c r="N24" s="2437"/>
      <c r="O24" s="2538"/>
      <c r="P24" s="3493"/>
      <c r="Q24" s="529"/>
      <c r="R24" s="663"/>
      <c r="S24" s="664"/>
      <c r="T24" s="663"/>
      <c r="U24" s="664"/>
      <c r="V24" s="663"/>
      <c r="W24" s="664"/>
      <c r="X24" s="665"/>
      <c r="Y24" s="3493"/>
      <c r="Z24" s="50"/>
      <c r="AA24" s="50">
        <v>1</v>
      </c>
      <c r="AB24" s="50">
        <v>1</v>
      </c>
      <c r="AC24" s="50">
        <v>1</v>
      </c>
    </row>
    <row r="25" spans="1:29" s="101" customFormat="1" ht="41.4">
      <c r="A25" s="442"/>
      <c r="B25" s="556" t="s">
        <v>1778</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93"/>
      <c r="Q25" s="529" t="str">
        <f t="shared" ref="Q25" si="9">B25</f>
        <v>基础设施水平</v>
      </c>
      <c r="R25" s="663" t="s">
        <v>14</v>
      </c>
      <c r="S25" s="664">
        <f>F25</f>
        <v>100</v>
      </c>
      <c r="T25" s="663" t="s">
        <v>14</v>
      </c>
      <c r="U25" s="664">
        <f>H25</f>
        <v>100</v>
      </c>
      <c r="V25" s="663" t="s">
        <v>14</v>
      </c>
      <c r="W25" s="664">
        <f>J25</f>
        <v>100</v>
      </c>
      <c r="X25" s="665"/>
      <c r="Y25" s="3493"/>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6"/>
      <c r="M26" s="2437"/>
      <c r="N26" s="2437"/>
      <c r="O26" s="2538"/>
      <c r="P26" s="3493"/>
      <c r="Q26" s="529"/>
      <c r="R26" s="663"/>
      <c r="S26" s="664"/>
      <c r="T26" s="663"/>
      <c r="U26" s="664"/>
      <c r="V26" s="663"/>
      <c r="W26" s="664"/>
      <c r="X26" s="665"/>
      <c r="Y26" s="3493"/>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93"/>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93"/>
      <c r="Z27" s="1262" t="str">
        <f t="shared" ref="Z27:Z40" si="13">Q27</f>
        <v>临街状况</v>
      </c>
      <c r="AA27" s="1262">
        <f t="shared" si="3"/>
        <v>1</v>
      </c>
      <c r="AB27" s="1262">
        <f t="shared" si="4"/>
        <v>1</v>
      </c>
      <c r="AC27" s="1262">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93"/>
      <c r="Q28" s="1261" t="str">
        <f t="shared" si="8"/>
        <v>毗邻道路的类型与等级</v>
      </c>
      <c r="R28" s="666" t="s">
        <v>14</v>
      </c>
      <c r="S28" s="667">
        <f t="shared" si="10"/>
        <v>100</v>
      </c>
      <c r="T28" s="666" t="s">
        <v>14</v>
      </c>
      <c r="U28" s="667">
        <f t="shared" si="11"/>
        <v>100</v>
      </c>
      <c r="V28" s="666" t="s">
        <v>14</v>
      </c>
      <c r="W28" s="667">
        <f t="shared" si="12"/>
        <v>100</v>
      </c>
      <c r="X28" s="1263"/>
      <c r="Y28" s="3493"/>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93"/>
      <c r="Q29" s="1261"/>
      <c r="R29" s="666"/>
      <c r="S29" s="667"/>
      <c r="T29" s="666"/>
      <c r="U29" s="667"/>
      <c r="V29" s="666"/>
      <c r="W29" s="667"/>
      <c r="X29" s="1263"/>
      <c r="Y29" s="3493"/>
      <c r="Z29" s="1262"/>
      <c r="AA29" s="1262">
        <v>1</v>
      </c>
      <c r="AB29" s="1262">
        <v>1</v>
      </c>
      <c r="AC29" s="1262">
        <v>1</v>
      </c>
    </row>
    <row r="30" spans="1:29" ht="15">
      <c r="A30" s="366"/>
      <c r="B30" s="118" t="s">
        <v>1872</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93"/>
      <c r="Q30" s="1261" t="str">
        <f t="shared" si="8"/>
        <v>土地级别</v>
      </c>
      <c r="R30" s="666" t="s">
        <v>14</v>
      </c>
      <c r="S30" s="667">
        <f t="shared" si="10"/>
        <v>100</v>
      </c>
      <c r="T30" s="666" t="s">
        <v>14</v>
      </c>
      <c r="U30" s="667">
        <f t="shared" si="11"/>
        <v>100</v>
      </c>
      <c r="V30" s="666" t="s">
        <v>14</v>
      </c>
      <c r="W30" s="667">
        <f t="shared" si="12"/>
        <v>100</v>
      </c>
      <c r="X30" s="1263"/>
      <c r="Y30" s="3493"/>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93"/>
      <c r="Q31" s="1261">
        <f t="shared" si="8"/>
        <v>111</v>
      </c>
      <c r="R31" s="666" t="s">
        <v>14</v>
      </c>
      <c r="S31" s="667">
        <f t="shared" si="10"/>
        <v>100</v>
      </c>
      <c r="T31" s="666" t="s">
        <v>14</v>
      </c>
      <c r="U31" s="667">
        <f t="shared" si="11"/>
        <v>100</v>
      </c>
      <c r="V31" s="666" t="s">
        <v>14</v>
      </c>
      <c r="W31" s="667">
        <f t="shared" si="12"/>
        <v>100</v>
      </c>
      <c r="X31" s="1263"/>
      <c r="Y31" s="3493"/>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69" t="s">
        <v>1695</v>
      </c>
      <c r="Q32" s="1261">
        <f t="shared" si="8"/>
        <v>111</v>
      </c>
      <c r="R32" s="666" t="s">
        <v>14</v>
      </c>
      <c r="S32" s="667">
        <f t="shared" si="10"/>
        <v>100</v>
      </c>
      <c r="T32" s="666" t="s">
        <v>14</v>
      </c>
      <c r="U32" s="667">
        <f t="shared" si="11"/>
        <v>100</v>
      </c>
      <c r="V32" s="666" t="s">
        <v>14</v>
      </c>
      <c r="W32" s="667">
        <f t="shared" si="12"/>
        <v>100</v>
      </c>
      <c r="X32" s="1263"/>
      <c r="Y32" s="3497" t="s">
        <v>1695</v>
      </c>
      <c r="Z32" s="1262">
        <f t="shared" si="13"/>
        <v>111</v>
      </c>
      <c r="AA32" s="1262">
        <f t="shared" si="3"/>
        <v>1</v>
      </c>
      <c r="AB32" s="1262">
        <f t="shared" si="4"/>
        <v>1</v>
      </c>
      <c r="AC32" s="1262">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97"/>
      <c r="Q33" s="1261">
        <f t="shared" si="8"/>
        <v>111</v>
      </c>
      <c r="R33" s="668" t="s">
        <v>14</v>
      </c>
      <c r="S33" s="669">
        <f t="shared" si="10"/>
        <v>100</v>
      </c>
      <c r="T33" s="668" t="s">
        <v>14</v>
      </c>
      <c r="U33" s="669">
        <f t="shared" si="11"/>
        <v>100</v>
      </c>
      <c r="V33" s="668" t="s">
        <v>14</v>
      </c>
      <c r="W33" s="669">
        <f t="shared" si="12"/>
        <v>100</v>
      </c>
      <c r="X33" s="670"/>
      <c r="Y33" s="3497"/>
      <c r="Z33" s="671">
        <f t="shared" si="13"/>
        <v>111</v>
      </c>
      <c r="AA33" s="1262">
        <f t="shared" si="3"/>
        <v>1</v>
      </c>
      <c r="AB33" s="1262">
        <f t="shared" si="4"/>
        <v>1</v>
      </c>
      <c r="AC33" s="1262">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97"/>
      <c r="Q34" s="1261" t="str">
        <f>B34</f>
        <v>宗地面积</v>
      </c>
      <c r="R34" s="666" t="s">
        <v>14</v>
      </c>
      <c r="S34" s="667" t="e">
        <f t="shared" si="10"/>
        <v>#N/A</v>
      </c>
      <c r="T34" s="666" t="s">
        <v>14</v>
      </c>
      <c r="U34" s="667" t="e">
        <f t="shared" si="11"/>
        <v>#N/A</v>
      </c>
      <c r="V34" s="666" t="s">
        <v>14</v>
      </c>
      <c r="W34" s="667" t="e">
        <f t="shared" si="12"/>
        <v>#N/A</v>
      </c>
      <c r="X34" s="1263"/>
      <c r="Y34" s="3497"/>
      <c r="Z34" s="1262" t="str">
        <f t="shared" si="13"/>
        <v>宗地面积</v>
      </c>
      <c r="AA34" s="1262" t="e">
        <f t="shared" si="3"/>
        <v>#N/A</v>
      </c>
      <c r="AB34" s="1262" t="e">
        <f t="shared" si="4"/>
        <v>#N/A</v>
      </c>
      <c r="AC34" s="1262" t="e">
        <f t="shared" si="5"/>
        <v>#N/A</v>
      </c>
    </row>
    <row r="35" spans="1:31" ht="15">
      <c r="A35" s="408"/>
      <c r="B35" s="363" t="s">
        <v>1874</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97"/>
      <c r="Q35" s="1261" t="str">
        <f t="shared" ref="Q35:Q40" si="14">B35</f>
        <v>宗地形状</v>
      </c>
      <c r="R35" s="666" t="s">
        <v>14</v>
      </c>
      <c r="S35" s="667">
        <f t="shared" si="10"/>
        <v>100</v>
      </c>
      <c r="T35" s="666" t="s">
        <v>14</v>
      </c>
      <c r="U35" s="667">
        <f t="shared" si="11"/>
        <v>100</v>
      </c>
      <c r="V35" s="666" t="s">
        <v>14</v>
      </c>
      <c r="W35" s="667">
        <f t="shared" si="12"/>
        <v>100</v>
      </c>
      <c r="X35" s="1263"/>
      <c r="Y35" s="3497"/>
      <c r="Z35" s="1262" t="str">
        <f t="shared" si="13"/>
        <v>宗地形状</v>
      </c>
      <c r="AA35" s="1262">
        <f t="shared" si="3"/>
        <v>1</v>
      </c>
      <c r="AB35" s="1262">
        <f t="shared" si="4"/>
        <v>1</v>
      </c>
      <c r="AC35" s="1262">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97"/>
      <c r="Q36" s="1261" t="str">
        <f t="shared" si="14"/>
        <v>宗地开发程度</v>
      </c>
      <c r="R36" s="663" t="s">
        <v>14</v>
      </c>
      <c r="S36" s="664">
        <f t="shared" si="10"/>
        <v>100</v>
      </c>
      <c r="T36" s="663" t="s">
        <v>14</v>
      </c>
      <c r="U36" s="664">
        <f t="shared" si="11"/>
        <v>100</v>
      </c>
      <c r="V36" s="663" t="s">
        <v>14</v>
      </c>
      <c r="W36" s="664">
        <f t="shared" si="12"/>
        <v>100</v>
      </c>
      <c r="X36" s="665"/>
      <c r="Y36" s="3497"/>
      <c r="Z36" s="50" t="str">
        <f t="shared" si="13"/>
        <v>宗地开发程度</v>
      </c>
      <c r="AA36" s="50">
        <f t="shared" si="3"/>
        <v>1</v>
      </c>
      <c r="AB36" s="50">
        <f t="shared" si="4"/>
        <v>1</v>
      </c>
      <c r="AC36" s="50">
        <f t="shared" si="5"/>
        <v>1</v>
      </c>
    </row>
    <row r="37" spans="1:31" ht="15">
      <c r="A37" s="408"/>
      <c r="B37" s="363" t="s">
        <v>1877</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97" t="s">
        <v>1695</v>
      </c>
      <c r="Q37" s="1261" t="str">
        <f t="shared" si="14"/>
        <v>工程地质条件</v>
      </c>
      <c r="R37" s="666" t="s">
        <v>14</v>
      </c>
      <c r="S37" s="667">
        <f t="shared" si="10"/>
        <v>100</v>
      </c>
      <c r="T37" s="666" t="s">
        <v>14</v>
      </c>
      <c r="U37" s="667">
        <f t="shared" si="11"/>
        <v>100</v>
      </c>
      <c r="V37" s="666" t="s">
        <v>14</v>
      </c>
      <c r="W37" s="667">
        <f t="shared" si="12"/>
        <v>100</v>
      </c>
      <c r="X37" s="1263"/>
      <c r="Y37" s="3497" t="s">
        <v>1695</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97"/>
      <c r="Q38" s="1261">
        <f t="shared" si="14"/>
        <v>111</v>
      </c>
      <c r="R38" s="666" t="s">
        <v>14</v>
      </c>
      <c r="S38" s="667">
        <f t="shared" si="10"/>
        <v>100</v>
      </c>
      <c r="T38" s="666" t="s">
        <v>14</v>
      </c>
      <c r="U38" s="667">
        <f t="shared" si="11"/>
        <v>100</v>
      </c>
      <c r="V38" s="666" t="s">
        <v>14</v>
      </c>
      <c r="W38" s="667">
        <f t="shared" si="12"/>
        <v>100</v>
      </c>
      <c r="X38" s="1263"/>
      <c r="Y38" s="3497"/>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97"/>
      <c r="Q39" s="1261">
        <f t="shared" si="14"/>
        <v>111</v>
      </c>
      <c r="R39" s="666" t="s">
        <v>14</v>
      </c>
      <c r="S39" s="667">
        <f t="shared" si="10"/>
        <v>100</v>
      </c>
      <c r="T39" s="666" t="s">
        <v>14</v>
      </c>
      <c r="U39" s="667">
        <f t="shared" si="11"/>
        <v>100</v>
      </c>
      <c r="V39" s="666" t="s">
        <v>14</v>
      </c>
      <c r="W39" s="667">
        <f t="shared" si="12"/>
        <v>100</v>
      </c>
      <c r="X39" s="1263"/>
      <c r="Y39" s="3497"/>
      <c r="Z39" s="1262">
        <f t="shared" si="13"/>
        <v>111</v>
      </c>
      <c r="AA39" s="1262">
        <f t="shared" si="3"/>
        <v>1</v>
      </c>
      <c r="AB39" s="1262">
        <f t="shared" si="4"/>
        <v>1</v>
      </c>
      <c r="AC39" s="1262">
        <f t="shared" si="5"/>
        <v>1</v>
      </c>
    </row>
    <row r="40" spans="1:31" s="407" customFormat="1" ht="15.6"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97"/>
      <c r="Q40" s="1261">
        <f t="shared" si="14"/>
        <v>111</v>
      </c>
      <c r="R40" s="668" t="s">
        <v>14</v>
      </c>
      <c r="S40" s="669">
        <f t="shared" si="10"/>
        <v>100</v>
      </c>
      <c r="T40" s="668" t="s">
        <v>14</v>
      </c>
      <c r="U40" s="669">
        <f t="shared" si="11"/>
        <v>100</v>
      </c>
      <c r="V40" s="668" t="s">
        <v>14</v>
      </c>
      <c r="W40" s="669">
        <f t="shared" si="12"/>
        <v>100</v>
      </c>
      <c r="X40" s="670"/>
      <c r="Y40" s="3497"/>
      <c r="Z40" s="671">
        <f t="shared" si="13"/>
        <v>111</v>
      </c>
      <c r="AA40" s="1262">
        <f t="shared" si="3"/>
        <v>1</v>
      </c>
      <c r="AB40" s="1262">
        <f t="shared" si="4"/>
        <v>1</v>
      </c>
      <c r="AC40" s="1262">
        <f t="shared" si="5"/>
        <v>1</v>
      </c>
    </row>
    <row r="41" spans="1:31" ht="14.4">
      <c r="A41" s="415" t="s">
        <v>1843</v>
      </c>
      <c r="B41" s="1827" t="s">
        <v>1921</v>
      </c>
      <c r="C41" s="601" t="s">
        <v>0</v>
      </c>
      <c r="D41" s="417"/>
      <c r="E41" s="418"/>
      <c r="F41" s="419"/>
      <c r="G41" s="420"/>
      <c r="H41" s="421"/>
      <c r="I41" s="418"/>
      <c r="J41" s="421"/>
      <c r="K41" s="673"/>
      <c r="L41" s="2492"/>
      <c r="M41" s="2485"/>
      <c r="N41" s="2485"/>
      <c r="O41" s="2485"/>
      <c r="P41" s="3490" t="str">
        <f>A41</f>
        <v>成交单价</v>
      </c>
      <c r="Q41" s="3490"/>
      <c r="R41" s="3491">
        <f>E41</f>
        <v>0</v>
      </c>
      <c r="S41" s="3491"/>
      <c r="T41" s="3491">
        <f>G41</f>
        <v>0</v>
      </c>
      <c r="U41" s="3491"/>
      <c r="V41" s="3491">
        <f>I41</f>
        <v>0</v>
      </c>
      <c r="W41" s="3491"/>
      <c r="X41" s="384"/>
      <c r="Y41" s="672"/>
      <c r="Z41" s="384"/>
      <c r="AA41" s="384"/>
      <c r="AB41" s="384"/>
      <c r="AC41" s="384"/>
    </row>
    <row r="42" spans="1:31" ht="15" thickBot="1">
      <c r="A42" s="422" t="s">
        <v>1792</v>
      </c>
      <c r="B42" s="602"/>
      <c r="C42" s="425" t="e">
        <f>R43</f>
        <v>#DIV/0!</v>
      </c>
      <c r="D42" s="2138" t="s">
        <v>2137</v>
      </c>
      <c r="E42" s="425" t="e">
        <f>R42</f>
        <v>#DIV/0!</v>
      </c>
      <c r="F42" s="2139"/>
      <c r="G42" s="424" t="e">
        <f>T42</f>
        <v>#DIV/0!</v>
      </c>
      <c r="H42" s="2139"/>
      <c r="I42" s="425" t="e">
        <f>V42</f>
        <v>#DIV/0!</v>
      </c>
      <c r="J42" s="2139"/>
      <c r="K42" s="2141">
        <f>F42+H42+J42</f>
        <v>0</v>
      </c>
      <c r="L42" s="2492"/>
      <c r="M42" s="2485"/>
      <c r="N42" s="2485"/>
      <c r="O42" s="2485"/>
      <c r="P42" s="3490" t="str">
        <f>A42</f>
        <v>比较价值（元/平方米）</v>
      </c>
      <c r="Q42" s="3490"/>
      <c r="R42" s="3571" t="e">
        <f>ROUND(PRODUCT(R41,AA7:AA40),0)</f>
        <v>#DIV/0!</v>
      </c>
      <c r="S42" s="3571"/>
      <c r="T42" s="3571" t="e">
        <f>ROUND(PRODUCT(T41,AB7:AB40),0)</f>
        <v>#DIV/0!</v>
      </c>
      <c r="U42" s="3571"/>
      <c r="V42" s="3571" t="e">
        <f>ROUND(PRODUCT(V41,AC7:AC40),0)</f>
        <v>#DIV/0!</v>
      </c>
      <c r="W42" s="357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92"/>
      <c r="M43" s="2485"/>
      <c r="N43" s="2485"/>
      <c r="O43" s="2485"/>
      <c r="P43" s="3487" t="str">
        <f>A43</f>
        <v>估价对象XX用房的比较价值（楼面单价，元/平方米）</v>
      </c>
      <c r="Q43" s="3488"/>
      <c r="R43" s="3572" t="e">
        <f>ROUND(IF(D42="简单平均",AVERAGE(R42:W42),R42*F42+T42*H42+V42*J42),0)</f>
        <v>#DIV/0!</v>
      </c>
      <c r="S43" s="3572"/>
      <c r="T43" s="3572"/>
      <c r="U43" s="3572"/>
      <c r="V43" s="3572"/>
      <c r="W43" s="3572"/>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1880</v>
      </c>
      <c r="B50" s="604" t="s">
        <v>1881</v>
      </c>
      <c r="C50" s="1828" t="s">
        <v>1882</v>
      </c>
      <c r="D50" s="1829" t="s">
        <v>1883</v>
      </c>
      <c r="E50" s="605" t="s">
        <v>1884</v>
      </c>
      <c r="F50" s="606" t="s">
        <v>1885</v>
      </c>
      <c r="G50" s="3505" t="s">
        <v>1886</v>
      </c>
      <c r="H50" s="3573"/>
      <c r="I50" s="1262" t="s">
        <v>1922</v>
      </c>
      <c r="J50" s="1262">
        <f>项目基本情况!F35</f>
        <v>0</v>
      </c>
      <c r="K50" s="1831"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1889</v>
      </c>
      <c r="B51" s="608" t="e">
        <f>C43</f>
        <v>#DIV/0!</v>
      </c>
      <c r="C51" s="609">
        <v>1</v>
      </c>
      <c r="D51" s="889">
        <v>1</v>
      </c>
      <c r="E51" s="609">
        <f>'数据-汇总表'!E8+'数据-汇总表'!E9</f>
        <v>77.06</v>
      </c>
      <c r="F51" s="610" t="e">
        <f t="shared" ref="F51:F60" si="15">ROUND(B51*E51/10000,0)</f>
        <v>#DIV/0!</v>
      </c>
      <c r="G51" s="3501"/>
      <c r="H51" s="349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1890</v>
      </c>
      <c r="B52" s="209" t="e">
        <f>ROUND($C$43*C52*D52,0)</f>
        <v>#DIV/0!</v>
      </c>
      <c r="C52" s="162">
        <f t="shared" ref="C52:C60" si="16">IF($C$50="北京市系数",I52,J52)</f>
        <v>0</v>
      </c>
      <c r="D52" s="890">
        <v>0.25</v>
      </c>
      <c r="E52" s="613"/>
      <c r="F52" s="610"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1892</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1893</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1894</v>
      </c>
      <c r="B56" s="209" t="e">
        <f t="shared" si="17"/>
        <v>#DIV/0!</v>
      </c>
      <c r="C56" s="162">
        <f t="shared" si="16"/>
        <v>0</v>
      </c>
      <c r="D56" s="890">
        <v>0.25</v>
      </c>
      <c r="E56" s="208">
        <f>'数据-汇总表'!E11</f>
        <v>0</v>
      </c>
      <c r="F56" s="610" t="e">
        <f t="shared" si="15"/>
        <v>#DIV/0!</v>
      </c>
      <c r="G56" s="1832"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1900</v>
      </c>
      <c r="B59" s="209" t="e">
        <f t="shared" si="17"/>
        <v>#DIV/0!</v>
      </c>
      <c r="C59" s="162">
        <f t="shared" si="16"/>
        <v>0</v>
      </c>
      <c r="D59" s="890">
        <v>0.25</v>
      </c>
      <c r="E59" s="208">
        <f>'数据-汇总表'!E14</f>
        <v>0</v>
      </c>
      <c r="F59" s="610" t="e">
        <f t="shared" si="15"/>
        <v>#DIV/0!</v>
      </c>
      <c r="G59" s="1832"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1901</v>
      </c>
      <c r="B60" s="209" t="e">
        <f t="shared" si="17"/>
        <v>#DIV/0!</v>
      </c>
      <c r="C60" s="162">
        <f t="shared" si="16"/>
        <v>0</v>
      </c>
      <c r="D60" s="890">
        <v>0.25</v>
      </c>
      <c r="E60" s="208">
        <f>'数据-汇总表'!E15</f>
        <v>0</v>
      </c>
      <c r="F60" s="610" t="e">
        <f t="shared" si="15"/>
        <v>#DIV/0!</v>
      </c>
      <c r="G60" s="1833"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1797</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8" t="s">
        <v>1903</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1715</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1680</v>
      </c>
      <c r="B68" s="443"/>
      <c r="C68" s="455" t="s">
        <v>1775</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1718</v>
      </c>
      <c r="B70" s="459" t="s">
        <v>1684</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1687</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1689</v>
      </c>
      <c r="B83" s="459" t="s">
        <v>1828</v>
      </c>
      <c r="C83" s="503" t="s">
        <v>1720</v>
      </c>
      <c r="D83" s="503" t="s">
        <v>1721</v>
      </c>
      <c r="E83" s="503" t="s">
        <v>1722</v>
      </c>
      <c r="F83" s="503" t="s">
        <v>1723</v>
      </c>
      <c r="G83" s="503" t="s">
        <v>1724</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1725</v>
      </c>
      <c r="C85" s="508" t="s">
        <v>1720</v>
      </c>
      <c r="D85" s="508" t="s">
        <v>1721</v>
      </c>
      <c r="E85" s="508" t="s">
        <v>1722</v>
      </c>
      <c r="F85" s="508" t="s">
        <v>1723</v>
      </c>
      <c r="G85" s="508" t="s">
        <v>1724</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1906</v>
      </c>
      <c r="C87" s="503" t="s">
        <v>1720</v>
      </c>
      <c r="D87" s="503" t="s">
        <v>1721</v>
      </c>
      <c r="E87" s="503" t="s">
        <v>1722</v>
      </c>
      <c r="F87" s="503" t="s">
        <v>1723</v>
      </c>
      <c r="G87" s="503" t="s">
        <v>1724</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1907</v>
      </c>
      <c r="C89" s="503" t="s">
        <v>1720</v>
      </c>
      <c r="D89" s="503" t="s">
        <v>1721</v>
      </c>
      <c r="E89" s="503" t="s">
        <v>1722</v>
      </c>
      <c r="F89" s="503" t="s">
        <v>1723</v>
      </c>
      <c r="G89" s="503" t="s">
        <v>1724</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1777</v>
      </c>
      <c r="C91" s="503" t="s">
        <v>1720</v>
      </c>
      <c r="D91" s="503" t="s">
        <v>1721</v>
      </c>
      <c r="E91" s="503" t="s">
        <v>1722</v>
      </c>
      <c r="F91" s="503" t="s">
        <v>1723</v>
      </c>
      <c r="G91" s="503" t="s">
        <v>1724</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1814</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1872</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1913</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1915</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1916</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81" t="s">
        <v>2083</v>
      </c>
      <c r="D1" s="3582"/>
      <c r="E1" s="3582"/>
      <c r="F1" s="3582"/>
      <c r="G1" s="3582"/>
      <c r="H1" s="3582"/>
      <c r="I1" s="3582"/>
      <c r="J1" s="3582"/>
      <c r="K1" s="3582"/>
      <c r="L1" s="3582"/>
      <c r="M1" s="3582"/>
      <c r="N1" s="3582"/>
      <c r="O1" s="3582"/>
      <c r="P1" s="3582"/>
      <c r="Q1" s="3582"/>
      <c r="R1" s="3582"/>
      <c r="S1" s="358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1"/>
      <c r="F19" s="1251"/>
      <c r="G19" s="1251"/>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2"/>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2080</v>
      </c>
      <c r="B1" s="4"/>
      <c r="C1" s="4"/>
      <c r="D1" s="4"/>
      <c r="E1" s="4"/>
      <c r="F1" s="2542"/>
      <c r="G1" s="2542"/>
      <c r="H1" s="2542"/>
      <c r="I1" s="2542"/>
      <c r="J1" s="2542"/>
      <c r="K1" s="2542"/>
      <c r="L1" s="2542"/>
      <c r="M1" s="2542"/>
      <c r="N1" s="2542"/>
      <c r="O1" s="2542"/>
      <c r="P1" s="2542"/>
    </row>
    <row r="2" spans="1:16" ht="15.6">
      <c r="A2" s="1981" t="s">
        <v>2072</v>
      </c>
      <c r="B2" s="2385" t="e">
        <f ca="1">SUMIF(B6:B13,"&lt;&gt;#ref!",B6:B13)</f>
        <v>#DIV/0!</v>
      </c>
      <c r="C2" s="1981" t="s">
        <v>2073</v>
      </c>
      <c r="D2" s="1981" t="s">
        <v>2074</v>
      </c>
      <c r="E2" s="2395">
        <f ca="1">SUMIF(E6:E13,"&lt;&gt;#ref!",E6:E13)</f>
        <v>0</v>
      </c>
      <c r="F2" s="2542"/>
      <c r="G2" s="2542"/>
      <c r="H2" s="2542"/>
      <c r="I2" s="2542"/>
      <c r="J2" s="2542"/>
      <c r="K2" s="2542"/>
      <c r="L2" s="2542"/>
      <c r="M2" s="2542"/>
      <c r="N2" s="2542"/>
      <c r="O2" s="2542"/>
      <c r="P2" s="2542"/>
    </row>
    <row r="3" spans="1:16" ht="15.6">
      <c r="A3" s="1981" t="s">
        <v>2075</v>
      </c>
      <c r="B3" s="2385" t="e">
        <f ca="1">ROUND(B2*10000/E2,0)</f>
        <v>#DIV/0!</v>
      </c>
      <c r="C3" s="1981"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2076</v>
      </c>
      <c r="B5" s="2393" t="s">
        <v>2077</v>
      </c>
      <c r="C5" s="1982"/>
      <c r="D5" s="2542"/>
      <c r="E5" s="2394" t="s">
        <v>2078</v>
      </c>
      <c r="F5" s="2542"/>
      <c r="G5" s="2542"/>
      <c r="H5" s="2542"/>
      <c r="I5" s="2542"/>
      <c r="J5" s="2542"/>
      <c r="K5" s="2542"/>
      <c r="L5" s="2542"/>
      <c r="M5" s="2542"/>
      <c r="N5" s="2542"/>
      <c r="O5" s="2542"/>
      <c r="P5" s="2542"/>
    </row>
    <row r="6" spans="1:16" ht="15.6">
      <c r="A6" s="2392" t="s">
        <v>2079</v>
      </c>
      <c r="B6" s="2385" t="e">
        <f ca="1">SUMIF(INDIRECT("'"&amp;A6&amp;"'"&amp;"!A:A"),"总价",INDIRECT("'"&amp;A6&amp;"'"&amp;"!B:B"))</f>
        <v>#DIV/0!</v>
      </c>
      <c r="C6" s="1981" t="s">
        <v>2073</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2073</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2073</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2073</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2073</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2073</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2073</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2073</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2" t="s">
        <v>1933</v>
      </c>
      <c r="B2" s="195" t="e">
        <f>C30</f>
        <v>#DIV/0!</v>
      </c>
      <c r="C2" s="1843" t="s">
        <v>1934</v>
      </c>
      <c r="D2" s="161" t="s">
        <v>1935</v>
      </c>
      <c r="E2" s="3118"/>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7">
        <v>1</v>
      </c>
      <c r="S2" s="3061">
        <f>ROUND(SUMPRODUCT((B106:B110=R2)*(C105:N105=G2)*(C106:N110)),4)</f>
        <v>0</v>
      </c>
      <c r="T2" s="3061" t="e">
        <f t="shared" ref="T2:T16" si="0">ROUND($C$5*$C$22*$C$23*$C$24*S2*$C$28,0)</f>
        <v>#DIV/0!</v>
      </c>
      <c r="U2" s="1128"/>
      <c r="V2" s="3061" t="e">
        <f>ROUND(T2*U2/10000,0)</f>
        <v>#DIV/0!</v>
      </c>
      <c r="W2" s="1131"/>
      <c r="X2" s="1131"/>
      <c r="Y2" s="1131"/>
      <c r="Z2" s="1131"/>
      <c r="AA2" s="1131"/>
      <c r="AB2" s="1131"/>
      <c r="AC2" s="1132"/>
      <c r="AD2" s="1133"/>
      <c r="AE2" s="1133"/>
      <c r="AF2" s="1133"/>
      <c r="AG2" s="1133"/>
      <c r="AH2" s="1133"/>
      <c r="AI2" s="1133"/>
      <c r="AJ2" s="1134"/>
    </row>
    <row r="3" spans="1:36" ht="15.6">
      <c r="A3" s="194" t="s">
        <v>1939</v>
      </c>
      <c r="B3" s="195" t="e">
        <f>ROUND(B2*10000/D1,0)</f>
        <v>#DIV/0!</v>
      </c>
      <c r="C3" s="1843" t="s">
        <v>1940</v>
      </c>
      <c r="D3" s="161" t="s">
        <v>1941</v>
      </c>
      <c r="E3" s="3116"/>
      <c r="F3" s="1845"/>
      <c r="G3" s="707">
        <f>IF(F3="宗地容积率",'数据-汇总表'!I4,IF(F3="估价对象容积率",'数据-汇总表'!I6,'数据-汇总表'!I7))</f>
        <v>0</v>
      </c>
      <c r="H3" s="161"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7">
        <v>2</v>
      </c>
      <c r="S3" s="3061">
        <f>ROUND(SUMPRODUCT((B106:B110=R3)*(C105:N105=G2)*(C106:N110)),4)</f>
        <v>0</v>
      </c>
      <c r="T3" s="3061" t="e">
        <f t="shared" si="0"/>
        <v>#DIV/0!</v>
      </c>
      <c r="U3" s="1128"/>
      <c r="V3" s="3061" t="e">
        <f t="shared" ref="V3:V16" si="1">ROUND(T3*U3/10000,0)</f>
        <v>#DIV/0!</v>
      </c>
      <c r="W3" s="1131"/>
      <c r="X3" s="1131"/>
      <c r="Y3" s="1131"/>
      <c r="Z3" s="1131"/>
      <c r="AA3" s="1131"/>
      <c r="AB3" s="1131"/>
      <c r="AC3" s="1132"/>
      <c r="AD3" s="1133"/>
      <c r="AE3" s="1133"/>
      <c r="AF3" s="1133"/>
      <c r="AG3" s="1133"/>
      <c r="AH3" s="1133"/>
      <c r="AI3" s="1133"/>
      <c r="AJ3" s="1134"/>
    </row>
    <row r="4" spans="1:36" ht="15.6">
      <c r="A4" s="3591"/>
      <c r="B4" s="3592"/>
      <c r="C4" s="3592"/>
      <c r="D4" s="3593"/>
      <c r="E4" s="3593"/>
      <c r="F4" s="3593"/>
      <c r="G4" s="3593"/>
      <c r="H4" s="3593"/>
      <c r="I4" s="3593"/>
      <c r="J4" s="3594"/>
      <c r="K4" s="1054"/>
      <c r="L4" s="1844" t="s">
        <v>1945</v>
      </c>
      <c r="M4" s="810">
        <f>SUMPRODUCT((区片价!B55:B86=I2)*(区片价!C3:G3=E2)*(区片价!C55:G86))</f>
        <v>0</v>
      </c>
      <c r="N4" s="812">
        <f>SUMPRODUCT((因素修正幅度!B55:B86=I2)*(因素修正幅度!C3:G3=E2)*(因素修正幅度!C55:G86))</f>
        <v>0</v>
      </c>
      <c r="O4" s="1054"/>
      <c r="P4" s="1054"/>
      <c r="Q4" s="1054"/>
      <c r="R4" s="1127">
        <v>3</v>
      </c>
      <c r="S4" s="3061">
        <f>ROUND(SUMPRODUCT((B106:B110=R4)*(C105:N105=G2)*(C106:N110)),4)</f>
        <v>0</v>
      </c>
      <c r="T4" s="3061" t="e">
        <f t="shared" si="0"/>
        <v>#DIV/0!</v>
      </c>
      <c r="U4" s="1128"/>
      <c r="V4" s="3061" t="e">
        <f t="shared" si="1"/>
        <v>#DIV/0!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1946</v>
      </c>
      <c r="C5" s="708" t="e">
        <f>ROUND(IF(E2="商业",C6*C7*C17+C20,(IF(E2="住宅",C6*C13*C17+C20,IF(E2="办公",C6*C12*C17+C20,C6+C20)))),0)</f>
        <v>#DIV/0!</v>
      </c>
      <c r="D5" s="1250" t="e">
        <f>ROUND(C6*C17+C20,0)</f>
        <v>#DIV/0!</v>
      </c>
      <c r="E5" s="1250"/>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7">
        <v>4</v>
      </c>
      <c r="S5" s="3061">
        <f>ROUND(SUMPRODUCT((B106:B110=R5)*(C105:N105=G2)*(C106:N110)),4)</f>
        <v>0</v>
      </c>
      <c r="T5" s="3061" t="e">
        <f t="shared" si="0"/>
        <v>#DIV/0!</v>
      </c>
      <c r="U5" s="1128"/>
      <c r="V5" s="3061" t="e">
        <f t="shared" si="1"/>
        <v>#DIV/0!</v>
      </c>
      <c r="W5" s="1131"/>
      <c r="X5" s="1131"/>
      <c r="Y5" s="1131"/>
      <c r="Z5" s="1131"/>
      <c r="AA5" s="1131"/>
      <c r="AB5" s="1131"/>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0"/>
      <c r="L6" s="1844" t="s">
        <v>1950</v>
      </c>
      <c r="M6" s="810">
        <f>SUMPRODUCT((区片价!B127:B189=I2)*(区片价!C3:G3=E2)*(区片价!C127:G189))</f>
        <v>0</v>
      </c>
      <c r="N6" s="812">
        <f>SUMPRODUCT((因素修正幅度!B127:B189=I2)*(因素修正幅度!C3:G3=E2)*(因素修正幅度!C127:G189))</f>
        <v>0</v>
      </c>
      <c r="O6" s="1054"/>
      <c r="P6" s="1054"/>
      <c r="Q6" s="1054"/>
      <c r="R6" s="1127">
        <v>5</v>
      </c>
      <c r="S6" s="3061">
        <f>ROUND(SUMPRODUCT((B106:B110=R6)*(C105:N105=G2)*(C106:N110)),4)</f>
        <v>0</v>
      </c>
      <c r="T6" s="3061" t="e">
        <f t="shared" si="0"/>
        <v>#DIV/0!</v>
      </c>
      <c r="U6" s="1128"/>
      <c r="V6" s="3061" t="e">
        <f t="shared" si="1"/>
        <v>#DIV/0!</v>
      </c>
      <c r="W6" s="1131"/>
      <c r="X6" s="1131"/>
      <c r="Y6" s="1131"/>
      <c r="Z6" s="1131"/>
      <c r="AA6" s="1131"/>
      <c r="AB6" s="1131"/>
      <c r="AC6" s="1852"/>
      <c r="AD6" s="1853"/>
      <c r="AE6" s="1853"/>
      <c r="AF6" s="1853"/>
      <c r="AG6" s="1853"/>
      <c r="AH6" s="1853"/>
      <c r="AI6" s="1853"/>
      <c r="AJ6" s="1854"/>
    </row>
    <row r="7" spans="1:36" ht="24.6" thickBot="1">
      <c r="A7" s="3010" t="s">
        <v>3239</v>
      </c>
      <c r="B7" s="1862" t="s">
        <v>1951</v>
      </c>
      <c r="C7" s="710" t="e">
        <f>IF(C8="不临65条商业街",1,ROUND(1+(1.6*E8+1.2*E9+0.8*E10+0.4*E11)*C9,4))</f>
        <v>#DIV/0!</v>
      </c>
      <c r="D7" s="1863" t="s">
        <v>1952</v>
      </c>
      <c r="E7" s="729"/>
      <c r="F7" s="1864"/>
      <c r="G7" s="1865"/>
      <c r="H7" s="1865"/>
      <c r="I7" s="1865"/>
      <c r="J7" s="1866"/>
      <c r="K7" s="1290"/>
      <c r="L7" s="1844" t="s">
        <v>1953</v>
      </c>
      <c r="M7" s="810">
        <f>SUMPRODUCT((区片价!B190:B233=I2)*(区片价!C3:G3=E2)*(区片价!C190:G233))</f>
        <v>0</v>
      </c>
      <c r="N7" s="812">
        <f>SUMPRODUCT((因素修正幅度!B190:B233=I2)*(因素修正幅度!C3:G3=E2)*(因素修正幅度!C190:G233))</f>
        <v>0</v>
      </c>
      <c r="O7" s="1054"/>
      <c r="P7" s="1054"/>
      <c r="Q7" s="1054"/>
      <c r="R7" s="1127">
        <v>6</v>
      </c>
      <c r="S7" s="3115"/>
      <c r="T7" s="3061" t="e">
        <f t="shared" si="0"/>
        <v>#DIV/0!</v>
      </c>
      <c r="U7" s="1128"/>
      <c r="V7" s="3061"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7"/>
      <c r="B8" s="161"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7">
        <v>7</v>
      </c>
      <c r="S8" s="1128"/>
      <c r="T8" s="3061" t="e">
        <f t="shared" si="0"/>
        <v>#DIV/0!</v>
      </c>
      <c r="U8" s="1128"/>
      <c r="V8" s="3061" t="e">
        <f t="shared" si="1"/>
        <v>#DIV/0!</v>
      </c>
      <c r="W8" s="3588" t="s">
        <v>1959</v>
      </c>
      <c r="X8" s="3589"/>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7"/>
      <c r="B9" s="161" t="s">
        <v>1972</v>
      </c>
      <c r="C9" s="713">
        <f>SUMIF(修正!C71:C138,C8,修正!E71:E138)</f>
        <v>0</v>
      </c>
      <c r="D9" s="162" t="s">
        <v>113</v>
      </c>
      <c r="E9" s="162"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7">
        <v>8</v>
      </c>
      <c r="S9" s="1128"/>
      <c r="T9" s="3061" t="e">
        <f t="shared" si="0"/>
        <v>#DIV/0!</v>
      </c>
      <c r="U9" s="1128"/>
      <c r="V9" s="3061" t="e">
        <f t="shared" si="1"/>
        <v>#DIV/0!</v>
      </c>
      <c r="W9" s="359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1975</v>
      </c>
      <c r="C10" s="162">
        <f>SUMIF(修正!C71:C138,C8,修正!F71:F138)</f>
        <v>0</v>
      </c>
      <c r="D10" s="162" t="s">
        <v>114</v>
      </c>
      <c r="E10" s="162"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7">
        <v>9</v>
      </c>
      <c r="S10" s="1128"/>
      <c r="T10" s="3061" t="e">
        <f t="shared" si="0"/>
        <v>#DIV/0!</v>
      </c>
      <c r="U10" s="1128"/>
      <c r="V10" s="3061" t="e">
        <f t="shared" si="1"/>
        <v>#DIV/0!</v>
      </c>
      <c r="W10" s="359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7">
        <v>10</v>
      </c>
      <c r="S11" s="1128"/>
      <c r="T11" s="3061" t="e">
        <f t="shared" si="0"/>
        <v>#DIV/0!</v>
      </c>
      <c r="U11" s="1128"/>
      <c r="V11" s="3061" t="e">
        <f t="shared" si="1"/>
        <v>#DIV/0!</v>
      </c>
      <c r="W11" s="1131"/>
      <c r="X11" s="1131"/>
      <c r="Y11" s="1131"/>
      <c r="Z11" s="1131"/>
      <c r="AA11" s="1131"/>
      <c r="AB11" s="1131"/>
      <c r="AC11" s="1132"/>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7">
        <v>11</v>
      </c>
      <c r="S12" s="1128"/>
      <c r="T12" s="3061" t="e">
        <f t="shared" si="0"/>
        <v>#DIV/0!</v>
      </c>
      <c r="U12" s="1128"/>
      <c r="V12" s="3061" t="e">
        <f t="shared" si="1"/>
        <v>#DIV/0!</v>
      </c>
      <c r="W12" s="1131"/>
      <c r="X12" s="1131"/>
      <c r="Y12" s="1131"/>
      <c r="Z12" s="1131"/>
      <c r="AA12" s="1131"/>
      <c r="AB12" s="1131"/>
      <c r="AC12" s="1132"/>
      <c r="AD12" s="2551"/>
      <c r="AE12" s="2551"/>
      <c r="AF12" s="2551"/>
      <c r="AG12" s="2551"/>
      <c r="AH12" s="2551"/>
      <c r="AI12" s="2551"/>
      <c r="AJ12" s="2552"/>
    </row>
    <row r="13" spans="1:36" ht="24.6" thickBot="1">
      <c r="A13" s="3010" t="s">
        <v>3244</v>
      </c>
      <c r="B13" s="1875" t="s">
        <v>1981</v>
      </c>
      <c r="C13" s="710">
        <f>ROUND(C16*D16*E16*F16*G16*H16*I16*J16,4)</f>
        <v>0</v>
      </c>
      <c r="D13" s="1876" t="s">
        <v>1982</v>
      </c>
      <c r="E13" s="1877"/>
      <c r="F13" s="1877"/>
      <c r="G13" s="1878"/>
      <c r="H13" s="1878"/>
      <c r="I13" s="1878"/>
      <c r="J13" s="1879"/>
      <c r="K13" s="1054"/>
      <c r="L13" s="3"/>
      <c r="M13" s="4"/>
      <c r="N13" s="3008"/>
      <c r="O13" s="1054"/>
      <c r="P13" s="1054"/>
      <c r="Q13" s="1054"/>
      <c r="R13" s="1127">
        <v>12</v>
      </c>
      <c r="S13" s="1128"/>
      <c r="T13" s="3061" t="e">
        <f t="shared" si="0"/>
        <v>#DIV/0!</v>
      </c>
      <c r="U13" s="1128"/>
      <c r="V13" s="3061" t="e">
        <f t="shared" si="1"/>
        <v>#DIV/0!</v>
      </c>
      <c r="W13" s="1131"/>
      <c r="X13" s="1131"/>
      <c r="Y13" s="1131"/>
      <c r="Z13" s="1131"/>
      <c r="AA13" s="1131"/>
      <c r="AB13" s="1131"/>
      <c r="AC13" s="1132"/>
      <c r="AD13" s="2551"/>
      <c r="AE13" s="2551"/>
      <c r="AF13" s="2551"/>
      <c r="AG13" s="2551"/>
      <c r="AH13" s="2551"/>
      <c r="AI13" s="2551"/>
      <c r="AJ13" s="2552"/>
    </row>
    <row r="14" spans="1:36" ht="24">
      <c r="A14" s="3006"/>
      <c r="B14" s="1880" t="s">
        <v>1984</v>
      </c>
      <c r="C14" s="1881" t="s">
        <v>1985</v>
      </c>
      <c r="D14" s="1259" t="s">
        <v>1986</v>
      </c>
      <c r="E14" s="27" t="s">
        <v>1987</v>
      </c>
      <c r="F14" s="3018" t="s">
        <v>3245</v>
      </c>
      <c r="G14" s="3018" t="s">
        <v>3245</v>
      </c>
      <c r="H14" s="3018" t="s">
        <v>3245</v>
      </c>
      <c r="I14" s="3018" t="s">
        <v>3245</v>
      </c>
      <c r="J14" s="3018" t="s">
        <v>3245</v>
      </c>
      <c r="K14" s="1054"/>
      <c r="L14" s="1054"/>
      <c r="M14" s="1054"/>
      <c r="N14" s="1054"/>
      <c r="O14" s="1054"/>
      <c r="P14" s="1054"/>
      <c r="Q14" s="1054"/>
      <c r="R14" s="1127">
        <v>13</v>
      </c>
      <c r="S14" s="1128"/>
      <c r="T14" s="3061" t="e">
        <f t="shared" si="0"/>
        <v>#DIV/0!</v>
      </c>
      <c r="U14" s="1128"/>
      <c r="V14" s="3061" t="e">
        <f t="shared" si="1"/>
        <v>#DIV/0!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8" t="s">
        <v>3246</v>
      </c>
      <c r="G15" s="1925"/>
      <c r="H15" s="3019"/>
      <c r="I15" s="3020"/>
      <c r="J15" s="3021"/>
      <c r="K15" s="1054"/>
      <c r="L15" s="1054"/>
      <c r="M15" s="1054"/>
      <c r="N15" s="1054"/>
      <c r="O15" s="1054"/>
      <c r="P15" s="1054"/>
      <c r="Q15" s="1054"/>
      <c r="R15" s="1127">
        <v>14</v>
      </c>
      <c r="S15" s="1128"/>
      <c r="T15" s="3061" t="e">
        <f t="shared" si="0"/>
        <v>#DIV/0!</v>
      </c>
      <c r="U15" s="1128"/>
      <c r="V15" s="3061" t="e">
        <f t="shared" si="1"/>
        <v>#DIV/0!</v>
      </c>
      <c r="W15" s="1131"/>
      <c r="X15" s="1131"/>
      <c r="Y15" s="1131"/>
      <c r="Z15" s="1131"/>
      <c r="AA15" s="1131"/>
      <c r="AB15" s="1131"/>
      <c r="AC15" s="1132"/>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4"/>
      <c r="L16" s="1841"/>
      <c r="M16" s="1841"/>
      <c r="N16" s="1841"/>
      <c r="O16" s="1841"/>
      <c r="P16" s="1841"/>
      <c r="Q16" s="1054"/>
      <c r="R16" s="1127">
        <v>15</v>
      </c>
      <c r="S16" s="1128"/>
      <c r="T16" s="3061" t="e">
        <f t="shared" si="0"/>
        <v>#DIV/0!</v>
      </c>
      <c r="U16" s="1128"/>
      <c r="V16" s="3061" t="e">
        <f t="shared" si="1"/>
        <v>#DIV/0!</v>
      </c>
      <c r="W16" s="1131"/>
      <c r="X16" s="1131"/>
      <c r="Y16" s="1131"/>
      <c r="Z16" s="1131"/>
      <c r="AA16" s="1131"/>
      <c r="AB16" s="1131"/>
      <c r="AC16" s="1132"/>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95" t="s">
        <v>3256</v>
      </c>
      <c r="B20" s="158" t="s">
        <v>1993</v>
      </c>
      <c r="C20" s="3029" t="e">
        <f>ROUND(IF(F21="与级别开发程度一致",0,(G21-E21)/C21),0)</f>
        <v>#DIV/0!</v>
      </c>
      <c r="D20" s="3044" t="s">
        <v>1997</v>
      </c>
      <c r="E20" s="3045"/>
      <c r="F20" s="3601" t="s">
        <v>1994</v>
      </c>
      <c r="G20" s="3602"/>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4.4" thickBot="1">
      <c r="A21" s="3596"/>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1999</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2001</v>
      </c>
      <c r="E23" s="716">
        <v>44197</v>
      </c>
      <c r="F23" s="1893" t="s">
        <v>2002</v>
      </c>
      <c r="G23" s="717">
        <f>'数据-取费表'!B2</f>
        <v>45646</v>
      </c>
      <c r="H23" s="3046" t="s">
        <v>3258</v>
      </c>
      <c r="I23" s="3047" t="str">
        <f>IF(H23="季度增幅（自定义）",SUMIF(N25:N28,E2,O25:O28),"")</f>
        <v/>
      </c>
      <c r="J23" s="3139" t="s">
        <v>3257</v>
      </c>
      <c r="K23" s="1059"/>
      <c r="L23" s="1894" t="s">
        <v>2003</v>
      </c>
      <c r="M23" s="1239">
        <f>ROUND(SUMIF(地价!B2:G2,E2,地价!B16:G16),0)</f>
        <v>0</v>
      </c>
      <c r="N23" s="1895" t="s">
        <v>2004</v>
      </c>
      <c r="O23" s="718">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6">
        <f>存贷款利率!E24/100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40">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3336</v>
      </c>
      <c r="C25" s="460">
        <f>IF(B25="容积率修正",IF(G3&lt;10,D26,J26),C27)</f>
        <v>0</v>
      </c>
      <c r="D25" s="1906"/>
      <c r="E25" s="1906"/>
      <c r="F25" s="1906"/>
      <c r="G25" s="1906"/>
      <c r="H25" s="1906"/>
      <c r="I25" s="1906"/>
      <c r="J25" s="1907"/>
      <c r="K25" s="1059"/>
      <c r="L25" s="2550"/>
      <c r="M25" s="2550"/>
      <c r="N25" s="1908" t="s">
        <v>2012</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3259</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3260</v>
      </c>
      <c r="J26" s="373" t="str">
        <f>IF(G3&gt;=10,D115,"——")</f>
        <v>——</v>
      </c>
      <c r="K26" s="1059"/>
      <c r="L26" s="2550"/>
      <c r="M26" s="2550"/>
      <c r="N26" s="1908" t="s">
        <v>2015</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50"/>
      <c r="M28" s="2550"/>
      <c r="N28" s="1918"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7" t="s">
        <v>2022</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53" t="s">
        <v>1935</v>
      </c>
      <c r="M30" s="3054" t="s">
        <v>1989</v>
      </c>
      <c r="N30" s="3054" t="s">
        <v>1990</v>
      </c>
      <c r="O30" s="3054" t="s">
        <v>1991</v>
      </c>
      <c r="P30" s="3054" t="s">
        <v>1992</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5" t="s">
        <v>1995</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6" t="s">
        <v>1998</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6" t="e">
        <f>ROUND(C5*C22*C23*C24*C25*C28,0)</f>
        <v>#DIV/0!</v>
      </c>
      <c r="D33" s="1937"/>
      <c r="E33" s="726" t="e">
        <f>ROUND(C33*D33/10000,0)</f>
        <v>#DIV/0!</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9" t="s">
        <v>3263</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3267</v>
      </c>
      <c r="L36" s="3140">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99"/>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52"/>
      <c r="K37" s="3059" t="s">
        <v>3268</v>
      </c>
      <c r="L37" s="1961">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0"/>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00"/>
      <c r="B39" s="1881" t="s">
        <v>3261</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2" t="e">
        <f>ROUND(POWER(1+E44,H44-G44)*(POWER(1+E44,G44)-1)/(POWER(1+E44,H44)-1),4)</f>
        <v>#DIV/0!</v>
      </c>
      <c r="D44" s="162" t="s">
        <v>1998</v>
      </c>
      <c r="E44" s="1988">
        <f>G24</f>
        <v>0</v>
      </c>
      <c r="F44" s="162" t="s">
        <v>2007</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4" t="s">
        <v>2042</v>
      </c>
      <c r="B48" s="1965">
        <f>1+E50</f>
        <v>1</v>
      </c>
      <c r="C48" s="1724"/>
      <c r="D48" s="698"/>
      <c r="E48" s="699"/>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7" t="s">
        <v>2043</v>
      </c>
      <c r="B49" s="1260" t="s">
        <v>2044</v>
      </c>
      <c r="C49" s="1260" t="s">
        <v>2045</v>
      </c>
      <c r="D49" s="1260" t="s">
        <v>2046</v>
      </c>
      <c r="E49" s="700" t="s">
        <v>2047</v>
      </c>
      <c r="F49" s="1968" t="s">
        <v>2048</v>
      </c>
      <c r="G49" s="1260" t="s">
        <v>310</v>
      </c>
      <c r="H49" s="1969" t="s">
        <v>2049</v>
      </c>
      <c r="I49" s="1260" t="s">
        <v>2050</v>
      </c>
      <c r="J49" s="529" t="s">
        <v>1720</v>
      </c>
      <c r="K49" s="529" t="s">
        <v>1721</v>
      </c>
      <c r="L49" s="529" t="s">
        <v>1722</v>
      </c>
      <c r="M49" s="529" t="s">
        <v>1723</v>
      </c>
      <c r="N49" s="529"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2.8">
      <c r="A51" s="1967" t="s">
        <v>2052</v>
      </c>
      <c r="B51" s="1260" t="str">
        <f>估价对象房地状况!C18</f>
        <v>估价对象周边道路状况、公共交通通达情况、停车便捷程度，综合评价交通便捷度较好</v>
      </c>
      <c r="C51" s="1884"/>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48">
      <c r="A52" s="3068" t="s">
        <v>3271</v>
      </c>
      <c r="B52" s="1260">
        <f>估价对象房地状况!C19</f>
        <v>0</v>
      </c>
      <c r="C52" s="1884"/>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7" t="s">
        <v>2055</v>
      </c>
      <c r="B54" s="1260">
        <f>估价对象房地状况!C24</f>
        <v>0</v>
      </c>
      <c r="C54" s="1884"/>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6.4">
      <c r="A56" s="1973" t="s">
        <v>2058</v>
      </c>
      <c r="B56" s="1238" t="str">
        <f>估价对象房地状况!C21</f>
        <v>估价对象所在区域公共配套设施齐备情况</v>
      </c>
      <c r="C56" s="1884"/>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6.4">
      <c r="A57" s="1973" t="s">
        <v>2059</v>
      </c>
      <c r="B57" s="1260" t="str">
        <f>估价对象房地状况!C22</f>
        <v>估价对象所在区域基础设施水平</v>
      </c>
      <c r="C57" s="1884"/>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60"/>
      <c r="C60" s="1260" t="s">
        <v>2045</v>
      </c>
      <c r="D60" s="1260" t="s">
        <v>2046</v>
      </c>
      <c r="E60" s="700" t="s">
        <v>2047</v>
      </c>
      <c r="F60" s="1968" t="s">
        <v>2062</v>
      </c>
      <c r="G60" s="1260" t="s">
        <v>310</v>
      </c>
      <c r="H60" s="1969" t="s">
        <v>2049</v>
      </c>
      <c r="I60" s="1260" t="s">
        <v>2050</v>
      </c>
      <c r="J60" s="529" t="s">
        <v>1720</v>
      </c>
      <c r="K60" s="529" t="s">
        <v>1721</v>
      </c>
      <c r="L60" s="529" t="s">
        <v>1722</v>
      </c>
      <c r="M60" s="529" t="s">
        <v>1723</v>
      </c>
      <c r="N60" s="529" t="s">
        <v>1724</v>
      </c>
      <c r="AA60" s="1055"/>
      <c r="AB60" s="1055"/>
      <c r="AC60" s="1055"/>
      <c r="AD60" s="1055"/>
      <c r="AE60" s="1055"/>
      <c r="AF60" s="1055"/>
      <c r="AG60" s="1055"/>
      <c r="AH60" s="1055"/>
      <c r="AI60" s="1055"/>
      <c r="AJ60" s="1055"/>
      <c r="AK60" s="1055"/>
    </row>
    <row r="61" spans="1:37" s="1054"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2.8">
      <c r="A62" s="1967" t="s">
        <v>2052</v>
      </c>
      <c r="B62" s="1260" t="str">
        <f>估价对象房地状况!C18</f>
        <v>估价对象周边道路状况、公共交通通达情况、停车便捷程度，综合评价交通便捷度较好</v>
      </c>
      <c r="C62" s="1884"/>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8" t="s">
        <v>3271</v>
      </c>
      <c r="B63" s="1260">
        <f>估价对象房地状况!C19</f>
        <v>0</v>
      </c>
      <c r="C63" s="1884"/>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7" t="s">
        <v>2055</v>
      </c>
      <c r="B65" s="1260">
        <f>估价对象房地状况!C24</f>
        <v>0</v>
      </c>
      <c r="C65" s="1884"/>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6.4">
      <c r="A67" s="1967" t="s">
        <v>2058</v>
      </c>
      <c r="B67" s="1238" t="str">
        <f>估价对象房地状况!C21</f>
        <v>估价对象所在区域公共配套设施齐备情况</v>
      </c>
      <c r="C67" s="1884"/>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6.4">
      <c r="A68" s="1967" t="s">
        <v>2059</v>
      </c>
      <c r="B68" s="1238" t="str">
        <f>估价对象房地状况!C22</f>
        <v>估价对象所在区域基础设施水平</v>
      </c>
      <c r="C68" s="1884"/>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60"/>
      <c r="C71" s="1260" t="s">
        <v>2045</v>
      </c>
      <c r="D71" s="1260" t="s">
        <v>2046</v>
      </c>
      <c r="E71" s="700" t="s">
        <v>2047</v>
      </c>
      <c r="F71" s="1968" t="s">
        <v>2062</v>
      </c>
      <c r="G71" s="1260" t="s">
        <v>310</v>
      </c>
      <c r="H71" s="1969" t="s">
        <v>2049</v>
      </c>
      <c r="I71" s="1260" t="s">
        <v>2050</v>
      </c>
      <c r="J71" s="529" t="s">
        <v>1720</v>
      </c>
      <c r="K71" s="529" t="s">
        <v>1721</v>
      </c>
      <c r="L71" s="529" t="s">
        <v>1722</v>
      </c>
      <c r="M71" s="529" t="s">
        <v>1723</v>
      </c>
      <c r="N71" s="529" t="s">
        <v>1724</v>
      </c>
      <c r="AA71" s="1055"/>
      <c r="AB71" s="1055"/>
      <c r="AC71" s="1055"/>
      <c r="AD71" s="1055"/>
      <c r="AE71" s="1055"/>
      <c r="AF71" s="1055"/>
      <c r="AG71" s="1055"/>
      <c r="AH71" s="1055"/>
      <c r="AI71" s="1055"/>
      <c r="AJ71" s="1055"/>
      <c r="AK71" s="1055"/>
    </row>
    <row r="72" spans="1:37" s="1054"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2.8">
      <c r="A73" s="1967" t="s">
        <v>2052</v>
      </c>
      <c r="B73" s="1260" t="str">
        <f>估价对象房地状况!C18</f>
        <v>估价对象周边道路状况、公共交通通达情况、停车便捷程度，综合评价交通便捷度较好</v>
      </c>
      <c r="C73" s="1884"/>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1" customFormat="1" ht="48">
      <c r="A74" s="3068" t="s">
        <v>3271</v>
      </c>
      <c r="B74" s="1260">
        <f>估价对象房地状况!C19</f>
        <v>0</v>
      </c>
      <c r="C74" s="1884"/>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4"/>
      <c r="P74" s="1054"/>
      <c r="Q74" s="1054"/>
      <c r="AA74" s="1977"/>
      <c r="AB74" s="1055"/>
      <c r="AC74" s="1055"/>
      <c r="AD74" s="1055"/>
      <c r="AE74" s="1055"/>
      <c r="AF74" s="1055"/>
      <c r="AG74" s="1055"/>
      <c r="AH74" s="1977"/>
      <c r="AI74" s="1977"/>
      <c r="AJ74" s="1977"/>
      <c r="AK74" s="1977"/>
    </row>
    <row r="75" spans="1:37" ht="13.8">
      <c r="A75" s="1967" t="s">
        <v>2066</v>
      </c>
      <c r="B75" s="1260">
        <f>估价对象房地状况!C24</f>
        <v>0</v>
      </c>
      <c r="C75" s="1884"/>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4"/>
      <c r="P75" s="1054"/>
      <c r="Q75" s="1841"/>
      <c r="Z75" s="1842"/>
      <c r="AA75" s="1892"/>
      <c r="AG75" s="1056"/>
      <c r="AK75" s="1892"/>
    </row>
    <row r="76" spans="1:37" ht="26.4">
      <c r="A76" s="1967" t="s">
        <v>2058</v>
      </c>
      <c r="B76" s="1238" t="str">
        <f>估价对象房地状况!C21</f>
        <v>估价对象所在区域公共配套设施齐备情况</v>
      </c>
      <c r="C76" s="1884"/>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4"/>
      <c r="P76" s="1054"/>
      <c r="Z76" s="1842"/>
      <c r="AA76" s="1892"/>
      <c r="AG76" s="1056"/>
      <c r="AK76" s="1892"/>
    </row>
    <row r="77" spans="1:37" ht="26.4">
      <c r="A77" s="1967" t="s">
        <v>2059</v>
      </c>
      <c r="B77" s="1238" t="str">
        <f>估价对象房地状况!C22</f>
        <v>估价对象所在区域基础设施水平</v>
      </c>
      <c r="C77" s="1884"/>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4"/>
      <c r="P77" s="1054"/>
      <c r="Z77" s="1842"/>
      <c r="AA77" s="1892"/>
      <c r="AG77" s="1056"/>
      <c r="AK77" s="1892"/>
    </row>
    <row r="78" spans="1:37" ht="36">
      <c r="A78" s="1967" t="s">
        <v>2056</v>
      </c>
      <c r="B78" s="1972" t="s">
        <v>2057</v>
      </c>
      <c r="C78" s="1884"/>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2"/>
      <c r="AA79" s="1892"/>
      <c r="AG79" s="1056"/>
      <c r="AK79" s="1892"/>
    </row>
    <row r="80" spans="1:37" ht="36.6" thickBot="1">
      <c r="A80" s="1974" t="s">
        <v>2067</v>
      </c>
      <c r="B80" s="1978"/>
      <c r="C80" s="1884"/>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60"/>
      <c r="C82" s="1260" t="s">
        <v>2045</v>
      </c>
      <c r="D82" s="1260" t="s">
        <v>2046</v>
      </c>
      <c r="E82" s="700" t="s">
        <v>2047</v>
      </c>
      <c r="F82" s="1968" t="s">
        <v>2062</v>
      </c>
      <c r="G82" s="1260" t="s">
        <v>310</v>
      </c>
      <c r="H82" s="1969" t="s">
        <v>2049</v>
      </c>
      <c r="I82" s="1260" t="s">
        <v>2050</v>
      </c>
      <c r="J82" s="529" t="s">
        <v>1720</v>
      </c>
      <c r="K82" s="529" t="s">
        <v>1721</v>
      </c>
      <c r="L82" s="529" t="s">
        <v>1722</v>
      </c>
      <c r="M82" s="529" t="s">
        <v>1723</v>
      </c>
      <c r="N82" s="529" t="s">
        <v>1724</v>
      </c>
      <c r="Z82" s="1842"/>
      <c r="AA82" s="1892"/>
      <c r="AG82" s="1056"/>
      <c r="AK82" s="1892"/>
    </row>
    <row r="83" spans="1:37" ht="39.6">
      <c r="A83" s="1967" t="s">
        <v>2069</v>
      </c>
      <c r="B83" s="1260" t="str">
        <f>估价对象房地状况!G15</f>
        <v>估价对象位于XX开发区，园区建设成熟度XX，产业集聚程度XX</v>
      </c>
      <c r="C83" s="1884"/>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2"/>
      <c r="AA83" s="1892"/>
      <c r="AG83" s="1056"/>
      <c r="AK83" s="1892"/>
    </row>
    <row r="84" spans="1:37" ht="52.8">
      <c r="A84" s="1967" t="s">
        <v>2052</v>
      </c>
      <c r="B84" s="1260" t="str">
        <f>估价对象房地状况!G16</f>
        <v>估价对象周边道路状况、公共交通通达情况、停车便捷程度，综合评价交通便捷度较好</v>
      </c>
      <c r="C84" s="1884"/>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2"/>
      <c r="AA84" s="1892"/>
      <c r="AG84" s="1056"/>
      <c r="AK84" s="1892"/>
    </row>
    <row r="85" spans="1:37" ht="48">
      <c r="A85" s="3068" t="s">
        <v>3272</v>
      </c>
      <c r="B85" s="1260">
        <f>估价对象房地状况!G17</f>
        <v>0</v>
      </c>
      <c r="C85" s="1884"/>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2"/>
      <c r="AA85" s="1892"/>
      <c r="AG85" s="1056"/>
      <c r="AK85" s="1892"/>
    </row>
    <row r="86" spans="1:37" ht="13.8">
      <c r="A86" s="1967" t="s">
        <v>2066</v>
      </c>
      <c r="B86" s="1260">
        <f>估价对象房地状况!G22</f>
        <v>0</v>
      </c>
      <c r="C86" s="1884"/>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2"/>
      <c r="AA86" s="1892"/>
      <c r="AG86" s="1056"/>
      <c r="AK86" s="1892"/>
    </row>
    <row r="87" spans="1:37" ht="26.4">
      <c r="A87" s="1967" t="s">
        <v>2058</v>
      </c>
      <c r="B87" s="1238" t="str">
        <f>估价对象房地状况!G19</f>
        <v>估价对象所在区域公共配套设施齐备情况</v>
      </c>
      <c r="C87" s="1884"/>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6.4">
      <c r="A88" s="1967" t="s">
        <v>2059</v>
      </c>
      <c r="B88" s="1238" t="str">
        <f>估价对象房地状况!G20</f>
        <v>估价对象所在区域基础设施水平</v>
      </c>
      <c r="C88" s="1884"/>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4" t="s">
        <v>2071</v>
      </c>
      <c r="B90" s="1979" t="str">
        <f>估价对象房地状况!G18</f>
        <v>该园区内是否有污染型企业，绿化情况，卫生条件，整体环境状况判断</v>
      </c>
      <c r="C90" s="1884"/>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3"/>
      <c r="F91" s="1673"/>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9"/>
      <c r="C93" s="1884"/>
      <c r="D93" s="2307">
        <f>SUMIF($J$92:$N$92,C93,J93:N93)</f>
        <v>0</v>
      </c>
      <c r="E93" s="3081">
        <f>ROUND(SUM(D93:D101),4)</f>
        <v>0</v>
      </c>
      <c r="F93" s="1673"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3"/>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3"/>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3"/>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3"/>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3"/>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3"/>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3"/>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3"/>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97" t="s">
        <v>3296</v>
      </c>
      <c r="B103" s="3597"/>
      <c r="C103" s="3597"/>
      <c r="D103" s="3597"/>
      <c r="E103" s="3597"/>
      <c r="F103" s="3597"/>
      <c r="G103" s="3597"/>
      <c r="H103" s="3597"/>
      <c r="I103" s="3597"/>
      <c r="J103" s="3597"/>
      <c r="K103" s="1665"/>
      <c r="L103" s="1665"/>
      <c r="M103" s="1665"/>
      <c r="N103" s="1665"/>
    </row>
    <row r="104" spans="1:14">
      <c r="A104" s="3598" t="s">
        <v>3297</v>
      </c>
      <c r="B104" s="3598" t="s">
        <v>3298</v>
      </c>
      <c r="C104" s="3088" t="s">
        <v>3299</v>
      </c>
      <c r="D104" s="3089"/>
      <c r="E104" s="3089"/>
      <c r="F104" s="3089"/>
      <c r="G104" s="3089"/>
      <c r="H104" s="3089"/>
      <c r="I104" s="3089"/>
      <c r="J104" s="3090"/>
      <c r="K104" s="3091"/>
      <c r="L104" s="3091"/>
      <c r="M104" s="3091"/>
      <c r="N104" s="3091"/>
    </row>
    <row r="105" spans="1:14">
      <c r="A105" s="3598"/>
      <c r="B105" s="359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8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8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8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8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8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8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8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87" t="s">
        <v>3313</v>
      </c>
      <c r="B113" s="3587"/>
      <c r="C113" s="3587"/>
      <c r="D113" s="3587"/>
      <c r="E113" s="3587"/>
      <c r="F113" s="3587"/>
      <c r="G113" s="3587"/>
      <c r="H113" s="3587"/>
      <c r="I113" s="3587"/>
      <c r="J113" s="358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15" t="str">
        <f>IF(项目基本情况!B9="房地产市场价值","估价结果一览表","结果表-2")</f>
        <v>估价结果一览表</v>
      </c>
      <c r="B1" s="3315"/>
      <c r="C1" s="3315"/>
      <c r="D1" s="3315"/>
      <c r="E1" s="3315"/>
      <c r="F1" s="3315"/>
      <c r="G1" s="3315"/>
      <c r="H1" s="3315"/>
      <c r="I1" s="3315"/>
    </row>
    <row r="2" spans="1:9" ht="30" customHeight="1" thickTop="1">
      <c r="A2" s="3316" t="s">
        <v>928</v>
      </c>
      <c r="B2" s="3316" t="s">
        <v>929</v>
      </c>
      <c r="C2" s="3316" t="s">
        <v>930</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6">
      <c r="A3" s="3311"/>
      <c r="B3" s="3311"/>
      <c r="C3" s="3311"/>
      <c r="D3" s="800" t="s">
        <v>925</v>
      </c>
      <c r="E3" s="800" t="s">
        <v>931</v>
      </c>
      <c r="F3" s="800" t="s">
        <v>925</v>
      </c>
      <c r="G3" s="800" t="s">
        <v>926</v>
      </c>
      <c r="H3" s="800" t="s">
        <v>925</v>
      </c>
      <c r="I3" s="800" t="s">
        <v>926</v>
      </c>
    </row>
    <row r="4" spans="1:9" ht="15">
      <c r="A4" s="1401"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11" t="s">
        <v>927</v>
      </c>
      <c r="B5" s="3311"/>
      <c r="C5" s="3311"/>
      <c r="D5" s="3311" t="e">
        <f ca="1">结果表!D119</f>
        <v>#REF!</v>
      </c>
      <c r="E5" s="3311"/>
      <c r="F5" s="3311" t="e">
        <f ca="1">结果表!F119</f>
        <v>#REF!</v>
      </c>
      <c r="G5" s="3311"/>
      <c r="H5" s="3311" t="e">
        <f ca="1">结果表!H119</f>
        <v>#REF!</v>
      </c>
      <c r="I5" s="3311"/>
    </row>
    <row r="6" spans="1:9" ht="15.6">
      <c r="A6" s="3310" t="str">
        <f>结果表!A120</f>
        <v/>
      </c>
      <c r="B6" s="3310"/>
      <c r="C6" s="3310"/>
      <c r="D6" s="3310">
        <f>结果表!D120</f>
        <v>0</v>
      </c>
      <c r="E6" s="3310"/>
      <c r="F6" s="3310"/>
      <c r="G6" s="3310"/>
      <c r="H6" s="3310"/>
      <c r="I6" s="3310"/>
    </row>
    <row r="7" spans="1:9" ht="15">
      <c r="A7" s="3311" t="s">
        <v>927</v>
      </c>
      <c r="B7" s="3311"/>
      <c r="C7" s="3311"/>
      <c r="D7" s="3312" t="str">
        <f>结果表!D121</f>
        <v>零元整</v>
      </c>
      <c r="E7" s="3313"/>
      <c r="F7" s="3313"/>
      <c r="G7" s="3313"/>
      <c r="H7" s="3313"/>
      <c r="I7" s="3314"/>
    </row>
    <row r="8" spans="1:9" ht="15.6">
      <c r="A8" s="3310" t="str">
        <f>结果表!A122</f>
        <v/>
      </c>
      <c r="B8" s="3310"/>
      <c r="C8" s="3310"/>
      <c r="D8" s="3310" t="e">
        <f ca="1">结果表!D122</f>
        <v>#REF!</v>
      </c>
      <c r="E8" s="3310"/>
      <c r="F8" s="3310"/>
      <c r="G8" s="3310"/>
      <c r="H8" s="3310"/>
      <c r="I8" s="3310"/>
    </row>
    <row r="9" spans="1:9" ht="15">
      <c r="A9" s="3311" t="s">
        <v>927</v>
      </c>
      <c r="B9" s="3311"/>
      <c r="C9" s="3311"/>
      <c r="D9" s="3311" t="e">
        <f ca="1">结果表!D123</f>
        <v>#REF!</v>
      </c>
      <c r="E9" s="3311"/>
      <c r="F9" s="3311"/>
      <c r="G9" s="3311"/>
      <c r="H9" s="3311"/>
      <c r="I9" s="3311"/>
    </row>
    <row r="10" spans="1:9" ht="15.6">
      <c r="A10" s="3310" t="str">
        <f>结果表!A124</f>
        <v/>
      </c>
      <c r="B10" s="3310"/>
      <c r="C10" s="3310"/>
      <c r="D10" s="3310" t="str">
        <f>结果表!D124</f>
        <v>——</v>
      </c>
      <c r="E10" s="3310"/>
      <c r="F10" s="3310"/>
      <c r="G10" s="3310"/>
      <c r="H10" s="3310"/>
      <c r="I10" s="3310"/>
    </row>
    <row r="11" spans="1:9" ht="15">
      <c r="A11" s="3311" t="s">
        <v>927</v>
      </c>
      <c r="B11" s="3311"/>
      <c r="C11" s="3311"/>
      <c r="D11" s="3311" t="e">
        <f>结果表!D125</f>
        <v>#VALUE!</v>
      </c>
      <c r="E11" s="3311"/>
      <c r="F11" s="3311"/>
      <c r="G11" s="3311"/>
      <c r="H11" s="3311"/>
      <c r="I11" s="3311"/>
    </row>
    <row r="12" spans="1:9" ht="15.6">
      <c r="A12" s="3310" t="str">
        <f>结果表!A126</f>
        <v/>
      </c>
      <c r="B12" s="3310"/>
      <c r="C12" s="3310"/>
      <c r="D12" s="3310" t="str">
        <f>结果表!D126</f>
        <v>——</v>
      </c>
      <c r="E12" s="3310"/>
      <c r="F12" s="3310"/>
      <c r="G12" s="3310"/>
      <c r="H12" s="3310"/>
      <c r="I12" s="3310"/>
    </row>
    <row r="13" spans="1:9" ht="15.6" thickBot="1">
      <c r="A13" s="3308" t="s">
        <v>927</v>
      </c>
      <c r="B13" s="3308"/>
      <c r="C13" s="3308"/>
      <c r="D13" s="3308" t="e">
        <f>结果表!D127</f>
        <v>#VALUE!</v>
      </c>
      <c r="E13" s="3308"/>
      <c r="F13" s="3308"/>
      <c r="G13" s="3308"/>
      <c r="H13" s="3308"/>
      <c r="I13" s="3308"/>
    </row>
    <row r="14" spans="1:9" ht="14.4" thickTop="1">
      <c r="A14" s="3309" t="s">
        <v>932</v>
      </c>
      <c r="B14" s="3309"/>
      <c r="C14" s="3309"/>
      <c r="D14" s="3309"/>
      <c r="E14" s="3309"/>
      <c r="F14" s="3309"/>
      <c r="G14" s="3309"/>
      <c r="H14" s="3309"/>
      <c r="I14" s="3309"/>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612" t="s">
        <v>2609</v>
      </c>
      <c r="B20" s="3607" t="s">
        <v>2630</v>
      </c>
      <c r="C20" s="2840" t="s">
        <v>2441</v>
      </c>
      <c r="D20" s="2841"/>
      <c r="E20" s="2842">
        <v>1</v>
      </c>
      <c r="F20" s="2843" t="s">
        <v>2442</v>
      </c>
      <c r="G20" s="2843"/>
    </row>
    <row r="21" spans="1:13" ht="19.5" customHeight="1">
      <c r="A21" s="3613"/>
      <c r="B21" s="3606"/>
      <c r="C21" s="2844" t="s">
        <v>2443</v>
      </c>
      <c r="D21" s="2845"/>
      <c r="E21" s="2846">
        <v>1</v>
      </c>
      <c r="F21" s="2843" t="s">
        <v>2444</v>
      </c>
      <c r="G21" s="2843"/>
    </row>
    <row r="22" spans="1:13" ht="19.5" customHeight="1">
      <c r="A22" s="3613"/>
      <c r="B22" s="3606"/>
      <c r="C22" s="2844" t="s">
        <v>2445</v>
      </c>
      <c r="D22" s="2845"/>
      <c r="E22" s="2846">
        <v>0.9</v>
      </c>
      <c r="F22" s="2843" t="s">
        <v>2446</v>
      </c>
      <c r="G22" s="2843"/>
    </row>
    <row r="23" spans="1:13" ht="19.5" customHeight="1">
      <c r="A23" s="3613"/>
      <c r="B23" s="3606"/>
      <c r="C23" s="2844" t="s">
        <v>2447</v>
      </c>
      <c r="D23" s="2845"/>
      <c r="E23" s="2846">
        <v>0.9</v>
      </c>
      <c r="F23" s="2843" t="s">
        <v>2448</v>
      </c>
      <c r="G23" s="2843"/>
    </row>
    <row r="24" spans="1:13" ht="19.5" customHeight="1">
      <c r="A24" s="3613"/>
      <c r="B24" s="3606"/>
      <c r="C24" s="2844" t="s">
        <v>2449</v>
      </c>
      <c r="D24" s="2845"/>
      <c r="E24" s="2846">
        <v>0.8</v>
      </c>
      <c r="F24" s="2843" t="s">
        <v>2450</v>
      </c>
      <c r="G24" s="2843"/>
    </row>
    <row r="25" spans="1:13" ht="19.5" customHeight="1" thickBot="1">
      <c r="A25" s="3614"/>
      <c r="B25" s="360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609" t="s">
        <v>2633</v>
      </c>
      <c r="B27" s="3607" t="s">
        <v>2614</v>
      </c>
      <c r="C27" s="2840" t="s">
        <v>2454</v>
      </c>
      <c r="D27" s="2841"/>
      <c r="E27" s="2842">
        <v>1</v>
      </c>
      <c r="F27" s="2843" t="s">
        <v>2455</v>
      </c>
      <c r="G27" s="2843"/>
    </row>
    <row r="28" spans="1:13" ht="19.5" customHeight="1">
      <c r="A28" s="3610"/>
      <c r="B28" s="3606"/>
      <c r="C28" s="2844" t="s">
        <v>2456</v>
      </c>
      <c r="D28" s="2845"/>
      <c r="E28" s="2846">
        <v>1</v>
      </c>
      <c r="F28" s="2843" t="s">
        <v>2457</v>
      </c>
      <c r="G28" s="2843"/>
    </row>
    <row r="29" spans="1:13" ht="19.5" customHeight="1">
      <c r="A29" s="3610"/>
      <c r="B29" s="3606"/>
      <c r="C29" s="2844" t="s">
        <v>2458</v>
      </c>
      <c r="D29" s="2845"/>
      <c r="E29" s="2846">
        <v>0.8</v>
      </c>
      <c r="F29" s="2843" t="s">
        <v>2459</v>
      </c>
      <c r="G29" s="2843"/>
    </row>
    <row r="30" spans="1:13" ht="19.5" customHeight="1">
      <c r="A30" s="3610"/>
      <c r="B30" s="3606"/>
      <c r="C30" s="2844" t="s">
        <v>2460</v>
      </c>
      <c r="D30" s="2845"/>
      <c r="E30" s="2846">
        <v>0.8</v>
      </c>
      <c r="F30" s="2843" t="s">
        <v>2461</v>
      </c>
      <c r="G30" s="2843"/>
    </row>
    <row r="31" spans="1:13" ht="19.5" customHeight="1">
      <c r="A31" s="3610"/>
      <c r="B31" s="3606"/>
      <c r="C31" s="2844" t="s">
        <v>2462</v>
      </c>
      <c r="D31" s="2845"/>
      <c r="E31" s="2846">
        <v>0.8</v>
      </c>
      <c r="F31" s="2843" t="s">
        <v>2463</v>
      </c>
      <c r="G31" s="2843"/>
    </row>
    <row r="32" spans="1:13" ht="19.5" customHeight="1">
      <c r="A32" s="3610"/>
      <c r="B32" s="3606"/>
      <c r="C32" s="2844" t="s">
        <v>2464</v>
      </c>
      <c r="D32" s="2845"/>
      <c r="E32" s="2846">
        <v>0.7</v>
      </c>
      <c r="F32" s="2843" t="s">
        <v>2465</v>
      </c>
      <c r="G32" s="2843"/>
    </row>
    <row r="33" spans="1:7" ht="19.5" customHeight="1">
      <c r="A33" s="3610"/>
      <c r="B33" s="3606"/>
      <c r="C33" s="2844" t="s">
        <v>2466</v>
      </c>
      <c r="D33" s="2845"/>
      <c r="E33" s="2846">
        <v>0.8</v>
      </c>
      <c r="F33" s="2843" t="s">
        <v>2467</v>
      </c>
      <c r="G33" s="2843"/>
    </row>
    <row r="34" spans="1:7" ht="19.5" customHeight="1">
      <c r="A34" s="3610"/>
      <c r="B34" s="3606"/>
      <c r="C34" s="2844" t="s">
        <v>2468</v>
      </c>
      <c r="D34" s="2845"/>
      <c r="E34" s="2846">
        <v>0.6</v>
      </c>
      <c r="F34" s="2843" t="s">
        <v>2469</v>
      </c>
      <c r="G34" s="2843"/>
    </row>
    <row r="35" spans="1:7" ht="19.5" customHeight="1">
      <c r="A35" s="3610"/>
      <c r="B35" s="3606"/>
      <c r="C35" s="2844" t="s">
        <v>2470</v>
      </c>
      <c r="D35" s="2845"/>
      <c r="E35" s="2846">
        <v>0.2</v>
      </c>
      <c r="F35" s="2843" t="s">
        <v>2471</v>
      </c>
      <c r="G35" s="2843"/>
    </row>
    <row r="36" spans="1:7" ht="19.5" customHeight="1">
      <c r="A36" s="3610"/>
      <c r="B36" s="3606"/>
      <c r="C36" s="2844" t="s">
        <v>2472</v>
      </c>
      <c r="D36" s="2845"/>
      <c r="E36" s="2846">
        <v>0.2</v>
      </c>
      <c r="F36" s="2843" t="s">
        <v>2473</v>
      </c>
      <c r="G36" s="2843"/>
    </row>
    <row r="37" spans="1:7" ht="19.5" customHeight="1">
      <c r="A37" s="3610"/>
      <c r="B37" s="3604" t="s">
        <v>2634</v>
      </c>
      <c r="C37" s="2844" t="s">
        <v>2474</v>
      </c>
      <c r="D37" s="2845"/>
      <c r="E37" s="2846">
        <v>0.6</v>
      </c>
      <c r="F37" s="2843" t="s">
        <v>2475</v>
      </c>
      <c r="G37" s="2843"/>
    </row>
    <row r="38" spans="1:7" ht="19.5" customHeight="1">
      <c r="A38" s="3610"/>
      <c r="B38" s="3606"/>
      <c r="C38" s="2844" t="s">
        <v>2476</v>
      </c>
      <c r="D38" s="2845"/>
      <c r="E38" s="2846">
        <v>0.6</v>
      </c>
      <c r="F38" s="2843" t="s">
        <v>2477</v>
      </c>
      <c r="G38" s="2843"/>
    </row>
    <row r="39" spans="1:7" ht="19.5" customHeight="1" thickBot="1">
      <c r="A39" s="3611"/>
      <c r="B39" s="360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612" t="s">
        <v>2612</v>
      </c>
      <c r="B41" s="3607" t="s">
        <v>2636</v>
      </c>
      <c r="C41" s="2840" t="s">
        <v>2481</v>
      </c>
      <c r="D41" s="2841"/>
      <c r="E41" s="2842">
        <v>1</v>
      </c>
      <c r="F41" s="2843" t="s">
        <v>2482</v>
      </c>
      <c r="G41" s="2843"/>
    </row>
    <row r="42" spans="1:7" ht="19.5" customHeight="1">
      <c r="A42" s="3613"/>
      <c r="B42" s="3606"/>
      <c r="C42" s="2844" t="s">
        <v>2483</v>
      </c>
      <c r="D42" s="2845"/>
      <c r="E42" s="2846">
        <v>1</v>
      </c>
      <c r="F42" s="2843" t="s">
        <v>2484</v>
      </c>
      <c r="G42" s="2843"/>
    </row>
    <row r="43" spans="1:7" ht="19.5" customHeight="1">
      <c r="A43" s="3613"/>
      <c r="B43" s="3605"/>
      <c r="C43" s="2844" t="s">
        <v>2485</v>
      </c>
      <c r="D43" s="2845"/>
      <c r="E43" s="2846">
        <v>1.5</v>
      </c>
      <c r="F43" s="2843" t="s">
        <v>2486</v>
      </c>
      <c r="G43" s="2843"/>
    </row>
    <row r="44" spans="1:7" ht="19.5" customHeight="1">
      <c r="A44" s="3613"/>
      <c r="B44" s="2855" t="s">
        <v>2637</v>
      </c>
      <c r="C44" s="2844" t="s">
        <v>2638</v>
      </c>
      <c r="D44" s="2845"/>
      <c r="E44" s="2846">
        <v>2</v>
      </c>
      <c r="F44" s="2843" t="s">
        <v>2487</v>
      </c>
      <c r="G44" s="2843"/>
    </row>
    <row r="45" spans="1:7" ht="19.5" customHeight="1">
      <c r="A45" s="3613"/>
      <c r="B45" s="3604" t="s">
        <v>2639</v>
      </c>
      <c r="C45" s="2844" t="s">
        <v>2488</v>
      </c>
      <c r="D45" s="2845"/>
      <c r="E45" s="2846">
        <v>1</v>
      </c>
      <c r="F45" s="2843" t="s">
        <v>2489</v>
      </c>
      <c r="G45" s="2843"/>
    </row>
    <row r="46" spans="1:7" ht="19.5" customHeight="1">
      <c r="A46" s="3613"/>
      <c r="B46" s="3606"/>
      <c r="C46" s="2844" t="s">
        <v>2490</v>
      </c>
      <c r="D46" s="2845"/>
      <c r="E46" s="2846">
        <v>1</v>
      </c>
      <c r="F46" s="2843" t="s">
        <v>2491</v>
      </c>
      <c r="G46" s="2843"/>
    </row>
    <row r="47" spans="1:7" ht="19.5" customHeight="1">
      <c r="A47" s="3613"/>
      <c r="B47" s="3606"/>
      <c r="C47" s="2844" t="s">
        <v>2492</v>
      </c>
      <c r="D47" s="2845"/>
      <c r="E47" s="2846">
        <v>1</v>
      </c>
      <c r="F47" s="2843" t="s">
        <v>2493</v>
      </c>
      <c r="G47" s="2843"/>
    </row>
    <row r="48" spans="1:7" ht="19.5" customHeight="1">
      <c r="A48" s="3613"/>
      <c r="B48" s="3606"/>
      <c r="C48" s="2844" t="s">
        <v>2494</v>
      </c>
      <c r="D48" s="2845"/>
      <c r="E48" s="2846">
        <v>1</v>
      </c>
      <c r="F48" s="2843" t="s">
        <v>2495</v>
      </c>
      <c r="G48" s="2843"/>
    </row>
    <row r="49" spans="1:7" ht="19.5" customHeight="1">
      <c r="A49" s="3613"/>
      <c r="B49" s="3606"/>
      <c r="C49" s="2844" t="s">
        <v>2496</v>
      </c>
      <c r="D49" s="2845"/>
      <c r="E49" s="2846">
        <v>1</v>
      </c>
      <c r="F49" s="2843" t="s">
        <v>2497</v>
      </c>
      <c r="G49" s="2843"/>
    </row>
    <row r="50" spans="1:7" ht="19.5" customHeight="1">
      <c r="A50" s="3613"/>
      <c r="B50" s="3606"/>
      <c r="C50" s="2844" t="s">
        <v>2498</v>
      </c>
      <c r="D50" s="2845"/>
      <c r="E50" s="2846">
        <v>1</v>
      </c>
      <c r="F50" s="2843" t="s">
        <v>2499</v>
      </c>
      <c r="G50" s="2843"/>
    </row>
    <row r="51" spans="1:7" ht="19.5" customHeight="1" thickBot="1">
      <c r="A51" s="3614"/>
      <c r="B51" s="360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604" t="s">
        <v>2653</v>
      </c>
      <c r="C73" s="2829" t="s">
        <v>2654</v>
      </c>
      <c r="D73" s="2829" t="s">
        <v>2655</v>
      </c>
      <c r="E73" s="2855">
        <v>0.2</v>
      </c>
      <c r="F73" s="2855">
        <v>25</v>
      </c>
    </row>
    <row r="74" spans="1:7" ht="24">
      <c r="A74" s="2855">
        <v>2</v>
      </c>
      <c r="B74" s="3606"/>
      <c r="C74" s="2829" t="s">
        <v>2656</v>
      </c>
      <c r="D74" s="2829" t="s">
        <v>2657</v>
      </c>
      <c r="E74" s="2855">
        <v>0.2</v>
      </c>
      <c r="F74" s="2855">
        <v>25</v>
      </c>
    </row>
    <row r="75" spans="1:7" ht="24">
      <c r="A75" s="2855">
        <v>3</v>
      </c>
      <c r="B75" s="3606"/>
      <c r="C75" s="2829" t="s">
        <v>2658</v>
      </c>
      <c r="D75" s="2829" t="s">
        <v>2659</v>
      </c>
      <c r="E75" s="2855">
        <v>0.2</v>
      </c>
      <c r="F75" s="2855">
        <v>25</v>
      </c>
    </row>
    <row r="76" spans="1:7" ht="14.4">
      <c r="A76" s="2855">
        <v>4</v>
      </c>
      <c r="B76" s="3606"/>
      <c r="C76" s="2829" t="s">
        <v>2660</v>
      </c>
      <c r="D76" s="2829" t="s">
        <v>2661</v>
      </c>
      <c r="E76" s="2855">
        <v>0.15</v>
      </c>
      <c r="F76" s="2855">
        <v>20</v>
      </c>
    </row>
    <row r="77" spans="1:7" ht="24">
      <c r="A77" s="2855">
        <v>5</v>
      </c>
      <c r="B77" s="3606"/>
      <c r="C77" s="2829" t="s">
        <v>2662</v>
      </c>
      <c r="D77" s="2829" t="s">
        <v>2663</v>
      </c>
      <c r="E77" s="2855">
        <v>0.15</v>
      </c>
      <c r="F77" s="2855">
        <v>20</v>
      </c>
    </row>
    <row r="78" spans="1:7" ht="24">
      <c r="A78" s="2855">
        <v>6</v>
      </c>
      <c r="B78" s="3606"/>
      <c r="C78" s="2829" t="s">
        <v>2664</v>
      </c>
      <c r="D78" s="2829" t="s">
        <v>2665</v>
      </c>
      <c r="E78" s="2855">
        <v>0.15</v>
      </c>
      <c r="F78" s="2855">
        <v>20</v>
      </c>
    </row>
    <row r="79" spans="1:7" ht="24">
      <c r="A79" s="2855">
        <v>7</v>
      </c>
      <c r="B79" s="3606"/>
      <c r="C79" s="2829" t="s">
        <v>2666</v>
      </c>
      <c r="D79" s="2829" t="s">
        <v>2667</v>
      </c>
      <c r="E79" s="2855">
        <v>0.15</v>
      </c>
      <c r="F79" s="2855">
        <v>20</v>
      </c>
    </row>
    <row r="80" spans="1:7" ht="24">
      <c r="A80" s="2855">
        <v>8</v>
      </c>
      <c r="B80" s="3606"/>
      <c r="C80" s="2829" t="s">
        <v>2668</v>
      </c>
      <c r="D80" s="2829" t="s">
        <v>2669</v>
      </c>
      <c r="E80" s="2855">
        <v>0.1</v>
      </c>
      <c r="F80" s="2855">
        <v>15</v>
      </c>
    </row>
    <row r="81" spans="1:6" ht="24">
      <c r="A81" s="2855">
        <v>9</v>
      </c>
      <c r="B81" s="3606"/>
      <c r="C81" s="2829" t="s">
        <v>2670</v>
      </c>
      <c r="D81" s="2829" t="s">
        <v>2671</v>
      </c>
      <c r="E81" s="2855">
        <v>0.1</v>
      </c>
      <c r="F81" s="2855">
        <v>15</v>
      </c>
    </row>
    <row r="82" spans="1:6" ht="24">
      <c r="A82" s="2855">
        <v>10</v>
      </c>
      <c r="B82" s="3606"/>
      <c r="C82" s="2829" t="s">
        <v>2672</v>
      </c>
      <c r="D82" s="2829" t="s">
        <v>2673</v>
      </c>
      <c r="E82" s="2855">
        <v>0.1</v>
      </c>
      <c r="F82" s="2855">
        <v>15</v>
      </c>
    </row>
    <row r="83" spans="1:6" ht="24">
      <c r="A83" s="2855">
        <v>11</v>
      </c>
      <c r="B83" s="3606"/>
      <c r="C83" s="2829" t="s">
        <v>2674</v>
      </c>
      <c r="D83" s="2829" t="s">
        <v>2675</v>
      </c>
      <c r="E83" s="2855">
        <v>0.1</v>
      </c>
      <c r="F83" s="2855">
        <v>15</v>
      </c>
    </row>
    <row r="84" spans="1:6" ht="24">
      <c r="A84" s="2855">
        <v>12</v>
      </c>
      <c r="B84" s="3606"/>
      <c r="C84" s="2829" t="s">
        <v>2676</v>
      </c>
      <c r="D84" s="2829" t="s">
        <v>2677</v>
      </c>
      <c r="E84" s="2855">
        <v>0.1</v>
      </c>
      <c r="F84" s="2855">
        <v>15</v>
      </c>
    </row>
    <row r="85" spans="1:6" ht="24">
      <c r="A85" s="2855">
        <v>13</v>
      </c>
      <c r="B85" s="3606"/>
      <c r="C85" s="2829" t="s">
        <v>2678</v>
      </c>
      <c r="D85" s="2829" t="s">
        <v>2679</v>
      </c>
      <c r="E85" s="2855">
        <v>0.1</v>
      </c>
      <c r="F85" s="2855">
        <v>15</v>
      </c>
    </row>
    <row r="86" spans="1:6" ht="24">
      <c r="A86" s="2855">
        <v>14</v>
      </c>
      <c r="B86" s="3606"/>
      <c r="C86" s="2829" t="s">
        <v>2680</v>
      </c>
      <c r="D86" s="2829" t="s">
        <v>2681</v>
      </c>
      <c r="E86" s="2855">
        <v>0.1</v>
      </c>
      <c r="F86" s="2855">
        <v>15</v>
      </c>
    </row>
    <row r="87" spans="1:6" ht="24">
      <c r="A87" s="2855">
        <v>15</v>
      </c>
      <c r="B87" s="3606"/>
      <c r="C87" s="2829" t="s">
        <v>2682</v>
      </c>
      <c r="D87" s="2829" t="s">
        <v>2683</v>
      </c>
      <c r="E87" s="2855">
        <v>0.1</v>
      </c>
      <c r="F87" s="2855">
        <v>15</v>
      </c>
    </row>
    <row r="88" spans="1:6" ht="24">
      <c r="A88" s="2855">
        <v>16</v>
      </c>
      <c r="B88" s="3606"/>
      <c r="C88" s="2829" t="s">
        <v>2684</v>
      </c>
      <c r="D88" s="2829" t="s">
        <v>2685</v>
      </c>
      <c r="E88" s="2855">
        <v>0.1</v>
      </c>
      <c r="F88" s="2855">
        <v>15</v>
      </c>
    </row>
    <row r="89" spans="1:6" ht="24">
      <c r="A89" s="2855">
        <v>17</v>
      </c>
      <c r="B89" s="3605"/>
      <c r="C89" s="2829" t="s">
        <v>2686</v>
      </c>
      <c r="D89" s="2829" t="s">
        <v>2687</v>
      </c>
      <c r="E89" s="2855">
        <v>0.1</v>
      </c>
      <c r="F89" s="2855">
        <v>15</v>
      </c>
    </row>
    <row r="90" spans="1:6" ht="14.4">
      <c r="A90" s="2855">
        <v>18</v>
      </c>
      <c r="B90" s="3604" t="s">
        <v>2688</v>
      </c>
      <c r="C90" s="2829" t="s">
        <v>2689</v>
      </c>
      <c r="D90" s="2829" t="s">
        <v>2690</v>
      </c>
      <c r="E90" s="2855">
        <v>0.2</v>
      </c>
      <c r="F90" s="2855">
        <v>25</v>
      </c>
    </row>
    <row r="91" spans="1:6" ht="24">
      <c r="A91" s="2855">
        <v>19</v>
      </c>
      <c r="B91" s="3606"/>
      <c r="C91" s="2829" t="s">
        <v>2691</v>
      </c>
      <c r="D91" s="2829" t="s">
        <v>2692</v>
      </c>
      <c r="E91" s="2855">
        <v>0.2</v>
      </c>
      <c r="F91" s="2855">
        <v>25</v>
      </c>
    </row>
    <row r="92" spans="1:6" ht="14.4">
      <c r="A92" s="2855">
        <v>20</v>
      </c>
      <c r="B92" s="3606"/>
      <c r="C92" s="2829" t="s">
        <v>2693</v>
      </c>
      <c r="D92" s="2829" t="s">
        <v>2694</v>
      </c>
      <c r="E92" s="2855">
        <v>0.15</v>
      </c>
      <c r="F92" s="2855">
        <v>20</v>
      </c>
    </row>
    <row r="93" spans="1:6" ht="24">
      <c r="A93" s="2855">
        <v>21</v>
      </c>
      <c r="B93" s="3606"/>
      <c r="C93" s="2829" t="s">
        <v>2695</v>
      </c>
      <c r="D93" s="2829" t="s">
        <v>2696</v>
      </c>
      <c r="E93" s="2855">
        <v>0.15</v>
      </c>
      <c r="F93" s="2855">
        <v>20</v>
      </c>
    </row>
    <row r="94" spans="1:6" ht="24">
      <c r="A94" s="2855">
        <v>22</v>
      </c>
      <c r="B94" s="3606"/>
      <c r="C94" s="2829" t="s">
        <v>2697</v>
      </c>
      <c r="D94" s="2829" t="s">
        <v>2698</v>
      </c>
      <c r="E94" s="2855">
        <v>0.15</v>
      </c>
      <c r="F94" s="2855">
        <v>20</v>
      </c>
    </row>
    <row r="95" spans="1:6" ht="36">
      <c r="A95" s="2855">
        <v>23</v>
      </c>
      <c r="B95" s="3606"/>
      <c r="C95" s="2829" t="s">
        <v>2699</v>
      </c>
      <c r="D95" s="2829" t="s">
        <v>2700</v>
      </c>
      <c r="E95" s="2855">
        <v>0.15</v>
      </c>
      <c r="F95" s="2855">
        <v>20</v>
      </c>
    </row>
    <row r="96" spans="1:6" ht="24">
      <c r="A96" s="2855">
        <v>24</v>
      </c>
      <c r="B96" s="3606"/>
      <c r="C96" s="2829" t="s">
        <v>2701</v>
      </c>
      <c r="D96" s="2829" t="s">
        <v>2702</v>
      </c>
      <c r="E96" s="2855">
        <v>0.1</v>
      </c>
      <c r="F96" s="2855">
        <v>15</v>
      </c>
    </row>
    <row r="97" spans="1:6" ht="24">
      <c r="A97" s="2855">
        <v>25</v>
      </c>
      <c r="B97" s="3606"/>
      <c r="C97" s="2829" t="s">
        <v>2703</v>
      </c>
      <c r="D97" s="2829" t="s">
        <v>2704</v>
      </c>
      <c r="E97" s="2855">
        <v>0.1</v>
      </c>
      <c r="F97" s="2855">
        <v>15</v>
      </c>
    </row>
    <row r="98" spans="1:6" ht="24">
      <c r="A98" s="2855">
        <v>26</v>
      </c>
      <c r="B98" s="3606"/>
      <c r="C98" s="2829" t="s">
        <v>2705</v>
      </c>
      <c r="D98" s="2829" t="s">
        <v>2706</v>
      </c>
      <c r="E98" s="2855">
        <v>0.1</v>
      </c>
      <c r="F98" s="2855">
        <v>15</v>
      </c>
    </row>
    <row r="99" spans="1:6" ht="24">
      <c r="A99" s="2855">
        <v>27</v>
      </c>
      <c r="B99" s="3606"/>
      <c r="C99" s="2829" t="s">
        <v>2707</v>
      </c>
      <c r="D99" s="2829" t="s">
        <v>2708</v>
      </c>
      <c r="E99" s="2855">
        <v>0.1</v>
      </c>
      <c r="F99" s="2855">
        <v>15</v>
      </c>
    </row>
    <row r="100" spans="1:6" ht="24">
      <c r="A100" s="2855">
        <v>28</v>
      </c>
      <c r="B100" s="3606"/>
      <c r="C100" s="2829" t="s">
        <v>2709</v>
      </c>
      <c r="D100" s="2829" t="s">
        <v>2710</v>
      </c>
      <c r="E100" s="2855">
        <v>0.1</v>
      </c>
      <c r="F100" s="2855">
        <v>15</v>
      </c>
    </row>
    <row r="101" spans="1:6" ht="24">
      <c r="A101" s="2855">
        <v>29</v>
      </c>
      <c r="B101" s="3606"/>
      <c r="C101" s="2829" t="s">
        <v>2711</v>
      </c>
      <c r="D101" s="2829" t="s">
        <v>2712</v>
      </c>
      <c r="E101" s="2855">
        <v>0.1</v>
      </c>
      <c r="F101" s="2855">
        <v>15</v>
      </c>
    </row>
    <row r="102" spans="1:6" ht="24">
      <c r="A102" s="2855">
        <v>30</v>
      </c>
      <c r="B102" s="3606"/>
      <c r="C102" s="2829" t="s">
        <v>2713</v>
      </c>
      <c r="D102" s="2829" t="s">
        <v>2714</v>
      </c>
      <c r="E102" s="2855">
        <v>0.1</v>
      </c>
      <c r="F102" s="2855">
        <v>15</v>
      </c>
    </row>
    <row r="103" spans="1:6" ht="24">
      <c r="A103" s="2855">
        <v>31</v>
      </c>
      <c r="B103" s="3606"/>
      <c r="C103" s="2829" t="s">
        <v>2715</v>
      </c>
      <c r="D103" s="2829" t="s">
        <v>2716</v>
      </c>
      <c r="E103" s="2855">
        <v>0.1</v>
      </c>
      <c r="F103" s="2855">
        <v>15</v>
      </c>
    </row>
    <row r="104" spans="1:6" ht="24">
      <c r="A104" s="2855">
        <v>32</v>
      </c>
      <c r="B104" s="3606"/>
      <c r="C104" s="2829" t="s">
        <v>2717</v>
      </c>
      <c r="D104" s="2829" t="s">
        <v>2718</v>
      </c>
      <c r="E104" s="2855">
        <v>0.1</v>
      </c>
      <c r="F104" s="2855">
        <v>15</v>
      </c>
    </row>
    <row r="105" spans="1:6" ht="24">
      <c r="A105" s="2855">
        <v>33</v>
      </c>
      <c r="B105" s="3606"/>
      <c r="C105" s="2829" t="s">
        <v>2719</v>
      </c>
      <c r="D105" s="2829" t="s">
        <v>2720</v>
      </c>
      <c r="E105" s="2855">
        <v>0.1</v>
      </c>
      <c r="F105" s="2855">
        <v>15</v>
      </c>
    </row>
    <row r="106" spans="1:6" ht="24">
      <c r="A106" s="2855">
        <v>34</v>
      </c>
      <c r="B106" s="3605"/>
      <c r="C106" s="2829" t="s">
        <v>2721</v>
      </c>
      <c r="D106" s="2829" t="s">
        <v>2722</v>
      </c>
      <c r="E106" s="2855">
        <v>0.1</v>
      </c>
      <c r="F106" s="2855">
        <v>15</v>
      </c>
    </row>
    <row r="107" spans="1:6" ht="36">
      <c r="A107" s="2855">
        <v>35</v>
      </c>
      <c r="B107" s="3604" t="s">
        <v>2723</v>
      </c>
      <c r="C107" s="2855" t="s">
        <v>2724</v>
      </c>
      <c r="D107" s="2829" t="s">
        <v>2725</v>
      </c>
      <c r="E107" s="2855">
        <v>0.15</v>
      </c>
      <c r="F107" s="2855">
        <v>20</v>
      </c>
    </row>
    <row r="108" spans="1:6" ht="24">
      <c r="A108" s="2855">
        <v>36</v>
      </c>
      <c r="B108" s="3606"/>
      <c r="C108" s="2855" t="s">
        <v>2726</v>
      </c>
      <c r="D108" s="2829" t="s">
        <v>2727</v>
      </c>
      <c r="E108" s="2855">
        <v>0.15</v>
      </c>
      <c r="F108" s="2855">
        <v>20</v>
      </c>
    </row>
    <row r="109" spans="1:6" ht="24">
      <c r="A109" s="2855">
        <v>37</v>
      </c>
      <c r="B109" s="3606"/>
      <c r="C109" s="2855" t="s">
        <v>2728</v>
      </c>
      <c r="D109" s="2829" t="s">
        <v>2729</v>
      </c>
      <c r="E109" s="2855">
        <v>0.15</v>
      </c>
      <c r="F109" s="2855">
        <v>20</v>
      </c>
    </row>
    <row r="110" spans="1:6" ht="24">
      <c r="A110" s="2855">
        <v>38</v>
      </c>
      <c r="B110" s="3606"/>
      <c r="C110" s="2855" t="s">
        <v>2730</v>
      </c>
      <c r="D110" s="2829" t="s">
        <v>2731</v>
      </c>
      <c r="E110" s="2855">
        <v>0.1</v>
      </c>
      <c r="F110" s="2855">
        <v>15</v>
      </c>
    </row>
    <row r="111" spans="1:6" ht="24">
      <c r="A111" s="2855">
        <v>39</v>
      </c>
      <c r="B111" s="3606"/>
      <c r="C111" s="2855" t="s">
        <v>2732</v>
      </c>
      <c r="D111" s="2829" t="s">
        <v>2733</v>
      </c>
      <c r="E111" s="2855">
        <v>0.1</v>
      </c>
      <c r="F111" s="2855">
        <v>15</v>
      </c>
    </row>
    <row r="112" spans="1:6" ht="24">
      <c r="A112" s="2855">
        <v>40</v>
      </c>
      <c r="B112" s="3605"/>
      <c r="C112" s="2855" t="s">
        <v>2734</v>
      </c>
      <c r="D112" s="2829" t="s">
        <v>2735</v>
      </c>
      <c r="E112" s="2855">
        <v>0.1</v>
      </c>
      <c r="F112" s="2855">
        <v>15</v>
      </c>
    </row>
    <row r="113" spans="1:6" ht="24">
      <c r="A113" s="2855">
        <v>41</v>
      </c>
      <c r="B113" s="3603" t="s">
        <v>2736</v>
      </c>
      <c r="C113" s="2855" t="s">
        <v>2737</v>
      </c>
      <c r="D113" s="2829" t="s">
        <v>2738</v>
      </c>
      <c r="E113" s="2855">
        <v>0.1</v>
      </c>
      <c r="F113" s="2855">
        <v>15</v>
      </c>
    </row>
    <row r="114" spans="1:6" ht="24">
      <c r="A114" s="2855">
        <v>42</v>
      </c>
      <c r="B114" s="3603"/>
      <c r="C114" s="2855" t="s">
        <v>2739</v>
      </c>
      <c r="D114" s="2829" t="s">
        <v>2740</v>
      </c>
      <c r="E114" s="2855">
        <v>0.1</v>
      </c>
      <c r="F114" s="2855">
        <v>15</v>
      </c>
    </row>
    <row r="115" spans="1:6" ht="24">
      <c r="A115" s="2855">
        <v>43</v>
      </c>
      <c r="B115" s="3603"/>
      <c r="C115" s="2855" t="s">
        <v>2741</v>
      </c>
      <c r="D115" s="2829" t="s">
        <v>2742</v>
      </c>
      <c r="E115" s="2855">
        <v>0.1</v>
      </c>
      <c r="F115" s="2855">
        <v>15</v>
      </c>
    </row>
    <row r="116" spans="1:6" ht="24">
      <c r="A116" s="2855">
        <v>44</v>
      </c>
      <c r="B116" s="3604" t="s">
        <v>2743</v>
      </c>
      <c r="C116" s="2855" t="s">
        <v>2744</v>
      </c>
      <c r="D116" s="2829" t="s">
        <v>2745</v>
      </c>
      <c r="E116" s="2855">
        <v>0.1</v>
      </c>
      <c r="F116" s="2855">
        <v>15</v>
      </c>
    </row>
    <row r="117" spans="1:6" ht="24">
      <c r="A117" s="2855">
        <v>45</v>
      </c>
      <c r="B117" s="3605"/>
      <c r="C117" s="2829" t="s">
        <v>2746</v>
      </c>
      <c r="D117" s="2829" t="s">
        <v>2747</v>
      </c>
      <c r="E117" s="2855">
        <v>0.1</v>
      </c>
      <c r="F117" s="2855">
        <v>15</v>
      </c>
    </row>
    <row r="118" spans="1:6" ht="24">
      <c r="A118" s="2855">
        <v>46</v>
      </c>
      <c r="B118" s="3604" t="s">
        <v>2748</v>
      </c>
      <c r="C118" s="2855" t="s">
        <v>2749</v>
      </c>
      <c r="D118" s="2829" t="s">
        <v>2750</v>
      </c>
      <c r="E118" s="2855">
        <v>0.1</v>
      </c>
      <c r="F118" s="2855">
        <v>15</v>
      </c>
    </row>
    <row r="119" spans="1:6" ht="24">
      <c r="A119" s="2855">
        <v>47</v>
      </c>
      <c r="B119" s="3605"/>
      <c r="C119" s="2855" t="s">
        <v>2751</v>
      </c>
      <c r="D119" s="2829" t="s">
        <v>2752</v>
      </c>
      <c r="E119" s="2855">
        <v>0.1</v>
      </c>
      <c r="F119" s="2855">
        <v>15</v>
      </c>
    </row>
    <row r="120" spans="1:6" ht="24">
      <c r="A120" s="2855">
        <v>48</v>
      </c>
      <c r="B120" s="3604" t="s">
        <v>2753</v>
      </c>
      <c r="C120" s="2855" t="s">
        <v>2754</v>
      </c>
      <c r="D120" s="2829" t="s">
        <v>2755</v>
      </c>
      <c r="E120" s="2855">
        <v>0.1</v>
      </c>
      <c r="F120" s="2855">
        <v>15</v>
      </c>
    </row>
    <row r="121" spans="1:6" ht="24">
      <c r="A121" s="2855">
        <v>49</v>
      </c>
      <c r="B121" s="3605"/>
      <c r="C121" s="2855" t="s">
        <v>2756</v>
      </c>
      <c r="D121" s="2829" t="s">
        <v>2757</v>
      </c>
      <c r="E121" s="2855">
        <v>0.1</v>
      </c>
      <c r="F121" s="2855">
        <v>15</v>
      </c>
    </row>
    <row r="122" spans="1:6" ht="24">
      <c r="A122" s="2855">
        <v>50</v>
      </c>
      <c r="B122" s="3603" t="s">
        <v>2758</v>
      </c>
      <c r="C122" s="2855" t="s">
        <v>2759</v>
      </c>
      <c r="D122" s="2829" t="s">
        <v>2760</v>
      </c>
      <c r="E122" s="2855">
        <v>0.1</v>
      </c>
      <c r="F122" s="2855">
        <v>15</v>
      </c>
    </row>
    <row r="123" spans="1:6" ht="24">
      <c r="A123" s="2855">
        <v>51</v>
      </c>
      <c r="B123" s="3603"/>
      <c r="C123" s="2855" t="s">
        <v>2761</v>
      </c>
      <c r="D123" s="2829" t="s">
        <v>2762</v>
      </c>
      <c r="E123" s="2855">
        <v>0.1</v>
      </c>
      <c r="F123" s="2855">
        <v>15</v>
      </c>
    </row>
    <row r="124" spans="1:6" ht="24">
      <c r="A124" s="2855">
        <v>52</v>
      </c>
      <c r="B124" s="3603" t="s">
        <v>2763</v>
      </c>
      <c r="C124" s="2855" t="s">
        <v>2764</v>
      </c>
      <c r="D124" s="2829" t="s">
        <v>2765</v>
      </c>
      <c r="E124" s="2855">
        <v>0.1</v>
      </c>
      <c r="F124" s="2855">
        <v>15</v>
      </c>
    </row>
    <row r="125" spans="1:6" ht="24">
      <c r="A125" s="2855">
        <v>53</v>
      </c>
      <c r="B125" s="3603"/>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603" t="s">
        <v>2771</v>
      </c>
      <c r="C127" s="2855" t="s">
        <v>2772</v>
      </c>
      <c r="D127" s="2829" t="s">
        <v>2773</v>
      </c>
      <c r="E127" s="2855">
        <v>0.1</v>
      </c>
      <c r="F127" s="2855">
        <v>15</v>
      </c>
    </row>
    <row r="128" spans="1:6" ht="24">
      <c r="A128" s="2855">
        <v>56</v>
      </c>
      <c r="B128" s="3603"/>
      <c r="C128" s="2855" t="s">
        <v>2774</v>
      </c>
      <c r="D128" s="2829" t="s">
        <v>2775</v>
      </c>
      <c r="E128" s="2855">
        <v>0.1</v>
      </c>
      <c r="F128" s="2855">
        <v>15</v>
      </c>
    </row>
    <row r="129" spans="1:6" ht="24">
      <c r="A129" s="2855">
        <v>57</v>
      </c>
      <c r="B129" s="3603"/>
      <c r="C129" s="2855" t="s">
        <v>2776</v>
      </c>
      <c r="D129" s="2829" t="s">
        <v>2777</v>
      </c>
      <c r="E129" s="2855">
        <v>0.1</v>
      </c>
      <c r="F129" s="2855">
        <v>15</v>
      </c>
    </row>
    <row r="130" spans="1:6" ht="24">
      <c r="A130" s="2855">
        <v>58</v>
      </c>
      <c r="B130" s="3603" t="s">
        <v>2778</v>
      </c>
      <c r="C130" s="2855" t="s">
        <v>2779</v>
      </c>
      <c r="D130" s="2829" t="s">
        <v>2780</v>
      </c>
      <c r="E130" s="2855">
        <v>0.1</v>
      </c>
      <c r="F130" s="2855">
        <v>15</v>
      </c>
    </row>
    <row r="131" spans="1:6" ht="24">
      <c r="A131" s="2855">
        <v>59</v>
      </c>
      <c r="B131" s="3603"/>
      <c r="C131" s="2855" t="s">
        <v>2781</v>
      </c>
      <c r="D131" s="2829" t="s">
        <v>2782</v>
      </c>
      <c r="E131" s="2855">
        <v>0.1</v>
      </c>
      <c r="F131" s="2855">
        <v>15</v>
      </c>
    </row>
    <row r="132" spans="1:6" ht="24">
      <c r="A132" s="2855">
        <v>60</v>
      </c>
      <c r="B132" s="3604" t="s">
        <v>2783</v>
      </c>
      <c r="C132" s="2855" t="s">
        <v>2784</v>
      </c>
      <c r="D132" s="2829" t="s">
        <v>2785</v>
      </c>
      <c r="E132" s="2855">
        <v>0.1</v>
      </c>
      <c r="F132" s="2855">
        <v>15</v>
      </c>
    </row>
    <row r="133" spans="1:6" ht="24">
      <c r="A133" s="2855">
        <v>61</v>
      </c>
      <c r="B133" s="360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603" t="s">
        <v>2791</v>
      </c>
      <c r="C135" s="2855" t="s">
        <v>2792</v>
      </c>
      <c r="D135" s="2829" t="s">
        <v>2793</v>
      </c>
      <c r="E135" s="2855">
        <v>0.1</v>
      </c>
      <c r="F135" s="2855">
        <v>15</v>
      </c>
    </row>
    <row r="136" spans="1:6" ht="24">
      <c r="A136" s="2855">
        <v>64</v>
      </c>
      <c r="B136" s="3603"/>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C52</f>
        <v>28544</v>
      </c>
      <c r="C2" s="2" t="s">
        <v>106</v>
      </c>
      <c r="D2" s="190"/>
      <c r="E2" s="190"/>
      <c r="F2" s="190"/>
      <c r="G2" s="190"/>
    </row>
    <row r="3" spans="1:7" s="191" customFormat="1" ht="18" customHeight="1" thickBot="1">
      <c r="A3" s="194" t="s">
        <v>58</v>
      </c>
      <c r="B3" s="195">
        <f>ROUND(B2*10000/'数据-汇总表'!E3,0)</f>
        <v>3704127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39">
        <f>ROUND(SUM(C23:C25),0)</f>
        <v>642</v>
      </c>
      <c r="D22" s="226">
        <f>C26</f>
        <v>2.0000000000000001E-4</v>
      </c>
      <c r="E22" s="227" t="s">
        <v>99</v>
      </c>
      <c r="F22" s="228">
        <f>'数据-取费表'!B40</f>
        <v>3.1E-2</v>
      </c>
      <c r="G22" s="1003" t="str">
        <f>IF('数据-取费表'!B22&lt;=1,"单利计息","复利计息")</f>
        <v>单利计息</v>
      </c>
    </row>
    <row r="23" spans="1:7" s="205" customFormat="1" ht="13.5" customHeight="1">
      <c r="A23" s="733" t="s">
        <v>349</v>
      </c>
      <c r="B23" s="206" t="s">
        <v>423</v>
      </c>
      <c r="C23" s="1040">
        <f>ROUND(IF('数据-取费表'!B22&lt;=1,C5*F22*'数据-取费表'!B23,C5*(POWER((1+F22),'数据-取费表'!B23)-1)),0)</f>
        <v>639</v>
      </c>
      <c r="D23" s="229"/>
      <c r="E23" s="229"/>
      <c r="F23" s="230"/>
      <c r="G23" s="231" t="s">
        <v>81</v>
      </c>
    </row>
    <row r="24" spans="1:7" s="205" customFormat="1" ht="13.5" customHeight="1">
      <c r="A24" s="733" t="s">
        <v>347</v>
      </c>
      <c r="B24" s="206" t="s">
        <v>418</v>
      </c>
      <c r="C24" s="1040">
        <f>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0">
        <f>ROUND(IF('数据-取费表'!B22&lt;=1,C20*F22*'数据-取费表'!B23/2,C20*(POWER((1+F22),'数据-取费表'!B23/2)-1)),0)</f>
        <v>3</v>
      </c>
      <c r="D25" s="229"/>
      <c r="E25" s="232"/>
      <c r="F25" s="230"/>
      <c r="G25" s="233" t="s">
        <v>83</v>
      </c>
    </row>
    <row r="26" spans="1:7" s="205" customFormat="1">
      <c r="A26" s="733" t="s">
        <v>350</v>
      </c>
      <c r="B26" s="206" t="s">
        <v>422</v>
      </c>
      <c r="C26" s="229">
        <f>ROUND(IF('数据-取费表'!B22&lt;=1,F21*F22*'数据-取费表'!B23/2,F21*(POWER((1+F22),'数据-取费表'!B23/2)-1)),4)</f>
        <v>2.0000000000000001E-4</v>
      </c>
      <c r="D26" s="229"/>
      <c r="E26" s="232"/>
      <c r="F26" s="230"/>
      <c r="G26" s="234"/>
    </row>
    <row r="27" spans="1:7" s="205" customFormat="1" ht="26.4">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ROUND((C5+C19+C20+C22+C27)/(1-C21-D22-D27-C30/(1+'数据-取费表'!B42)),0)</f>
        <v>28521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ROUND(SUM(C42:C43),0)</f>
        <v>0</v>
      </c>
      <c r="D41" s="226">
        <f>C44</f>
        <v>2.0000000000000001E-4</v>
      </c>
      <c r="E41" s="227" t="s">
        <v>102</v>
      </c>
      <c r="F41" s="228"/>
      <c r="G41" s="1003" t="str">
        <f>IF('数据-取费表'!B22&lt;=1,"单利计息","复利计息")</f>
        <v>单利计息</v>
      </c>
    </row>
    <row r="42" spans="1:7" ht="13.5" customHeight="1">
      <c r="A42" s="733" t="s">
        <v>349</v>
      </c>
      <c r="B42" s="206" t="s">
        <v>423</v>
      </c>
      <c r="C42" s="229">
        <f>ROUND(IF('数据-取费表'!B22&lt;=1,C33*F22*'数据-取费表'!B21/2,C33*(POWER((1+F22),'数据-取费表'!B21/2)-1)),0)</f>
        <v>0</v>
      </c>
      <c r="D42" s="229"/>
      <c r="E42" s="229"/>
      <c r="F42" s="230"/>
      <c r="G42" s="3479" t="s">
        <v>94</v>
      </c>
    </row>
    <row r="43" spans="1:7" ht="13.5" customHeight="1">
      <c r="A43" s="733" t="s">
        <v>347</v>
      </c>
      <c r="B43" s="206" t="s">
        <v>426</v>
      </c>
      <c r="C43" s="229">
        <f>ROUND(IF('数据-取费表'!B22&lt;=1,C39*F22*'数据-取费表'!B21/2,C39*(POWER((1+F22),'数据-取费表'!B21/2)-1)),0)</f>
        <v>0</v>
      </c>
      <c r="D43" s="229"/>
      <c r="E43" s="229"/>
      <c r="F43" s="230"/>
      <c r="G43" s="3480"/>
    </row>
    <row r="44" spans="1:7" ht="13.5" customHeight="1">
      <c r="A44" s="733" t="s">
        <v>348</v>
      </c>
      <c r="B44" s="206" t="s">
        <v>428</v>
      </c>
      <c r="C44" s="229">
        <f>ROUND(IF('数据-取费表'!B22&lt;=1,C40*F22*'数据-取费表'!B21/2,C40*(POWER((1+F22),'数据-取费表'!B21/2)-1)),4)</f>
        <v>2.0000000000000001E-4</v>
      </c>
      <c r="D44" s="229"/>
      <c r="E44" s="229"/>
      <c r="F44" s="230"/>
      <c r="G44" s="3481"/>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ROUND((C33+C39+C41+C45)/(1-C40-D41-D45-C48/(1+'数据-取费表'!B42)),0)</f>
        <v>35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ROUND(C49*F50,0)</f>
        <v>23</v>
      </c>
      <c r="D51" s="223"/>
      <c r="E51" s="223"/>
      <c r="F51" s="255"/>
      <c r="G51" s="225" t="s">
        <v>37</v>
      </c>
    </row>
    <row r="52" spans="1:7" s="199" customFormat="1" ht="16.8" thickBot="1">
      <c r="A52" s="256" t="s">
        <v>38</v>
      </c>
      <c r="B52" s="257"/>
      <c r="C52" s="258">
        <f>C31+C51</f>
        <v>28544</v>
      </c>
      <c r="D52" s="257"/>
      <c r="E52" s="257"/>
      <c r="F52" s="257"/>
      <c r="G52" s="259"/>
    </row>
    <row r="55" spans="1:7" ht="15">
      <c r="B55" s="261" t="s">
        <v>39</v>
      </c>
      <c r="C55" s="262"/>
    </row>
    <row r="56" spans="1:7">
      <c r="B56" s="264" t="s">
        <v>40</v>
      </c>
      <c r="C56" s="265">
        <f>ROUND(C51/C52,3)</f>
        <v>1E-3</v>
      </c>
    </row>
    <row r="57" spans="1:7">
      <c r="B57" s="264" t="s">
        <v>41</v>
      </c>
      <c r="C57" s="266">
        <f>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617" t="s">
        <v>2841</v>
      </c>
      <c r="B1" s="3617"/>
      <c r="C1" s="3617"/>
      <c r="D1" s="3617"/>
      <c r="E1" s="3617"/>
      <c r="F1" s="3617"/>
      <c r="G1" s="3618"/>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615"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616"/>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619" t="s">
        <v>3183</v>
      </c>
      <c r="B1" s="3619"/>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620" t="s">
        <v>3234</v>
      </c>
      <c r="B1" s="3620"/>
      <c r="C1" s="3620"/>
      <c r="D1" s="3620"/>
      <c r="E1" s="3620"/>
      <c r="F1" s="3621"/>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45646</v>
      </c>
      <c r="B1" s="2927" t="s">
        <v>3372</v>
      </c>
      <c r="C1" s="2928"/>
      <c r="D1" s="2928"/>
      <c r="E1" s="2928"/>
      <c r="F1" s="2928"/>
      <c r="G1" s="2928"/>
      <c r="H1" s="2928"/>
      <c r="I1" s="2928"/>
      <c r="J1" s="2894"/>
      <c r="K1" s="2928" t="s">
        <v>454</v>
      </c>
      <c r="L1" s="2928"/>
      <c r="M1" s="2928"/>
      <c r="N1" s="2928"/>
      <c r="O1" s="2928"/>
      <c r="P1" s="2928"/>
      <c r="Q1" s="2894"/>
      <c r="R1" s="3622" t="s">
        <v>456</v>
      </c>
      <c r="S1" s="3623"/>
      <c r="T1" s="3623"/>
      <c r="U1" s="3623"/>
      <c r="V1" s="3623"/>
      <c r="W1" s="3623"/>
      <c r="X1" s="2894"/>
      <c r="Y1" s="3622" t="s">
        <v>457</v>
      </c>
      <c r="Z1" s="3623"/>
      <c r="AA1" s="3623"/>
      <c r="AB1" s="3623"/>
      <c r="AC1" s="3623"/>
      <c r="AD1" s="3623"/>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3376</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3378</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3379</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3371</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3370</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3369</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3365</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3356</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2822</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2823</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2824</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2825</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3367</v>
      </c>
    </row>
    <row r="21" spans="1:30">
      <c r="I21" s="1403" t="s">
        <v>2827</v>
      </c>
    </row>
    <row r="23" spans="1:30" s="2006" customFormat="1" ht="13.2">
      <c r="B23" s="2927" t="s">
        <v>3373</v>
      </c>
      <c r="C23" s="2928"/>
      <c r="D23" s="2928"/>
      <c r="E23" s="2928"/>
      <c r="F23" s="2928"/>
      <c r="G23" s="2928"/>
      <c r="H23" s="2928"/>
      <c r="I23" s="2928"/>
      <c r="J23" s="2894"/>
      <c r="K23" s="2928" t="s">
        <v>2828</v>
      </c>
      <c r="L23" s="2928"/>
      <c r="M23" s="2928"/>
      <c r="N23" s="2928"/>
      <c r="O23" s="2928"/>
      <c r="P23" s="2928"/>
      <c r="Q23" s="2894"/>
      <c r="R23" s="3622" t="s">
        <v>2829</v>
      </c>
      <c r="S23" s="3623"/>
      <c r="T23" s="3623"/>
      <c r="U23" s="3623"/>
      <c r="V23" s="3623"/>
      <c r="W23" s="3623"/>
      <c r="X23" s="2894"/>
      <c r="Y23" s="3622" t="s">
        <v>2830</v>
      </c>
      <c r="Z23" s="3623"/>
      <c r="AA23" s="3623"/>
      <c r="AB23" s="3623"/>
      <c r="AC23" s="3623"/>
      <c r="AD23" s="3623"/>
    </row>
    <row r="24" spans="1:30" s="2007" customFormat="1" ht="15" thickBot="1">
      <c r="B24" s="2879"/>
      <c r="C24" s="2880"/>
      <c r="D24" s="2008" t="s">
        <v>2831</v>
      </c>
      <c r="E24" s="2009" t="s">
        <v>2832</v>
      </c>
      <c r="F24" s="2009" t="s">
        <v>2833</v>
      </c>
      <c r="G24" s="2009" t="s">
        <v>2834</v>
      </c>
      <c r="H24" s="2009"/>
      <c r="I24" s="2009" t="s">
        <v>2835</v>
      </c>
      <c r="J24" s="2881"/>
      <c r="K24" s="2008" t="s">
        <v>2831</v>
      </c>
      <c r="L24" s="2009" t="s">
        <v>2832</v>
      </c>
      <c r="M24" s="2009" t="s">
        <v>2833</v>
      </c>
      <c r="N24" s="2009" t="s">
        <v>2834</v>
      </c>
      <c r="O24" s="2009"/>
      <c r="P24" s="2009" t="s">
        <v>2835</v>
      </c>
      <c r="Q24" s="2881"/>
      <c r="R24" s="2008" t="s">
        <v>2831</v>
      </c>
      <c r="S24" s="2009" t="s">
        <v>2832</v>
      </c>
      <c r="T24" s="2009" t="s">
        <v>2833</v>
      </c>
      <c r="U24" s="2009" t="s">
        <v>2834</v>
      </c>
      <c r="V24" s="2009"/>
      <c r="W24" s="2009" t="s">
        <v>2835</v>
      </c>
      <c r="X24" s="2881"/>
      <c r="Y24" s="2008" t="s">
        <v>2831</v>
      </c>
      <c r="Z24" s="2009" t="s">
        <v>2832</v>
      </c>
      <c r="AA24" s="2009" t="s">
        <v>2833</v>
      </c>
      <c r="AB24" s="2009" t="s">
        <v>2834</v>
      </c>
      <c r="AC24" s="2009"/>
      <c r="AD24" s="2009" t="s">
        <v>2835</v>
      </c>
    </row>
    <row r="25" spans="1:30" s="2884" customFormat="1" ht="13.2">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3375</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3376</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3380</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3379</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3374</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3370</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3369</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3366</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3356</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2837</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2838</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2839</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2840</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2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2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2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3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62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2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2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3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2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2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2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2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2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2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2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2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2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2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2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2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2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2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2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2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2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2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2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2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2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2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2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2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2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2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2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2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2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2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2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2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2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2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2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2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2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2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2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2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2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2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2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2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2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2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2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2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2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2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2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2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2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2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2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2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2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45646</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2312</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23" t="s">
        <v>949</v>
      </c>
      <c r="B1" s="3323"/>
      <c r="C1" s="3323"/>
      <c r="D1" s="3323"/>
    </row>
    <row r="2" spans="1:4" ht="17.399999999999999">
      <c r="A2" s="3324" t="s">
        <v>933</v>
      </c>
      <c r="B2" s="3324"/>
      <c r="C2" s="3324"/>
      <c r="D2" s="3324"/>
    </row>
    <row r="3" spans="1:4" ht="17.399999999999999">
      <c r="A3" s="1405" t="s">
        <v>934</v>
      </c>
      <c r="B3" s="1405" t="s">
        <v>935</v>
      </c>
      <c r="C3" s="1405" t="s">
        <v>936</v>
      </c>
      <c r="D3" s="1405" t="s">
        <v>937</v>
      </c>
    </row>
    <row r="4" spans="1:4" ht="56.25" customHeight="1">
      <c r="A4" s="1406" t="str">
        <f>项目基本情况!B4</f>
        <v>陈颖</v>
      </c>
      <c r="B4" s="1407">
        <f ca="1">项目基本情况!C4</f>
        <v>0</v>
      </c>
      <c r="C4" s="1408"/>
      <c r="D4" s="1409" t="s">
        <v>938</v>
      </c>
    </row>
    <row r="5" spans="1:4" ht="56.25" customHeight="1">
      <c r="A5" s="1406">
        <f>项目基本情况!D4</f>
        <v>0</v>
      </c>
      <c r="B5" s="1407">
        <f>项目基本情况!E4</f>
        <v>0</v>
      </c>
      <c r="C5" s="1410"/>
      <c r="D5" s="1409" t="s">
        <v>938</v>
      </c>
    </row>
    <row r="6" spans="1:4" ht="17.399999999999999">
      <c r="A6" s="3324" t="s">
        <v>939</v>
      </c>
      <c r="B6" s="3324"/>
      <c r="C6" s="3324"/>
      <c r="D6" s="3324"/>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325" t="s">
        <v>942</v>
      </c>
      <c r="B11" s="3317"/>
      <c r="C11" s="3317"/>
      <c r="D11" s="3317"/>
    </row>
    <row r="12" spans="1:4" ht="15.6">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spans="1:4" ht="15.75" customHeight="1">
      <c r="A14" s="3317" t="str">
        <f>IF(项目基本情况!B8="抵押","4.本次评估估价师所知悉的法定优先受偿款情况说明如下：","——")</f>
        <v>4.本次评估估价师所知悉的法定优先受偿款情况说明如下：</v>
      </c>
      <c r="B14" s="3322"/>
      <c r="C14" s="3322"/>
      <c r="D14" s="3322"/>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19" t="s">
        <v>943</v>
      </c>
      <c r="B16" s="3319"/>
      <c r="C16" s="3319"/>
      <c r="D16" s="3319"/>
    </row>
    <row r="17" spans="1:4" ht="144" customHeight="1">
      <c r="A17" s="3319" t="s">
        <v>944</v>
      </c>
      <c r="B17" s="3319"/>
      <c r="C17" s="3319"/>
      <c r="D17" s="3319"/>
    </row>
    <row r="18" spans="1:4" ht="15.75" customHeight="1">
      <c r="A18" s="3317" t="str">
        <f>IF(项目基本情况!B8="抵押",结果表!K120,"——")</f>
        <v>故，本次评估不存在</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7"/>
      <c r="C20" s="3317"/>
      <c r="D20" s="3317"/>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0"/>
      <c r="C21" s="3320"/>
      <c r="D21" s="3320"/>
    </row>
    <row r="22" spans="1:4" ht="18.75" customHeight="1">
      <c r="A22" s="3321" t="s">
        <v>945</v>
      </c>
      <c r="B22" s="3321"/>
      <c r="C22" s="3321"/>
      <c r="D22" s="3321"/>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318">
        <v>42551</v>
      </c>
      <c r="D31" s="33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331" t="s">
        <v>956</v>
      </c>
      <c r="B15" s="3326" t="s">
        <v>109</v>
      </c>
      <c r="C15" s="3327"/>
    </row>
    <row r="16" spans="1:7" ht="14.4">
      <c r="A16" s="3332"/>
      <c r="B16" s="3326" t="s">
        <v>42</v>
      </c>
      <c r="C16" s="3327"/>
    </row>
    <row r="17" spans="1:3" ht="14.4">
      <c r="A17" s="3332"/>
      <c r="B17" s="3329" t="s">
        <v>957</v>
      </c>
      <c r="C17" s="1427" t="s">
        <v>956</v>
      </c>
    </row>
    <row r="18" spans="1:3" ht="14.4">
      <c r="A18" s="3332"/>
      <c r="B18" s="3329"/>
      <c r="C18" s="1427" t="s">
        <v>958</v>
      </c>
    </row>
    <row r="19" spans="1:3" ht="14.4">
      <c r="A19" s="3332"/>
      <c r="B19" s="3329"/>
      <c r="C19" s="1427" t="s">
        <v>959</v>
      </c>
    </row>
    <row r="20" spans="1:3" ht="14.4">
      <c r="A20" s="3333"/>
      <c r="B20" s="3328" t="s">
        <v>960</v>
      </c>
      <c r="C20" s="3327"/>
    </row>
    <row r="21" spans="1:3" ht="14.4">
      <c r="A21" s="1428" t="s">
        <v>961</v>
      </c>
      <c r="B21" s="1429"/>
      <c r="C21" s="1430"/>
    </row>
    <row r="22" spans="1:3" ht="14.4">
      <c r="A22" s="3330" t="s">
        <v>962</v>
      </c>
      <c r="B22" s="3328" t="s">
        <v>963</v>
      </c>
      <c r="C22" s="3327"/>
    </row>
    <row r="23" spans="1:3" ht="14.4">
      <c r="A23" s="3330"/>
      <c r="B23" s="3328" t="s">
        <v>964</v>
      </c>
      <c r="C23" s="3327"/>
    </row>
    <row r="24" spans="1:3" ht="14.4">
      <c r="A24" s="3330"/>
      <c r="B24" s="3328" t="s">
        <v>965</v>
      </c>
      <c r="C24" s="3327"/>
    </row>
    <row r="25" spans="1:3" ht="14.4">
      <c r="A25" s="3330"/>
      <c r="B25" s="3329" t="s">
        <v>966</v>
      </c>
      <c r="C25" s="1427" t="s">
        <v>967</v>
      </c>
    </row>
    <row r="26" spans="1:3" ht="14.4">
      <c r="A26" s="3330"/>
      <c r="B26" s="3329"/>
      <c r="C26" s="1427" t="s">
        <v>968</v>
      </c>
    </row>
    <row r="27" spans="1:3" ht="14.4">
      <c r="A27" s="3330"/>
      <c r="B27" s="3329"/>
      <c r="C27" s="1427" t="s">
        <v>969</v>
      </c>
    </row>
    <row r="28" spans="1:3" ht="14.4">
      <c r="A28" s="3330"/>
      <c r="B28" s="3329"/>
      <c r="C28" s="1427" t="s">
        <v>970</v>
      </c>
    </row>
    <row r="29" spans="1:3" ht="14.4">
      <c r="A29" s="3330"/>
      <c r="B29" s="3329"/>
      <c r="C29" s="1427" t="s">
        <v>971</v>
      </c>
    </row>
    <row r="30" spans="1:3" ht="14.4">
      <c r="A30" s="3330"/>
      <c r="B30" s="3329"/>
      <c r="C30" s="1427" t="s">
        <v>972</v>
      </c>
    </row>
    <row r="31" spans="1:3" ht="14.4">
      <c r="A31" s="3330"/>
      <c r="B31" s="3329"/>
      <c r="C31" s="1427" t="s">
        <v>973</v>
      </c>
    </row>
    <row r="32" spans="1:3" ht="14.4">
      <c r="A32" s="3330"/>
      <c r="B32" s="3329"/>
      <c r="C32" s="1427" t="s">
        <v>974</v>
      </c>
    </row>
    <row r="33" spans="1:3" ht="14.4">
      <c r="A33" s="3330"/>
      <c r="B33" s="332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45713</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2439</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334" t="s">
        <v>2159</v>
      </c>
      <c r="B17" s="3334"/>
      <c r="C17" s="3334"/>
      <c r="D17" s="3334"/>
      <c r="E17" s="3334"/>
      <c r="F17" s="3334"/>
      <c r="G17" s="3334"/>
      <c r="H17" s="3334"/>
    </row>
    <row r="18" spans="1:8" ht="24" customHeight="1">
      <c r="A18" s="3335" t="s">
        <v>2160</v>
      </c>
      <c r="B18" s="3335"/>
      <c r="C18" s="3335"/>
      <c r="D18" s="2157"/>
      <c r="E18" s="3336" t="s">
        <v>2161</v>
      </c>
      <c r="F18" s="3335"/>
      <c r="G18" s="3335"/>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2017-03-01T09:15:43Z</cp:lastPrinted>
  <dcterms:created xsi:type="dcterms:W3CDTF">2015-07-13T07:17:23Z</dcterms:created>
  <dcterms:modified xsi:type="dcterms:W3CDTF">2025-02-25T05:13:35Z</dcterms:modified>
</cp:coreProperties>
</file>